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E2BEF93-2849-4162-9FA8-A0EF70437F3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iwayat Revisi" sheetId="26" r:id="rId1"/>
    <sheet name="LK" sheetId="3" r:id="rId2"/>
    <sheet name="ID" sheetId="9" r:id="rId3"/>
    <sheet name="PENYELIA" sheetId="1" r:id="rId4"/>
    <sheet name="LH" sheetId="16" r:id="rId5"/>
    <sheet name="SERTIFIKAT" sheetId="33" r:id="rId6"/>
    <sheet name="LAPORAN" sheetId="34" r:id="rId7"/>
    <sheet name="DB SUHU" sheetId="31" state="hidden" r:id="rId8"/>
    <sheet name="Input Data EEG Sim" sheetId="10" state="hidden" r:id="rId9"/>
    <sheet name="DB ESA" sheetId="32" state="hidden" r:id="rId10"/>
    <sheet name="DB EEG" sheetId="37" state="hidden" r:id="rId11"/>
    <sheet name="UB Amplitudo" sheetId="36" state="hidden" r:id="rId12"/>
    <sheet name="UB Hz" sheetId="8" state="hidden" r:id="rId13"/>
    <sheet name="Input Data Caliper" sheetId="15" state="hidden" r:id="rId14"/>
  </sheets>
  <externalReferences>
    <externalReference r:id="rId15"/>
  </externalReferences>
  <definedNames>
    <definedName name="_xlnm.Print_Area" localSheetId="2">ID!$A$1:$O$92</definedName>
    <definedName name="_xlnm.Print_Area" localSheetId="6">LAPORAN!$A$1:$N$153</definedName>
    <definedName name="_xlnm.Print_Area" localSheetId="4">LH!$A$1:$N$153</definedName>
    <definedName name="_xlnm.Print_Area" localSheetId="1">LK!$A$1:$N$99</definedName>
    <definedName name="_xlnm.Print_Area" localSheetId="3">PENYELIA!$A$1:$M$92</definedName>
    <definedName name="_xlnm.Print_Area" localSheetId="5">SERTIFIKAT!$A$1:$F$33</definedName>
    <definedName name="_xlnm.Print_Area" localSheetId="11">'UB Amplitudo'!$A$1:$Y$151</definedName>
    <definedName name="_xlnm.Print_Area" localSheetId="12">'UB Hz'!$A$1:$Y$47</definedName>
  </definedNames>
  <calcPr calcId="191028"/>
</workbook>
</file>

<file path=xl/calcChain.xml><?xml version="1.0" encoding="utf-8"?>
<calcChain xmlns="http://schemas.openxmlformats.org/spreadsheetml/2006/main">
  <c r="AF42" i="9" l="1"/>
  <c r="H52" i="16"/>
  <c r="O43" i="9"/>
  <c r="O42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51" i="9"/>
  <c r="O44" i="9"/>
  <c r="O45" i="9"/>
  <c r="O46" i="9"/>
  <c r="G19" i="37"/>
  <c r="G14" i="37"/>
  <c r="G15" i="37"/>
  <c r="G16" i="37"/>
  <c r="G17" i="37"/>
  <c r="G18" i="37"/>
  <c r="N19" i="37"/>
  <c r="N14" i="37"/>
  <c r="N15" i="37"/>
  <c r="N16" i="37"/>
  <c r="N17" i="37"/>
  <c r="N18" i="37"/>
  <c r="E44" i="16"/>
  <c r="E45" i="16"/>
  <c r="E46" i="16"/>
  <c r="E47" i="16"/>
  <c r="E43" i="16"/>
  <c r="J6" i="37"/>
  <c r="J7" i="37"/>
  <c r="J8" i="37"/>
  <c r="J9" i="37"/>
  <c r="J10" i="37"/>
  <c r="J11" i="37"/>
  <c r="C6" i="37"/>
  <c r="F6" i="37" s="1"/>
  <c r="C7" i="37"/>
  <c r="C8" i="37"/>
  <c r="F8" i="37" s="1"/>
  <c r="C9" i="37"/>
  <c r="F9" i="37" s="1"/>
  <c r="C10" i="37"/>
  <c r="F10" i="37" s="1"/>
  <c r="C11" i="37"/>
  <c r="F11" i="37" s="1"/>
  <c r="J14" i="37"/>
  <c r="J15" i="37"/>
  <c r="J16" i="37"/>
  <c r="J17" i="37"/>
  <c r="J18" i="37"/>
  <c r="J19" i="37"/>
  <c r="C14" i="37"/>
  <c r="C15" i="37"/>
  <c r="C16" i="37"/>
  <c r="C17" i="37"/>
  <c r="F17" i="37" s="1"/>
  <c r="C18" i="37"/>
  <c r="C19" i="37"/>
  <c r="F19" i="37" s="1"/>
  <c r="F18" i="37"/>
  <c r="F7" i="37"/>
  <c r="F14" i="37"/>
  <c r="F15" i="37"/>
  <c r="F16" i="37"/>
  <c r="M14" i="37"/>
  <c r="B76" i="9"/>
  <c r="U140" i="36"/>
  <c r="U139" i="36"/>
  <c r="H140" i="36"/>
  <c r="H139" i="36"/>
  <c r="U125" i="36"/>
  <c r="U124" i="36"/>
  <c r="H125" i="36"/>
  <c r="H124" i="36"/>
  <c r="U110" i="36"/>
  <c r="U109" i="36"/>
  <c r="H110" i="36"/>
  <c r="H109" i="36"/>
  <c r="U95" i="36"/>
  <c r="U94" i="36"/>
  <c r="H95" i="36"/>
  <c r="H94" i="36"/>
  <c r="U80" i="36"/>
  <c r="U79" i="36"/>
  <c r="H80" i="36"/>
  <c r="H79" i="36"/>
  <c r="U65" i="36"/>
  <c r="U64" i="36"/>
  <c r="H65" i="36"/>
  <c r="H64" i="36"/>
  <c r="U50" i="36"/>
  <c r="U49" i="36"/>
  <c r="H50" i="36"/>
  <c r="H49" i="36"/>
  <c r="U35" i="36"/>
  <c r="U34" i="36"/>
  <c r="H35" i="36"/>
  <c r="H34" i="36"/>
  <c r="U20" i="36"/>
  <c r="U19" i="36"/>
  <c r="U5" i="36"/>
  <c r="U4" i="36"/>
  <c r="H20" i="36"/>
  <c r="H19" i="36"/>
  <c r="U24" i="8"/>
  <c r="U23" i="8"/>
  <c r="U9" i="8"/>
  <c r="U8" i="8"/>
  <c r="H37" i="8"/>
  <c r="H36" i="8"/>
  <c r="H23" i="8"/>
  <c r="H22" i="8"/>
  <c r="O21" i="8" l="1"/>
  <c r="N21" i="8"/>
  <c r="O6" i="8"/>
  <c r="N6" i="8"/>
  <c r="B34" i="8"/>
  <c r="A34" i="8"/>
  <c r="B20" i="8"/>
  <c r="A20" i="8"/>
  <c r="A6" i="8"/>
  <c r="D42" i="1"/>
  <c r="D43" i="1"/>
  <c r="D44" i="1"/>
  <c r="D45" i="1"/>
  <c r="D41" i="1"/>
  <c r="A180" i="37"/>
  <c r="A181" i="37"/>
  <c r="A182" i="37"/>
  <c r="A183" i="37"/>
  <c r="A188" i="37"/>
  <c r="A195" i="37" s="1"/>
  <c r="A202" i="37" s="1"/>
  <c r="A189" i="37"/>
  <c r="A196" i="37" s="1"/>
  <c r="A190" i="37"/>
  <c r="A187" i="37"/>
  <c r="A194" i="37" s="1"/>
  <c r="A186" i="37"/>
  <c r="A193" i="37" s="1"/>
  <c r="A200" i="37" s="1"/>
  <c r="A207" i="37" s="1"/>
  <c r="A214" i="37" s="1"/>
  <c r="A192" i="37"/>
  <c r="A199" i="37" s="1"/>
  <c r="A206" i="37" s="1"/>
  <c r="A213" i="37" s="1"/>
  <c r="A197" i="37"/>
  <c r="E50" i="9"/>
  <c r="D50" i="9"/>
  <c r="A203" i="37" l="1"/>
  <c r="A210" i="37" s="1"/>
  <c r="A209" i="37"/>
  <c r="A204" i="37"/>
  <c r="A201" i="37"/>
  <c r="A208" i="37" s="1"/>
  <c r="A211" i="37" l="1"/>
  <c r="A216" i="37"/>
  <c r="A217" i="37"/>
  <c r="A215" i="37"/>
  <c r="A218" i="37" l="1"/>
  <c r="H168" i="37" l="1"/>
  <c r="P171" i="37"/>
  <c r="Q169" i="37"/>
  <c r="R169" i="37"/>
  <c r="Q170" i="37"/>
  <c r="R170" i="37"/>
  <c r="P170" i="37"/>
  <c r="P169" i="37"/>
  <c r="H175" i="37"/>
  <c r="O107" i="37"/>
  <c r="M107" i="37"/>
  <c r="N107" i="37"/>
  <c r="Q107" i="37"/>
  <c r="M108" i="37"/>
  <c r="B163" i="37" s="1"/>
  <c r="N108" i="37"/>
  <c r="O108" i="37"/>
  <c r="Q108" i="37"/>
  <c r="M100" i="37"/>
  <c r="N100" i="37"/>
  <c r="O100" i="37"/>
  <c r="Q100" i="37"/>
  <c r="M101" i="37"/>
  <c r="B162" i="37" s="1"/>
  <c r="N101" i="37"/>
  <c r="O101" i="37"/>
  <c r="Q101" i="37"/>
  <c r="M93" i="37"/>
  <c r="N93" i="37"/>
  <c r="O93" i="37"/>
  <c r="Q93" i="37"/>
  <c r="M94" i="37"/>
  <c r="B161" i="37" s="1"/>
  <c r="N94" i="37"/>
  <c r="O94" i="37"/>
  <c r="Q94" i="37"/>
  <c r="M86" i="37"/>
  <c r="N86" i="37"/>
  <c r="O86" i="37"/>
  <c r="M87" i="37"/>
  <c r="B160" i="37" s="1"/>
  <c r="N87" i="37"/>
  <c r="O87" i="37"/>
  <c r="L87" i="37"/>
  <c r="L86" i="37"/>
  <c r="M79" i="37"/>
  <c r="N79" i="37"/>
  <c r="O79" i="37"/>
  <c r="Q79" i="37"/>
  <c r="M80" i="37"/>
  <c r="B159" i="37" s="1"/>
  <c r="N80" i="37"/>
  <c r="O80" i="37"/>
  <c r="Q80" i="37"/>
  <c r="L80" i="37"/>
  <c r="L79" i="37"/>
  <c r="Q72" i="37"/>
  <c r="M72" i="37"/>
  <c r="N72" i="37"/>
  <c r="O72" i="37"/>
  <c r="M73" i="37"/>
  <c r="B158" i="37" s="1"/>
  <c r="N73" i="37"/>
  <c r="O73" i="37"/>
  <c r="Q73" i="37"/>
  <c r="L73" i="37"/>
  <c r="L72" i="37"/>
  <c r="D95" i="37"/>
  <c r="E95" i="37"/>
  <c r="F95" i="37"/>
  <c r="G95" i="37"/>
  <c r="H95" i="37"/>
  <c r="C95" i="37"/>
  <c r="D88" i="37"/>
  <c r="E88" i="37"/>
  <c r="F88" i="37"/>
  <c r="G88" i="37"/>
  <c r="H88" i="37"/>
  <c r="C88" i="37"/>
  <c r="D81" i="37"/>
  <c r="E81" i="37"/>
  <c r="F81" i="37"/>
  <c r="G81" i="37"/>
  <c r="H81" i="37"/>
  <c r="C81" i="37"/>
  <c r="C74" i="37"/>
  <c r="D107" i="37"/>
  <c r="E107" i="37"/>
  <c r="F107" i="37"/>
  <c r="H107" i="37"/>
  <c r="D108" i="37"/>
  <c r="B155" i="37" s="1"/>
  <c r="E108" i="37"/>
  <c r="F108" i="37"/>
  <c r="H108" i="37"/>
  <c r="C108" i="37"/>
  <c r="C107" i="37"/>
  <c r="D100" i="37"/>
  <c r="E100" i="37"/>
  <c r="F100" i="37"/>
  <c r="H100" i="37"/>
  <c r="D101" i="37"/>
  <c r="B154" i="37" s="1"/>
  <c r="E101" i="37"/>
  <c r="F101" i="37"/>
  <c r="H101" i="37"/>
  <c r="C101" i="37"/>
  <c r="C100" i="37"/>
  <c r="D93" i="37"/>
  <c r="E93" i="37"/>
  <c r="F93" i="37"/>
  <c r="H93" i="37"/>
  <c r="D94" i="37"/>
  <c r="B153" i="37" s="1"/>
  <c r="E94" i="37"/>
  <c r="F94" i="37"/>
  <c r="H94" i="37"/>
  <c r="C94" i="37"/>
  <c r="C93" i="37"/>
  <c r="D87" i="37"/>
  <c r="B152" i="37" s="1"/>
  <c r="E87" i="37"/>
  <c r="F87" i="37"/>
  <c r="H87" i="37"/>
  <c r="C87" i="37"/>
  <c r="D86" i="37"/>
  <c r="E86" i="37"/>
  <c r="F86" i="37"/>
  <c r="H86" i="37"/>
  <c r="C86" i="37"/>
  <c r="D80" i="37"/>
  <c r="B151" i="37" s="1"/>
  <c r="E80" i="37"/>
  <c r="F80" i="37"/>
  <c r="H80" i="37"/>
  <c r="C80" i="37"/>
  <c r="D79" i="37"/>
  <c r="E79" i="37"/>
  <c r="F79" i="37"/>
  <c r="H79" i="37"/>
  <c r="C79" i="37"/>
  <c r="H73" i="37"/>
  <c r="F73" i="37"/>
  <c r="E73" i="37"/>
  <c r="D73" i="37"/>
  <c r="B150" i="37" s="1"/>
  <c r="C73" i="37"/>
  <c r="H72" i="37"/>
  <c r="E72" i="37"/>
  <c r="F72" i="37"/>
  <c r="D72" i="37"/>
  <c r="C72" i="37"/>
  <c r="C77" i="37"/>
  <c r="C76" i="37"/>
  <c r="B36" i="37"/>
  <c r="I36" i="37" s="1"/>
  <c r="P36" i="37" s="1"/>
  <c r="I3" i="37"/>
  <c r="P3" i="37" s="1"/>
  <c r="K21" i="37"/>
  <c r="K29" i="37" s="1"/>
  <c r="J21" i="37"/>
  <c r="J29" i="37" s="1"/>
  <c r="D21" i="37"/>
  <c r="C21" i="37"/>
  <c r="C29" i="37" s="1"/>
  <c r="F31" i="37"/>
  <c r="F24" i="37"/>
  <c r="G131" i="37" s="1"/>
  <c r="M31" i="37"/>
  <c r="M32" i="37"/>
  <c r="P132" i="37" s="1"/>
  <c r="M33" i="37"/>
  <c r="P139" i="37" s="1"/>
  <c r="M30" i="37"/>
  <c r="P118" i="37" s="1"/>
  <c r="M23" i="37"/>
  <c r="M24" i="37"/>
  <c r="G132" i="37" s="1"/>
  <c r="M25" i="37"/>
  <c r="M26" i="37"/>
  <c r="M27" i="37"/>
  <c r="M22" i="37"/>
  <c r="G118" i="37" s="1"/>
  <c r="M19" i="37"/>
  <c r="P108" i="37" s="1"/>
  <c r="E163" i="37" s="1"/>
  <c r="M15" i="37"/>
  <c r="P80" i="37" s="1"/>
  <c r="E159" i="37" s="1"/>
  <c r="M16" i="37"/>
  <c r="P87" i="37" s="1"/>
  <c r="E160" i="37" s="1"/>
  <c r="M17" i="37"/>
  <c r="P94" i="37" s="1"/>
  <c r="E161" i="37" s="1"/>
  <c r="M18" i="37"/>
  <c r="P101" i="37" s="1"/>
  <c r="E162" i="37" s="1"/>
  <c r="P73" i="37"/>
  <c r="E158" i="37" s="1"/>
  <c r="M11" i="37"/>
  <c r="G108" i="37" s="1"/>
  <c r="E155" i="37" s="1"/>
  <c r="I29" i="37"/>
  <c r="P29" i="37" s="1"/>
  <c r="I21" i="37"/>
  <c r="P21" i="37" s="1"/>
  <c r="I13" i="37"/>
  <c r="P13" i="37" s="1"/>
  <c r="I5" i="37"/>
  <c r="P5" i="37" s="1"/>
  <c r="M7" i="37"/>
  <c r="G80" i="37" s="1"/>
  <c r="E151" i="37" s="1"/>
  <c r="M8" i="37"/>
  <c r="G87" i="37" s="1"/>
  <c r="E152" i="37" s="1"/>
  <c r="M9" i="37"/>
  <c r="G94" i="37" s="1"/>
  <c r="E153" i="37" s="1"/>
  <c r="M10" i="37"/>
  <c r="G101" i="37" s="1"/>
  <c r="E154" i="37" s="1"/>
  <c r="M6" i="37"/>
  <c r="G73" i="37" s="1"/>
  <c r="E150" i="37" s="1"/>
  <c r="F32" i="37"/>
  <c r="P131" i="37" s="1"/>
  <c r="F33" i="37"/>
  <c r="P138" i="37" s="1"/>
  <c r="F30" i="37"/>
  <c r="F23" i="37"/>
  <c r="G124" i="37" s="1"/>
  <c r="F25" i="37"/>
  <c r="F26" i="37"/>
  <c r="F27" i="37"/>
  <c r="G138" i="37" s="1"/>
  <c r="L124" i="37"/>
  <c r="D29" i="37"/>
  <c r="E29" i="37"/>
  <c r="P79" i="37"/>
  <c r="P86" i="37"/>
  <c r="P93" i="37"/>
  <c r="P100" i="37"/>
  <c r="P107" i="37"/>
  <c r="P72" i="37"/>
  <c r="G107" i="37"/>
  <c r="G79" i="37"/>
  <c r="G86" i="37"/>
  <c r="G93" i="37"/>
  <c r="G100" i="37"/>
  <c r="G72" i="37"/>
  <c r="E15" i="10"/>
  <c r="E13" i="10"/>
  <c r="E12" i="10"/>
  <c r="E11" i="10"/>
  <c r="E10" i="10"/>
  <c r="E9" i="10"/>
  <c r="R174" i="37"/>
  <c r="Q174" i="37"/>
  <c r="P174" i="37"/>
  <c r="R173" i="37"/>
  <c r="Q173" i="37"/>
  <c r="P173" i="37"/>
  <c r="R172" i="37"/>
  <c r="Q172" i="37"/>
  <c r="P172" i="37"/>
  <c r="R171" i="37"/>
  <c r="Q171" i="37"/>
  <c r="A170" i="37"/>
  <c r="A164" i="37"/>
  <c r="A156" i="37"/>
  <c r="A148" i="37"/>
  <c r="O143" i="37"/>
  <c r="N143" i="37"/>
  <c r="M143" i="37"/>
  <c r="L143" i="37"/>
  <c r="F143" i="37"/>
  <c r="E143" i="37"/>
  <c r="D143" i="37"/>
  <c r="C143" i="37"/>
  <c r="O142" i="37"/>
  <c r="N142" i="37"/>
  <c r="M142" i="37"/>
  <c r="L142" i="37"/>
  <c r="F142" i="37"/>
  <c r="E142" i="37"/>
  <c r="D142" i="37"/>
  <c r="C142" i="37"/>
  <c r="O141" i="37"/>
  <c r="N141" i="37"/>
  <c r="M141" i="37"/>
  <c r="L141" i="37"/>
  <c r="F141" i="37"/>
  <c r="E141" i="37"/>
  <c r="D141" i="37"/>
  <c r="C141" i="37"/>
  <c r="O140" i="37"/>
  <c r="N140" i="37"/>
  <c r="M140" i="37"/>
  <c r="L140" i="37"/>
  <c r="F140" i="37"/>
  <c r="E140" i="37"/>
  <c r="D140" i="37"/>
  <c r="C140" i="37"/>
  <c r="O139" i="37"/>
  <c r="N139" i="37"/>
  <c r="M139" i="37"/>
  <c r="L139" i="37"/>
  <c r="F139" i="37"/>
  <c r="E139" i="37"/>
  <c r="D139" i="37"/>
  <c r="C139" i="37"/>
  <c r="O138" i="37"/>
  <c r="N138" i="37"/>
  <c r="M138" i="37"/>
  <c r="L138" i="37"/>
  <c r="F138" i="37"/>
  <c r="E138" i="37"/>
  <c r="D138" i="37"/>
  <c r="C138" i="37"/>
  <c r="O136" i="37"/>
  <c r="N136" i="37"/>
  <c r="M136" i="37"/>
  <c r="L136" i="37"/>
  <c r="F136" i="37"/>
  <c r="E136" i="37"/>
  <c r="D136" i="37"/>
  <c r="C136" i="37"/>
  <c r="O135" i="37"/>
  <c r="N135" i="37"/>
  <c r="M135" i="37"/>
  <c r="L135" i="37"/>
  <c r="F135" i="37"/>
  <c r="E135" i="37"/>
  <c r="D135" i="37"/>
  <c r="C135" i="37"/>
  <c r="O134" i="37"/>
  <c r="N134" i="37"/>
  <c r="M134" i="37"/>
  <c r="L134" i="37"/>
  <c r="F134" i="37"/>
  <c r="E134" i="37"/>
  <c r="D134" i="37"/>
  <c r="C134" i="37"/>
  <c r="O133" i="37"/>
  <c r="N133" i="37"/>
  <c r="M133" i="37"/>
  <c r="L133" i="37"/>
  <c r="F133" i="37"/>
  <c r="E133" i="37"/>
  <c r="D133" i="37"/>
  <c r="C133" i="37"/>
  <c r="O132" i="37"/>
  <c r="N132" i="37"/>
  <c r="M132" i="37"/>
  <c r="L132" i="37"/>
  <c r="F132" i="37"/>
  <c r="E132" i="37"/>
  <c r="D132" i="37"/>
  <c r="C132" i="37"/>
  <c r="O131" i="37"/>
  <c r="N131" i="37"/>
  <c r="M131" i="37"/>
  <c r="L131" i="37"/>
  <c r="F131" i="37"/>
  <c r="E131" i="37"/>
  <c r="D131" i="37"/>
  <c r="C131" i="37"/>
  <c r="O129" i="37"/>
  <c r="N129" i="37"/>
  <c r="M129" i="37"/>
  <c r="L129" i="37"/>
  <c r="F129" i="37"/>
  <c r="E129" i="37"/>
  <c r="D129" i="37"/>
  <c r="C129" i="37"/>
  <c r="O128" i="37"/>
  <c r="N128" i="37"/>
  <c r="M128" i="37"/>
  <c r="L128" i="37"/>
  <c r="F128" i="37"/>
  <c r="E128" i="37"/>
  <c r="D128" i="37"/>
  <c r="C128" i="37"/>
  <c r="O127" i="37"/>
  <c r="N127" i="37"/>
  <c r="M127" i="37"/>
  <c r="L127" i="37"/>
  <c r="F127" i="37"/>
  <c r="E127" i="37"/>
  <c r="D127" i="37"/>
  <c r="C127" i="37"/>
  <c r="O126" i="37"/>
  <c r="N126" i="37"/>
  <c r="M126" i="37"/>
  <c r="L126" i="37"/>
  <c r="F126" i="37"/>
  <c r="E126" i="37"/>
  <c r="D126" i="37"/>
  <c r="C126" i="37"/>
  <c r="O125" i="37"/>
  <c r="N125" i="37"/>
  <c r="M125" i="37"/>
  <c r="L125" i="37"/>
  <c r="F125" i="37"/>
  <c r="E125" i="37"/>
  <c r="D125" i="37"/>
  <c r="C125" i="37"/>
  <c r="O124" i="37"/>
  <c r="N124" i="37"/>
  <c r="M124" i="37"/>
  <c r="F124" i="37"/>
  <c r="E124" i="37"/>
  <c r="D124" i="37"/>
  <c r="C124" i="37"/>
  <c r="O122" i="37"/>
  <c r="N122" i="37"/>
  <c r="M122" i="37"/>
  <c r="L122" i="37"/>
  <c r="F122" i="37"/>
  <c r="E122" i="37"/>
  <c r="D122" i="37"/>
  <c r="C122" i="37"/>
  <c r="O121" i="37"/>
  <c r="N121" i="37"/>
  <c r="M121" i="37"/>
  <c r="L121" i="37"/>
  <c r="F121" i="37"/>
  <c r="E121" i="37"/>
  <c r="D121" i="37"/>
  <c r="C121" i="37"/>
  <c r="O120" i="37"/>
  <c r="N120" i="37"/>
  <c r="M120" i="37"/>
  <c r="L120" i="37"/>
  <c r="F120" i="37"/>
  <c r="E120" i="37"/>
  <c r="D120" i="37"/>
  <c r="C120" i="37"/>
  <c r="O119" i="37"/>
  <c r="N119" i="37"/>
  <c r="M119" i="37"/>
  <c r="L119" i="37"/>
  <c r="F119" i="37"/>
  <c r="E119" i="37"/>
  <c r="D119" i="37"/>
  <c r="C119" i="37"/>
  <c r="O118" i="37"/>
  <c r="N118" i="37"/>
  <c r="M118" i="37"/>
  <c r="L118" i="37"/>
  <c r="F118" i="37"/>
  <c r="E118" i="37"/>
  <c r="D118" i="37"/>
  <c r="C118" i="37"/>
  <c r="O117" i="37"/>
  <c r="N117" i="37"/>
  <c r="M117" i="37"/>
  <c r="L117" i="37"/>
  <c r="F117" i="37"/>
  <c r="E117" i="37"/>
  <c r="D117" i="37"/>
  <c r="C117" i="37"/>
  <c r="L115" i="37"/>
  <c r="C115" i="37"/>
  <c r="O112" i="37"/>
  <c r="N112" i="37"/>
  <c r="M112" i="37"/>
  <c r="L112" i="37"/>
  <c r="F112" i="37"/>
  <c r="E112" i="37"/>
  <c r="D112" i="37"/>
  <c r="C112" i="37"/>
  <c r="O111" i="37"/>
  <c r="N111" i="37"/>
  <c r="M111" i="37"/>
  <c r="L111" i="37"/>
  <c r="F111" i="37"/>
  <c r="E111" i="37"/>
  <c r="D111" i="37"/>
  <c r="C111" i="37"/>
  <c r="O110" i="37"/>
  <c r="N110" i="37"/>
  <c r="M110" i="37"/>
  <c r="L110" i="37"/>
  <c r="F110" i="37"/>
  <c r="E110" i="37"/>
  <c r="D110" i="37"/>
  <c r="C110" i="37"/>
  <c r="O109" i="37"/>
  <c r="N109" i="37"/>
  <c r="M109" i="37"/>
  <c r="L109" i="37"/>
  <c r="L108" i="37"/>
  <c r="L107" i="37"/>
  <c r="O105" i="37"/>
  <c r="N105" i="37"/>
  <c r="M105" i="37"/>
  <c r="L105" i="37"/>
  <c r="F105" i="37"/>
  <c r="E105" i="37"/>
  <c r="D105" i="37"/>
  <c r="C105" i="37"/>
  <c r="O104" i="37"/>
  <c r="N104" i="37"/>
  <c r="M104" i="37"/>
  <c r="L104" i="37"/>
  <c r="F104" i="37"/>
  <c r="E104" i="37"/>
  <c r="D104" i="37"/>
  <c r="C104" i="37"/>
  <c r="O103" i="37"/>
  <c r="N103" i="37"/>
  <c r="M103" i="37"/>
  <c r="L103" i="37"/>
  <c r="F103" i="37"/>
  <c r="E103" i="37"/>
  <c r="D103" i="37"/>
  <c r="C103" i="37"/>
  <c r="O102" i="37"/>
  <c r="N102" i="37"/>
  <c r="M102" i="37"/>
  <c r="L102" i="37"/>
  <c r="F102" i="37"/>
  <c r="E102" i="37"/>
  <c r="D102" i="37"/>
  <c r="C102" i="37"/>
  <c r="L101" i="37"/>
  <c r="L100" i="37"/>
  <c r="O98" i="37"/>
  <c r="N98" i="37"/>
  <c r="M98" i="37"/>
  <c r="L98" i="37"/>
  <c r="F98" i="37"/>
  <c r="E98" i="37"/>
  <c r="D98" i="37"/>
  <c r="C98" i="37"/>
  <c r="O97" i="37"/>
  <c r="N97" i="37"/>
  <c r="M97" i="37"/>
  <c r="L97" i="37"/>
  <c r="F97" i="37"/>
  <c r="E97" i="37"/>
  <c r="D97" i="37"/>
  <c r="C97" i="37"/>
  <c r="O96" i="37"/>
  <c r="N96" i="37"/>
  <c r="M96" i="37"/>
  <c r="L96" i="37"/>
  <c r="F96" i="37"/>
  <c r="E96" i="37"/>
  <c r="D96" i="37"/>
  <c r="C96" i="37"/>
  <c r="O95" i="37"/>
  <c r="N95" i="37"/>
  <c r="M95" i="37"/>
  <c r="L95" i="37"/>
  <c r="L94" i="37"/>
  <c r="L93" i="37"/>
  <c r="O91" i="37"/>
  <c r="N91" i="37"/>
  <c r="M91" i="37"/>
  <c r="L91" i="37"/>
  <c r="F91" i="37"/>
  <c r="E91" i="37"/>
  <c r="D91" i="37"/>
  <c r="C91" i="37"/>
  <c r="O90" i="37"/>
  <c r="N90" i="37"/>
  <c r="M90" i="37"/>
  <c r="L90" i="37"/>
  <c r="F90" i="37"/>
  <c r="E90" i="37"/>
  <c r="D90" i="37"/>
  <c r="C90" i="37"/>
  <c r="O89" i="37"/>
  <c r="N89" i="37"/>
  <c r="M89" i="37"/>
  <c r="L89" i="37"/>
  <c r="F89" i="37"/>
  <c r="E89" i="37"/>
  <c r="D89" i="37"/>
  <c r="C89" i="37"/>
  <c r="O88" i="37"/>
  <c r="N88" i="37"/>
  <c r="M88" i="37"/>
  <c r="L88" i="37"/>
  <c r="O84" i="37"/>
  <c r="N84" i="37"/>
  <c r="M84" i="37"/>
  <c r="L84" i="37"/>
  <c r="F84" i="37"/>
  <c r="E84" i="37"/>
  <c r="D84" i="37"/>
  <c r="C84" i="37"/>
  <c r="O83" i="37"/>
  <c r="N83" i="37"/>
  <c r="M83" i="37"/>
  <c r="L83" i="37"/>
  <c r="F83" i="37"/>
  <c r="E83" i="37"/>
  <c r="D83" i="37"/>
  <c r="C83" i="37"/>
  <c r="O82" i="37"/>
  <c r="N82" i="37"/>
  <c r="M82" i="37"/>
  <c r="L82" i="37"/>
  <c r="F82" i="37"/>
  <c r="E82" i="37"/>
  <c r="D82" i="37"/>
  <c r="C82" i="37"/>
  <c r="O81" i="37"/>
  <c r="N81" i="37"/>
  <c r="M81" i="37"/>
  <c r="L81" i="37"/>
  <c r="O77" i="37"/>
  <c r="N77" i="37"/>
  <c r="M77" i="37"/>
  <c r="L77" i="37"/>
  <c r="F77" i="37"/>
  <c r="E77" i="37"/>
  <c r="D77" i="37"/>
  <c r="O76" i="37"/>
  <c r="N76" i="37"/>
  <c r="M76" i="37"/>
  <c r="L76" i="37"/>
  <c r="F76" i="37"/>
  <c r="E76" i="37"/>
  <c r="D76" i="37"/>
  <c r="O75" i="37"/>
  <c r="N75" i="37"/>
  <c r="M75" i="37"/>
  <c r="L75" i="37"/>
  <c r="F75" i="37"/>
  <c r="E75" i="37"/>
  <c r="D75" i="37"/>
  <c r="C75" i="37"/>
  <c r="O74" i="37"/>
  <c r="N74" i="37"/>
  <c r="M74" i="37"/>
  <c r="L74" i="37"/>
  <c r="F74" i="37"/>
  <c r="E74" i="37"/>
  <c r="D74" i="37"/>
  <c r="L70" i="37"/>
  <c r="C70" i="37"/>
  <c r="J69" i="37"/>
  <c r="Q143" i="37"/>
  <c r="P143" i="37"/>
  <c r="Q142" i="37"/>
  <c r="P142" i="37"/>
  <c r="Q141" i="37"/>
  <c r="P141" i="37"/>
  <c r="Q136" i="37"/>
  <c r="P136" i="37"/>
  <c r="Q135" i="37"/>
  <c r="P135" i="37"/>
  <c r="Q134" i="37"/>
  <c r="P134" i="37"/>
  <c r="Q129" i="37"/>
  <c r="P129" i="37"/>
  <c r="Q128" i="37"/>
  <c r="P128" i="37"/>
  <c r="Q127" i="37"/>
  <c r="P127" i="37"/>
  <c r="Q122" i="37"/>
  <c r="P122" i="37"/>
  <c r="Q121" i="37"/>
  <c r="P121" i="37"/>
  <c r="Q120" i="37"/>
  <c r="P120" i="37"/>
  <c r="S60" i="37"/>
  <c r="R60" i="37"/>
  <c r="Q60" i="37"/>
  <c r="L60" i="37"/>
  <c r="K60" i="37"/>
  <c r="J60" i="37"/>
  <c r="E60" i="37"/>
  <c r="D60" i="37"/>
  <c r="C60" i="37"/>
  <c r="B59" i="37"/>
  <c r="I59" i="37" s="1"/>
  <c r="P59" i="37" s="1"/>
  <c r="H143" i="37"/>
  <c r="G143" i="37"/>
  <c r="H142" i="37"/>
  <c r="G142" i="37"/>
  <c r="H141" i="37"/>
  <c r="G141" i="37"/>
  <c r="H136" i="37"/>
  <c r="G136" i="37"/>
  <c r="H135" i="37"/>
  <c r="G135" i="37"/>
  <c r="H134" i="37"/>
  <c r="G134" i="37"/>
  <c r="H129" i="37"/>
  <c r="G129" i="37"/>
  <c r="H128" i="37"/>
  <c r="G128" i="37"/>
  <c r="H127" i="37"/>
  <c r="G127" i="37"/>
  <c r="H122" i="37"/>
  <c r="G122" i="37"/>
  <c r="H121" i="37"/>
  <c r="G121" i="37"/>
  <c r="H120" i="37"/>
  <c r="G120" i="37"/>
  <c r="S54" i="37"/>
  <c r="R54" i="37"/>
  <c r="Q54" i="37"/>
  <c r="L54" i="37"/>
  <c r="K54" i="37"/>
  <c r="J54" i="37"/>
  <c r="E54" i="37"/>
  <c r="D54" i="37"/>
  <c r="C54" i="37"/>
  <c r="B53" i="37"/>
  <c r="I53" i="37" s="1"/>
  <c r="P53" i="37" s="1"/>
  <c r="Q112" i="37"/>
  <c r="P112" i="37"/>
  <c r="Q111" i="37"/>
  <c r="P111" i="37"/>
  <c r="Q110" i="37"/>
  <c r="P110" i="37"/>
  <c r="Q105" i="37"/>
  <c r="P105" i="37"/>
  <c r="Q104" i="37"/>
  <c r="P104" i="37"/>
  <c r="Q103" i="37"/>
  <c r="P103" i="37"/>
  <c r="Q98" i="37"/>
  <c r="P98" i="37"/>
  <c r="Q97" i="37"/>
  <c r="P97" i="37"/>
  <c r="Q96" i="37"/>
  <c r="P96" i="37"/>
  <c r="Q91" i="37"/>
  <c r="P91" i="37"/>
  <c r="Q90" i="37"/>
  <c r="P90" i="37"/>
  <c r="Q89" i="37"/>
  <c r="P89" i="37"/>
  <c r="Q84" i="37"/>
  <c r="P84" i="37"/>
  <c r="Q83" i="37"/>
  <c r="P83" i="37"/>
  <c r="Q82" i="37"/>
  <c r="P82" i="37"/>
  <c r="Q77" i="37"/>
  <c r="P77" i="37"/>
  <c r="Q76" i="37"/>
  <c r="P76" i="37"/>
  <c r="Q75" i="37"/>
  <c r="P75" i="37"/>
  <c r="S46" i="37"/>
  <c r="R46" i="37"/>
  <c r="Q46" i="37"/>
  <c r="L46" i="37"/>
  <c r="K46" i="37"/>
  <c r="J46" i="37"/>
  <c r="E46" i="37"/>
  <c r="D46" i="37"/>
  <c r="C46" i="37"/>
  <c r="B45" i="37"/>
  <c r="I45" i="37" s="1"/>
  <c r="P45" i="37" s="1"/>
  <c r="H112" i="37"/>
  <c r="G112" i="37"/>
  <c r="H111" i="37"/>
  <c r="G111" i="37"/>
  <c r="H110" i="37"/>
  <c r="G110" i="37"/>
  <c r="H105" i="37"/>
  <c r="G105" i="37"/>
  <c r="H104" i="37"/>
  <c r="G104" i="37"/>
  <c r="H103" i="37"/>
  <c r="G103" i="37"/>
  <c r="H98" i="37"/>
  <c r="G98" i="37"/>
  <c r="H97" i="37"/>
  <c r="G97" i="37"/>
  <c r="H96" i="37"/>
  <c r="G96" i="37"/>
  <c r="H91" i="37"/>
  <c r="G91" i="37"/>
  <c r="H90" i="37"/>
  <c r="G90" i="37"/>
  <c r="H89" i="37"/>
  <c r="G89" i="37"/>
  <c r="H84" i="37"/>
  <c r="G84" i="37"/>
  <c r="H83" i="37"/>
  <c r="G83" i="37"/>
  <c r="H82" i="37"/>
  <c r="G82" i="37"/>
  <c r="H77" i="37"/>
  <c r="G77" i="37"/>
  <c r="H76" i="37"/>
  <c r="G76" i="37"/>
  <c r="H75" i="37"/>
  <c r="G75" i="37"/>
  <c r="B37" i="37"/>
  <c r="I37" i="37" s="1"/>
  <c r="P37" i="37" s="1"/>
  <c r="Q140" i="37"/>
  <c r="P140" i="37"/>
  <c r="Q139" i="37"/>
  <c r="Q138" i="37"/>
  <c r="Q133" i="37"/>
  <c r="P133" i="37"/>
  <c r="Q132" i="37"/>
  <c r="Q131" i="37"/>
  <c r="Q126" i="37"/>
  <c r="P126" i="37"/>
  <c r="Q125" i="37"/>
  <c r="P125" i="37"/>
  <c r="Q124" i="37"/>
  <c r="P124" i="37"/>
  <c r="Q119" i="37"/>
  <c r="P119" i="37"/>
  <c r="Q118" i="37"/>
  <c r="Q117" i="37"/>
  <c r="P117" i="37"/>
  <c r="S29" i="37"/>
  <c r="R29" i="37"/>
  <c r="Q29" i="37"/>
  <c r="L29" i="37"/>
  <c r="P28" i="37"/>
  <c r="I28" i="37"/>
  <c r="H140" i="37"/>
  <c r="G140" i="37"/>
  <c r="H139" i="37"/>
  <c r="G139" i="37"/>
  <c r="H138" i="37"/>
  <c r="H133" i="37"/>
  <c r="G133" i="37"/>
  <c r="H132" i="37"/>
  <c r="H131" i="37"/>
  <c r="H126" i="37"/>
  <c r="G126" i="37"/>
  <c r="H125" i="37"/>
  <c r="G125" i="37"/>
  <c r="H124" i="37"/>
  <c r="H119" i="37"/>
  <c r="G119" i="37"/>
  <c r="H118" i="37"/>
  <c r="H117" i="37"/>
  <c r="F22" i="37"/>
  <c r="G117" i="37" s="1"/>
  <c r="S21" i="37"/>
  <c r="R21" i="37"/>
  <c r="Q21" i="37"/>
  <c r="L21" i="37"/>
  <c r="P20" i="37"/>
  <c r="I20" i="37"/>
  <c r="Q109" i="37"/>
  <c r="P109" i="37"/>
  <c r="Q102" i="37"/>
  <c r="P102" i="37"/>
  <c r="Q95" i="37"/>
  <c r="P95" i="37"/>
  <c r="Q88" i="37"/>
  <c r="P88" i="37"/>
  <c r="Q87" i="37"/>
  <c r="Q86" i="37"/>
  <c r="Q81" i="37"/>
  <c r="P81" i="37"/>
  <c r="Q74" i="37"/>
  <c r="P74" i="37"/>
  <c r="S13" i="37"/>
  <c r="R13" i="37"/>
  <c r="Q13" i="37"/>
  <c r="P12" i="37"/>
  <c r="I12" i="37"/>
  <c r="H102" i="37"/>
  <c r="G102" i="37"/>
  <c r="H74" i="37"/>
  <c r="G74" i="37"/>
  <c r="P4" i="37"/>
  <c r="I4" i="37"/>
  <c r="A3" i="33"/>
  <c r="W150" i="36"/>
  <c r="Y149" i="36"/>
  <c r="L149" i="36"/>
  <c r="V144" i="36"/>
  <c r="O144" i="36"/>
  <c r="I144" i="36"/>
  <c r="B144" i="36"/>
  <c r="V143" i="36"/>
  <c r="R143" i="36"/>
  <c r="O143" i="36"/>
  <c r="I143" i="36"/>
  <c r="E143" i="36"/>
  <c r="B143" i="36"/>
  <c r="Y142" i="36"/>
  <c r="X142" i="36"/>
  <c r="W142" i="36"/>
  <c r="V142" i="36"/>
  <c r="T142" i="36"/>
  <c r="O142" i="36"/>
  <c r="I142" i="36"/>
  <c r="G142" i="36"/>
  <c r="J142" i="36" s="1"/>
  <c r="B142" i="36"/>
  <c r="V141" i="36"/>
  <c r="R141" i="36"/>
  <c r="T141" i="36" s="1"/>
  <c r="W141" i="36" s="1"/>
  <c r="O141" i="36"/>
  <c r="I141" i="36"/>
  <c r="E141" i="36"/>
  <c r="G141" i="36" s="1"/>
  <c r="J141" i="36" s="1"/>
  <c r="B141" i="36"/>
  <c r="V140" i="36"/>
  <c r="R140" i="36"/>
  <c r="Q140" i="36"/>
  <c r="T140" i="36" s="1"/>
  <c r="O140" i="36"/>
  <c r="I140" i="36"/>
  <c r="E140" i="36"/>
  <c r="D140" i="36"/>
  <c r="G140" i="36" s="1"/>
  <c r="B140" i="36"/>
  <c r="V139" i="36"/>
  <c r="R139" i="36"/>
  <c r="O139" i="36"/>
  <c r="I139" i="36"/>
  <c r="E139" i="36"/>
  <c r="B139" i="36"/>
  <c r="P137" i="36"/>
  <c r="N137" i="36"/>
  <c r="C137" i="36"/>
  <c r="M150" i="36" s="1"/>
  <c r="A137" i="36"/>
  <c r="M135" i="36"/>
  <c r="Y134" i="36"/>
  <c r="L134" i="36"/>
  <c r="V129" i="36"/>
  <c r="O129" i="36"/>
  <c r="I129" i="36"/>
  <c r="B129" i="36"/>
  <c r="V128" i="36"/>
  <c r="R128" i="36"/>
  <c r="O128" i="36"/>
  <c r="I128" i="36"/>
  <c r="E128" i="36"/>
  <c r="B128" i="36"/>
  <c r="W127" i="36"/>
  <c r="Y127" i="36" s="1"/>
  <c r="V127" i="36"/>
  <c r="T127" i="36"/>
  <c r="O127" i="36"/>
  <c r="I127" i="36"/>
  <c r="G127" i="36"/>
  <c r="J127" i="36" s="1"/>
  <c r="B127" i="36"/>
  <c r="Y126" i="36"/>
  <c r="X126" i="36"/>
  <c r="V126" i="36"/>
  <c r="R126" i="36"/>
  <c r="T126" i="36" s="1"/>
  <c r="W126" i="36" s="1"/>
  <c r="O126" i="36"/>
  <c r="J126" i="36"/>
  <c r="L126" i="36" s="1"/>
  <c r="I126" i="36"/>
  <c r="G126" i="36"/>
  <c r="E126" i="36"/>
  <c r="B126" i="36"/>
  <c r="V125" i="36"/>
  <c r="R125" i="36"/>
  <c r="Q125" i="36"/>
  <c r="T125" i="36" s="1"/>
  <c r="O125" i="36"/>
  <c r="I125" i="36"/>
  <c r="E125" i="36"/>
  <c r="D125" i="36"/>
  <c r="B125" i="36"/>
  <c r="V124" i="36"/>
  <c r="R124" i="36"/>
  <c r="O124" i="36"/>
  <c r="I124" i="36"/>
  <c r="E124" i="36"/>
  <c r="B124" i="36"/>
  <c r="P122" i="36"/>
  <c r="W135" i="36" s="1"/>
  <c r="N122" i="36"/>
  <c r="C122" i="36"/>
  <c r="A122" i="36"/>
  <c r="Y119" i="36"/>
  <c r="L119" i="36"/>
  <c r="V114" i="36"/>
  <c r="O114" i="36"/>
  <c r="I114" i="36"/>
  <c r="B114" i="36"/>
  <c r="V113" i="36"/>
  <c r="R113" i="36"/>
  <c r="O113" i="36"/>
  <c r="I113" i="36"/>
  <c r="E113" i="36"/>
  <c r="B113" i="36"/>
  <c r="V112" i="36"/>
  <c r="T112" i="36"/>
  <c r="W112" i="36" s="1"/>
  <c r="O112" i="36"/>
  <c r="K112" i="36"/>
  <c r="I112" i="36"/>
  <c r="G112" i="36"/>
  <c r="J112" i="36" s="1"/>
  <c r="L112" i="36" s="1"/>
  <c r="B112" i="36"/>
  <c r="V111" i="36"/>
  <c r="R111" i="36"/>
  <c r="T111" i="36" s="1"/>
  <c r="W111" i="36" s="1"/>
  <c r="O111" i="36"/>
  <c r="L111" i="36"/>
  <c r="K111" i="36"/>
  <c r="J111" i="36"/>
  <c r="I111" i="36"/>
  <c r="G111" i="36"/>
  <c r="E111" i="36"/>
  <c r="B111" i="36"/>
  <c r="V110" i="36"/>
  <c r="R110" i="36"/>
  <c r="O110" i="36"/>
  <c r="I110" i="36"/>
  <c r="E110" i="36"/>
  <c r="B110" i="36"/>
  <c r="V109" i="36"/>
  <c r="R109" i="36"/>
  <c r="O109" i="36"/>
  <c r="I109" i="36"/>
  <c r="E109" i="36"/>
  <c r="B109" i="36"/>
  <c r="P107" i="36"/>
  <c r="N107" i="36"/>
  <c r="C107" i="36"/>
  <c r="M120" i="36" s="1"/>
  <c r="A107" i="36"/>
  <c r="M105" i="36"/>
  <c r="Y104" i="36"/>
  <c r="L104" i="36"/>
  <c r="V99" i="36"/>
  <c r="O99" i="36"/>
  <c r="I99" i="36"/>
  <c r="B99" i="36"/>
  <c r="V98" i="36"/>
  <c r="R98" i="36"/>
  <c r="O98" i="36"/>
  <c r="I98" i="36"/>
  <c r="E98" i="36"/>
  <c r="B98" i="36"/>
  <c r="V97" i="36"/>
  <c r="T97" i="36"/>
  <c r="W97" i="36" s="1"/>
  <c r="Y97" i="36" s="1"/>
  <c r="O97" i="36"/>
  <c r="J97" i="36"/>
  <c r="L97" i="36" s="1"/>
  <c r="I97" i="36"/>
  <c r="G97" i="36"/>
  <c r="B97" i="36"/>
  <c r="V96" i="36"/>
  <c r="R96" i="36"/>
  <c r="T96" i="36" s="1"/>
  <c r="W96" i="36" s="1"/>
  <c r="Y96" i="36" s="1"/>
  <c r="O96" i="36"/>
  <c r="I96" i="36"/>
  <c r="G96" i="36"/>
  <c r="J96" i="36" s="1"/>
  <c r="E96" i="36"/>
  <c r="B96" i="36"/>
  <c r="V95" i="36"/>
  <c r="R95" i="36"/>
  <c r="O95" i="36"/>
  <c r="I95" i="36"/>
  <c r="E95" i="36"/>
  <c r="G95" i="36" s="1"/>
  <c r="B95" i="36"/>
  <c r="V94" i="36"/>
  <c r="R94" i="36"/>
  <c r="O94" i="36"/>
  <c r="I94" i="36"/>
  <c r="E94" i="36"/>
  <c r="B94" i="36"/>
  <c r="P92" i="36"/>
  <c r="W105" i="36" s="1"/>
  <c r="N92" i="36"/>
  <c r="C92" i="36"/>
  <c r="D95" i="36" s="1"/>
  <c r="A92" i="36"/>
  <c r="W90" i="36"/>
  <c r="M90" i="36"/>
  <c r="Y89" i="36"/>
  <c r="L89" i="36"/>
  <c r="V84" i="36"/>
  <c r="O84" i="36"/>
  <c r="I84" i="36"/>
  <c r="B84" i="36"/>
  <c r="V83" i="36"/>
  <c r="R83" i="36"/>
  <c r="O83" i="36"/>
  <c r="I83" i="36"/>
  <c r="E83" i="36"/>
  <c r="B83" i="36"/>
  <c r="Y82" i="36"/>
  <c r="X82" i="36"/>
  <c r="W82" i="36"/>
  <c r="V82" i="36"/>
  <c r="T82" i="36"/>
  <c r="O82" i="36"/>
  <c r="J82" i="36"/>
  <c r="L82" i="36" s="1"/>
  <c r="I82" i="36"/>
  <c r="G82" i="36"/>
  <c r="B82" i="36"/>
  <c r="V81" i="36"/>
  <c r="R81" i="36"/>
  <c r="T81" i="36" s="1"/>
  <c r="W81" i="36" s="1"/>
  <c r="O81" i="36"/>
  <c r="L81" i="36"/>
  <c r="I81" i="36"/>
  <c r="G81" i="36"/>
  <c r="J81" i="36" s="1"/>
  <c r="K81" i="36" s="1"/>
  <c r="E81" i="36"/>
  <c r="B81" i="36"/>
  <c r="V80" i="36"/>
  <c r="T80" i="36"/>
  <c r="R80" i="36"/>
  <c r="Q80" i="36"/>
  <c r="O80" i="36"/>
  <c r="I80" i="36"/>
  <c r="G80" i="36"/>
  <c r="E80" i="36"/>
  <c r="D80" i="36"/>
  <c r="B80" i="36"/>
  <c r="V79" i="36"/>
  <c r="R79" i="36"/>
  <c r="O79" i="36"/>
  <c r="I79" i="36"/>
  <c r="E79" i="36"/>
  <c r="B79" i="36"/>
  <c r="P77" i="36"/>
  <c r="N77" i="36"/>
  <c r="C77" i="36"/>
  <c r="A77" i="36"/>
  <c r="M75" i="36"/>
  <c r="Y74" i="36"/>
  <c r="L74" i="36"/>
  <c r="V69" i="36"/>
  <c r="O69" i="36"/>
  <c r="I69" i="36"/>
  <c r="B69" i="36"/>
  <c r="V68" i="36"/>
  <c r="R68" i="36"/>
  <c r="O68" i="36"/>
  <c r="I68" i="36"/>
  <c r="E68" i="36"/>
  <c r="B68" i="36"/>
  <c r="V67" i="36"/>
  <c r="T67" i="36"/>
  <c r="W67" i="36" s="1"/>
  <c r="O67" i="36"/>
  <c r="I67" i="36"/>
  <c r="G67" i="36"/>
  <c r="J67" i="36" s="1"/>
  <c r="B67" i="36"/>
  <c r="V66" i="36"/>
  <c r="R66" i="36"/>
  <c r="T66" i="36" s="1"/>
  <c r="W66" i="36" s="1"/>
  <c r="Y66" i="36" s="1"/>
  <c r="O66" i="36"/>
  <c r="L66" i="36"/>
  <c r="K66" i="36"/>
  <c r="J66" i="36"/>
  <c r="I66" i="36"/>
  <c r="G66" i="36"/>
  <c r="E66" i="36"/>
  <c r="B66" i="36"/>
  <c r="V65" i="36"/>
  <c r="R65" i="36"/>
  <c r="Q65" i="36"/>
  <c r="T65" i="36" s="1"/>
  <c r="O65" i="36"/>
  <c r="I65" i="36"/>
  <c r="E65" i="36"/>
  <c r="D65" i="36"/>
  <c r="G65" i="36" s="1"/>
  <c r="B65" i="36"/>
  <c r="V64" i="36"/>
  <c r="R64" i="36"/>
  <c r="O64" i="36"/>
  <c r="I64" i="36"/>
  <c r="E64" i="36"/>
  <c r="B64" i="36"/>
  <c r="P62" i="36"/>
  <c r="W75" i="36" s="1"/>
  <c r="N62" i="36"/>
  <c r="C62" i="36"/>
  <c r="A62" i="36"/>
  <c r="Y59" i="36"/>
  <c r="L59" i="36"/>
  <c r="V54" i="36"/>
  <c r="O54" i="36"/>
  <c r="I54" i="36"/>
  <c r="B54" i="36"/>
  <c r="V53" i="36"/>
  <c r="R53" i="36"/>
  <c r="O53" i="36"/>
  <c r="I53" i="36"/>
  <c r="E53" i="36"/>
  <c r="B53" i="36"/>
  <c r="X52" i="36"/>
  <c r="V52" i="36"/>
  <c r="T52" i="36"/>
  <c r="W52" i="36" s="1"/>
  <c r="Y52" i="36" s="1"/>
  <c r="O52" i="36"/>
  <c r="L52" i="36"/>
  <c r="J52" i="36"/>
  <c r="K52" i="36" s="1"/>
  <c r="I52" i="36"/>
  <c r="G52" i="36"/>
  <c r="B52" i="36"/>
  <c r="V51" i="36"/>
  <c r="R51" i="36"/>
  <c r="T51" i="36" s="1"/>
  <c r="W51" i="36" s="1"/>
  <c r="O51" i="36"/>
  <c r="J51" i="36"/>
  <c r="I51" i="36"/>
  <c r="G51" i="36"/>
  <c r="E51" i="36"/>
  <c r="B51" i="36"/>
  <c r="V50" i="36"/>
  <c r="R50" i="36"/>
  <c r="Q50" i="36"/>
  <c r="T50" i="36" s="1"/>
  <c r="O50" i="36"/>
  <c r="I50" i="36"/>
  <c r="E50" i="36"/>
  <c r="B50" i="36"/>
  <c r="V49" i="36"/>
  <c r="R49" i="36"/>
  <c r="O49" i="36"/>
  <c r="I49" i="36"/>
  <c r="E49" i="36"/>
  <c r="B49" i="36"/>
  <c r="P47" i="36"/>
  <c r="N47" i="36"/>
  <c r="C47" i="36"/>
  <c r="D50" i="36" s="1"/>
  <c r="G50" i="36" s="1"/>
  <c r="A47" i="36"/>
  <c r="Y44" i="36"/>
  <c r="L44" i="36"/>
  <c r="V39" i="36"/>
  <c r="O39" i="36"/>
  <c r="I39" i="36"/>
  <c r="B39" i="36"/>
  <c r="V38" i="36"/>
  <c r="R38" i="36"/>
  <c r="O38" i="36"/>
  <c r="I38" i="36"/>
  <c r="E38" i="36"/>
  <c r="B38" i="36"/>
  <c r="V37" i="36"/>
  <c r="T37" i="36"/>
  <c r="W37" i="36" s="1"/>
  <c r="O37" i="36"/>
  <c r="I37" i="36"/>
  <c r="G37" i="36"/>
  <c r="J37" i="36" s="1"/>
  <c r="L37" i="36" s="1"/>
  <c r="B37" i="36"/>
  <c r="V36" i="36"/>
  <c r="R36" i="36"/>
  <c r="T36" i="36" s="1"/>
  <c r="W36" i="36" s="1"/>
  <c r="O36" i="36"/>
  <c r="L36" i="36"/>
  <c r="K36" i="36"/>
  <c r="J36" i="36"/>
  <c r="I36" i="36"/>
  <c r="G36" i="36"/>
  <c r="E36" i="36"/>
  <c r="B36" i="36"/>
  <c r="V35" i="36"/>
  <c r="R35" i="36"/>
  <c r="Q35" i="36"/>
  <c r="T35" i="36" s="1"/>
  <c r="O35" i="36"/>
  <c r="I35" i="36"/>
  <c r="E35" i="36"/>
  <c r="D35" i="36"/>
  <c r="G35" i="36" s="1"/>
  <c r="B35" i="36"/>
  <c r="V34" i="36"/>
  <c r="R34" i="36"/>
  <c r="O34" i="36"/>
  <c r="I34" i="36"/>
  <c r="E34" i="36"/>
  <c r="B34" i="36"/>
  <c r="P32" i="36"/>
  <c r="N32" i="36"/>
  <c r="C32" i="36"/>
  <c r="A32" i="36"/>
  <c r="Y29" i="36"/>
  <c r="L29" i="36"/>
  <c r="V24" i="36"/>
  <c r="O24" i="36"/>
  <c r="I24" i="36"/>
  <c r="B24" i="36"/>
  <c r="V23" i="36"/>
  <c r="R23" i="36"/>
  <c r="O23" i="36"/>
  <c r="I23" i="36"/>
  <c r="E23" i="36"/>
  <c r="B23" i="36"/>
  <c r="V22" i="36"/>
  <c r="T22" i="36"/>
  <c r="W22" i="36" s="1"/>
  <c r="O22" i="36"/>
  <c r="I22" i="36"/>
  <c r="G22" i="36"/>
  <c r="J22" i="36" s="1"/>
  <c r="B22" i="36"/>
  <c r="V21" i="36"/>
  <c r="R21" i="36"/>
  <c r="T21" i="36" s="1"/>
  <c r="W21" i="36" s="1"/>
  <c r="X21" i="36" s="1"/>
  <c r="O21" i="36"/>
  <c r="J21" i="36"/>
  <c r="L21" i="36" s="1"/>
  <c r="I21" i="36"/>
  <c r="G21" i="36"/>
  <c r="E21" i="36"/>
  <c r="B21" i="36"/>
  <c r="V20" i="36"/>
  <c r="R20" i="36"/>
  <c r="Q20" i="36"/>
  <c r="T20" i="36" s="1"/>
  <c r="O20" i="36"/>
  <c r="I20" i="36"/>
  <c r="E20" i="36"/>
  <c r="D20" i="36"/>
  <c r="G20" i="36" s="1"/>
  <c r="B20" i="36"/>
  <c r="V19" i="36"/>
  <c r="R19" i="36"/>
  <c r="Q19" i="36"/>
  <c r="T19" i="36" s="1"/>
  <c r="O19" i="36"/>
  <c r="I19" i="36"/>
  <c r="E19" i="36"/>
  <c r="D19" i="36"/>
  <c r="G19" i="36" s="1"/>
  <c r="B19" i="36"/>
  <c r="P17" i="36"/>
  <c r="N17" i="36"/>
  <c r="C17" i="36"/>
  <c r="A17" i="36"/>
  <c r="Y14" i="36"/>
  <c r="L14" i="36"/>
  <c r="V9" i="36"/>
  <c r="O9" i="36"/>
  <c r="I9" i="36"/>
  <c r="B9" i="36"/>
  <c r="V8" i="36"/>
  <c r="R8" i="36"/>
  <c r="O8" i="36"/>
  <c r="I8" i="36"/>
  <c r="E8" i="36"/>
  <c r="B8" i="36"/>
  <c r="Y7" i="36"/>
  <c r="X7" i="36"/>
  <c r="W7" i="36"/>
  <c r="V7" i="36"/>
  <c r="T7" i="36"/>
  <c r="O7" i="36"/>
  <c r="J7" i="36"/>
  <c r="L7" i="36" s="1"/>
  <c r="I7" i="36"/>
  <c r="G7" i="36"/>
  <c r="B7" i="36"/>
  <c r="V6" i="36"/>
  <c r="R6" i="36"/>
  <c r="T6" i="36" s="1"/>
  <c r="W6" i="36" s="1"/>
  <c r="O6" i="36"/>
  <c r="I6" i="36"/>
  <c r="E6" i="36"/>
  <c r="G6" i="36" s="1"/>
  <c r="J6" i="36" s="1"/>
  <c r="B6" i="36"/>
  <c r="V5" i="36"/>
  <c r="R5" i="36"/>
  <c r="Q5" i="36"/>
  <c r="T5" i="36" s="1"/>
  <c r="O5" i="36"/>
  <c r="I5" i="36"/>
  <c r="E5" i="36"/>
  <c r="B5" i="36"/>
  <c r="V4" i="36"/>
  <c r="R4" i="36"/>
  <c r="Q4" i="36"/>
  <c r="T4" i="36" s="1"/>
  <c r="O4" i="36"/>
  <c r="I4" i="36"/>
  <c r="E4" i="36"/>
  <c r="B4" i="36"/>
  <c r="P2" i="36"/>
  <c r="N2" i="36"/>
  <c r="C2" i="36"/>
  <c r="D5" i="36" s="1"/>
  <c r="G5" i="36" s="1"/>
  <c r="A2" i="36"/>
  <c r="D124" i="36"/>
  <c r="G124" i="36" s="1"/>
  <c r="Q64" i="36"/>
  <c r="T64" i="36" s="1"/>
  <c r="D79" i="36"/>
  <c r="Q79" i="36"/>
  <c r="D94" i="36"/>
  <c r="G94" i="36" s="1"/>
  <c r="Q94" i="36"/>
  <c r="T94" i="36" s="1"/>
  <c r="D109" i="36"/>
  <c r="Q109" i="36"/>
  <c r="T109" i="36" s="1"/>
  <c r="Q124" i="36"/>
  <c r="D139" i="36"/>
  <c r="Q139" i="36"/>
  <c r="T139" i="36" s="1"/>
  <c r="D34" i="36"/>
  <c r="G34" i="36" s="1"/>
  <c r="Q34" i="36"/>
  <c r="T34" i="36" s="1"/>
  <c r="D49" i="36"/>
  <c r="Q49" i="36"/>
  <c r="T49" i="36" s="1"/>
  <c r="D64" i="36"/>
  <c r="G64" i="36" s="1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52" i="9"/>
  <c r="D4" i="36"/>
  <c r="G4" i="36" s="1"/>
  <c r="M51" i="9"/>
  <c r="I101" i="34"/>
  <c r="H94" i="34"/>
  <c r="B90" i="34"/>
  <c r="B83" i="34"/>
  <c r="B82" i="34"/>
  <c r="B76" i="34"/>
  <c r="B75" i="34"/>
  <c r="B74" i="34"/>
  <c r="A74" i="34"/>
  <c r="H50" i="34"/>
  <c r="G50" i="34"/>
  <c r="F50" i="34"/>
  <c r="E50" i="34"/>
  <c r="B49" i="34"/>
  <c r="E47" i="34"/>
  <c r="E46" i="34"/>
  <c r="E45" i="34"/>
  <c r="E44" i="34"/>
  <c r="F43" i="34"/>
  <c r="E43" i="34"/>
  <c r="C43" i="34"/>
  <c r="H41" i="34"/>
  <c r="G41" i="34"/>
  <c r="F41" i="34"/>
  <c r="E41" i="34"/>
  <c r="B40" i="34"/>
  <c r="F38" i="34"/>
  <c r="E38" i="34"/>
  <c r="C38" i="34"/>
  <c r="F37" i="34"/>
  <c r="E37" i="34"/>
  <c r="C37" i="34"/>
  <c r="F36" i="34"/>
  <c r="E36" i="34"/>
  <c r="C36" i="34"/>
  <c r="E34" i="34"/>
  <c r="B33" i="34"/>
  <c r="B32" i="34"/>
  <c r="K30" i="34"/>
  <c r="C30" i="34"/>
  <c r="K29" i="34"/>
  <c r="C29" i="34"/>
  <c r="K28" i="34"/>
  <c r="I28" i="34"/>
  <c r="J28" i="34" s="1"/>
  <c r="C28" i="34"/>
  <c r="K27" i="34"/>
  <c r="C27" i="34"/>
  <c r="E22" i="34"/>
  <c r="E21" i="34"/>
  <c r="S22" i="34"/>
  <c r="Q22" i="34"/>
  <c r="P22" i="34"/>
  <c r="Q17" i="34"/>
  <c r="R21" i="34" s="1"/>
  <c r="P17" i="34"/>
  <c r="S21" i="34"/>
  <c r="Q21" i="34"/>
  <c r="P21" i="34"/>
  <c r="U16" i="34"/>
  <c r="R22" i="34" s="1"/>
  <c r="T16" i="34"/>
  <c r="E18" i="34" s="1"/>
  <c r="Q16" i="34"/>
  <c r="P16" i="34"/>
  <c r="S20" i="34"/>
  <c r="Q20" i="34"/>
  <c r="P20" i="34"/>
  <c r="E13" i="34"/>
  <c r="A11" i="34"/>
  <c r="A10" i="34"/>
  <c r="A9" i="34"/>
  <c r="E8" i="34"/>
  <c r="E7" i="34"/>
  <c r="E6" i="34"/>
  <c r="E5" i="34"/>
  <c r="E4" i="34"/>
  <c r="A1" i="34"/>
  <c r="D23" i="33"/>
  <c r="D21" i="33"/>
  <c r="D20" i="33"/>
  <c r="D18" i="33"/>
  <c r="E11" i="33"/>
  <c r="D12" i="33"/>
  <c r="A12" i="33"/>
  <c r="A11" i="33"/>
  <c r="D11" i="33"/>
  <c r="D10" i="33"/>
  <c r="D9" i="33"/>
  <c r="D8" i="33"/>
  <c r="F6" i="33"/>
  <c r="H18" i="16"/>
  <c r="G18" i="16"/>
  <c r="F18" i="16"/>
  <c r="E18" i="16"/>
  <c r="H17" i="16"/>
  <c r="H16" i="16"/>
  <c r="G17" i="16"/>
  <c r="G16" i="16"/>
  <c r="F17" i="16"/>
  <c r="F16" i="16"/>
  <c r="E17" i="16"/>
  <c r="E16" i="16"/>
  <c r="F8" i="16"/>
  <c r="E12" i="33" s="1"/>
  <c r="F7" i="16"/>
  <c r="E8" i="16"/>
  <c r="E7" i="16"/>
  <c r="B59" i="33"/>
  <c r="B58" i="33"/>
  <c r="B45" i="33"/>
  <c r="B46" i="33" s="1"/>
  <c r="B43" i="33"/>
  <c r="E26" i="33"/>
  <c r="K28" i="16"/>
  <c r="P13" i="16"/>
  <c r="E13" i="16"/>
  <c r="P12" i="16"/>
  <c r="D7" i="1"/>
  <c r="D4" i="1"/>
  <c r="I28" i="16"/>
  <c r="J28" i="16" s="1"/>
  <c r="S21" i="1"/>
  <c r="I26" i="1"/>
  <c r="U16" i="16"/>
  <c r="T16" i="16"/>
  <c r="B75" i="9"/>
  <c r="G17" i="9"/>
  <c r="A298" i="32"/>
  <c r="M273" i="32"/>
  <c r="M272" i="32"/>
  <c r="M271" i="32"/>
  <c r="M270" i="32"/>
  <c r="M269" i="32"/>
  <c r="M268" i="32"/>
  <c r="K310" i="32"/>
  <c r="J310" i="32"/>
  <c r="I310" i="32"/>
  <c r="K309" i="32"/>
  <c r="J309" i="32"/>
  <c r="I309" i="32"/>
  <c r="K308" i="32"/>
  <c r="J308" i="32"/>
  <c r="I308" i="32"/>
  <c r="K307" i="32"/>
  <c r="J307" i="32"/>
  <c r="I307" i="32"/>
  <c r="K306" i="32"/>
  <c r="J306" i="32"/>
  <c r="I306" i="32"/>
  <c r="K305" i="32"/>
  <c r="J305" i="32"/>
  <c r="I305" i="32"/>
  <c r="K304" i="32"/>
  <c r="J304" i="32"/>
  <c r="I304" i="32"/>
  <c r="K303" i="32"/>
  <c r="J303" i="32"/>
  <c r="I303" i="32"/>
  <c r="K302" i="32"/>
  <c r="J302" i="32"/>
  <c r="I302" i="32"/>
  <c r="K301" i="32"/>
  <c r="J301" i="32"/>
  <c r="I301" i="32"/>
  <c r="K300" i="32"/>
  <c r="J300" i="32"/>
  <c r="I300" i="32"/>
  <c r="K299" i="32"/>
  <c r="J299" i="32"/>
  <c r="I299" i="32"/>
  <c r="A311" i="32"/>
  <c r="N298" i="32" s="1"/>
  <c r="N311" i="32" s="1"/>
  <c r="A289" i="32"/>
  <c r="A283" i="32"/>
  <c r="A275" i="32"/>
  <c r="A267" i="32"/>
  <c r="Q262" i="32"/>
  <c r="P262" i="32"/>
  <c r="O262" i="32"/>
  <c r="N262" i="32"/>
  <c r="M262" i="32"/>
  <c r="L262" i="32"/>
  <c r="H262" i="32"/>
  <c r="G262" i="32"/>
  <c r="F262" i="32"/>
  <c r="E262" i="32"/>
  <c r="D262" i="32"/>
  <c r="C262" i="32"/>
  <c r="Q261" i="32"/>
  <c r="O261" i="32"/>
  <c r="N261" i="32"/>
  <c r="M261" i="32"/>
  <c r="L261" i="32"/>
  <c r="H261" i="32"/>
  <c r="F261" i="32"/>
  <c r="E261" i="32"/>
  <c r="D261" i="32"/>
  <c r="C261" i="32"/>
  <c r="Q260" i="32"/>
  <c r="P260" i="32"/>
  <c r="O260" i="32"/>
  <c r="N260" i="32"/>
  <c r="M260" i="32"/>
  <c r="L260" i="32"/>
  <c r="H260" i="32"/>
  <c r="G260" i="32"/>
  <c r="F260" i="32"/>
  <c r="E260" i="32"/>
  <c r="D260" i="32"/>
  <c r="C260" i="32"/>
  <c r="O259" i="32"/>
  <c r="N259" i="32"/>
  <c r="M259" i="32"/>
  <c r="L259" i="32"/>
  <c r="H259" i="32"/>
  <c r="F259" i="32"/>
  <c r="E259" i="32"/>
  <c r="D259" i="32"/>
  <c r="C259" i="32"/>
  <c r="Q258" i="32"/>
  <c r="P258" i="32"/>
  <c r="O258" i="32"/>
  <c r="N258" i="32"/>
  <c r="M258" i="32"/>
  <c r="L258" i="32"/>
  <c r="H258" i="32"/>
  <c r="G258" i="32"/>
  <c r="F258" i="32"/>
  <c r="E258" i="32"/>
  <c r="D258" i="32"/>
  <c r="C258" i="32"/>
  <c r="O257" i="32"/>
  <c r="N257" i="32"/>
  <c r="M257" i="32"/>
  <c r="L257" i="32"/>
  <c r="F257" i="32"/>
  <c r="E257" i="32"/>
  <c r="D257" i="32"/>
  <c r="C257" i="32"/>
  <c r="Q256" i="32"/>
  <c r="P256" i="32"/>
  <c r="O256" i="32"/>
  <c r="N256" i="32"/>
  <c r="M256" i="32"/>
  <c r="L256" i="32"/>
  <c r="F256" i="32"/>
  <c r="E256" i="32"/>
  <c r="D256" i="32"/>
  <c r="C256" i="32"/>
  <c r="O255" i="32"/>
  <c r="N255" i="32"/>
  <c r="M255" i="32"/>
  <c r="L255" i="32"/>
  <c r="H255" i="32"/>
  <c r="F255" i="32"/>
  <c r="E255" i="32"/>
  <c r="D255" i="32"/>
  <c r="C255" i="32"/>
  <c r="O254" i="32"/>
  <c r="N254" i="32"/>
  <c r="M254" i="32"/>
  <c r="L254" i="32"/>
  <c r="H254" i="32"/>
  <c r="F254" i="32"/>
  <c r="E254" i="32"/>
  <c r="D254" i="32"/>
  <c r="C254" i="32"/>
  <c r="O253" i="32"/>
  <c r="N253" i="32"/>
  <c r="M253" i="32"/>
  <c r="L253" i="32"/>
  <c r="F253" i="32"/>
  <c r="E253" i="32"/>
  <c r="D253" i="32"/>
  <c r="C253" i="32"/>
  <c r="O252" i="32"/>
  <c r="N252" i="32"/>
  <c r="M252" i="32"/>
  <c r="L252" i="32"/>
  <c r="H252" i="32"/>
  <c r="G252" i="32"/>
  <c r="F252" i="32"/>
  <c r="E252" i="32"/>
  <c r="D252" i="32"/>
  <c r="C252" i="32"/>
  <c r="O251" i="32"/>
  <c r="N251" i="32"/>
  <c r="M251" i="32"/>
  <c r="L251" i="32"/>
  <c r="H251" i="32"/>
  <c r="F251" i="32"/>
  <c r="E251" i="32"/>
  <c r="D251" i="32"/>
  <c r="C251" i="32"/>
  <c r="Q249" i="32"/>
  <c r="P249" i="32"/>
  <c r="O249" i="32"/>
  <c r="N249" i="32"/>
  <c r="M249" i="32"/>
  <c r="L249" i="32"/>
  <c r="H249" i="32"/>
  <c r="F249" i="32"/>
  <c r="E249" i="32"/>
  <c r="D249" i="32"/>
  <c r="C249" i="32"/>
  <c r="Q248" i="32"/>
  <c r="O248" i="32"/>
  <c r="N248" i="32"/>
  <c r="M248" i="32"/>
  <c r="L248" i="32"/>
  <c r="H248" i="32"/>
  <c r="F248" i="32"/>
  <c r="E248" i="32"/>
  <c r="D248" i="32"/>
  <c r="C248" i="32"/>
  <c r="Q247" i="32"/>
  <c r="O247" i="32"/>
  <c r="N247" i="32"/>
  <c r="M247" i="32"/>
  <c r="L247" i="32"/>
  <c r="H247" i="32"/>
  <c r="F247" i="32"/>
  <c r="E247" i="32"/>
  <c r="D247" i="32"/>
  <c r="C247" i="32"/>
  <c r="O246" i="32"/>
  <c r="N246" i="32"/>
  <c r="M246" i="32"/>
  <c r="L246" i="32"/>
  <c r="H246" i="32"/>
  <c r="F246" i="32"/>
  <c r="E246" i="32"/>
  <c r="D246" i="32"/>
  <c r="C246" i="32"/>
  <c r="Q245" i="32"/>
  <c r="P245" i="32"/>
  <c r="O245" i="32"/>
  <c r="N245" i="32"/>
  <c r="M245" i="32"/>
  <c r="L245" i="32"/>
  <c r="G245" i="32"/>
  <c r="F245" i="32"/>
  <c r="E245" i="32"/>
  <c r="D245" i="32"/>
  <c r="C245" i="32"/>
  <c r="O244" i="32"/>
  <c r="N244" i="32"/>
  <c r="M244" i="32"/>
  <c r="L244" i="32"/>
  <c r="H244" i="32"/>
  <c r="F244" i="32"/>
  <c r="E244" i="32"/>
  <c r="D244" i="32"/>
  <c r="C244" i="32"/>
  <c r="Q243" i="32"/>
  <c r="P243" i="32"/>
  <c r="O243" i="32"/>
  <c r="N243" i="32"/>
  <c r="M243" i="32"/>
  <c r="L243" i="32"/>
  <c r="F243" i="32"/>
  <c r="E243" i="32"/>
  <c r="D243" i="32"/>
  <c r="C243" i="32"/>
  <c r="O242" i="32"/>
  <c r="N242" i="32"/>
  <c r="M242" i="32"/>
  <c r="L242" i="32"/>
  <c r="F242" i="32"/>
  <c r="E242" i="32"/>
  <c r="D242" i="32"/>
  <c r="C242" i="32"/>
  <c r="O241" i="32"/>
  <c r="N241" i="32"/>
  <c r="M241" i="32"/>
  <c r="L241" i="32"/>
  <c r="H241" i="32"/>
  <c r="G241" i="32"/>
  <c r="F241" i="32"/>
  <c r="E241" i="32"/>
  <c r="D241" i="32"/>
  <c r="C241" i="32"/>
  <c r="O240" i="32"/>
  <c r="N240" i="32"/>
  <c r="M240" i="32"/>
  <c r="L240" i="32"/>
  <c r="H240" i="32"/>
  <c r="F240" i="32"/>
  <c r="E240" i="32"/>
  <c r="D240" i="32"/>
  <c r="C240" i="32"/>
  <c r="Q239" i="32"/>
  <c r="P239" i="32"/>
  <c r="O239" i="32"/>
  <c r="N239" i="32"/>
  <c r="M239" i="32"/>
  <c r="L239" i="32"/>
  <c r="H239" i="32"/>
  <c r="G239" i="32"/>
  <c r="F239" i="32"/>
  <c r="E239" i="32"/>
  <c r="D239" i="32"/>
  <c r="C239" i="32"/>
  <c r="O238" i="32"/>
  <c r="N238" i="32"/>
  <c r="M238" i="32"/>
  <c r="L238" i="32"/>
  <c r="H238" i="32"/>
  <c r="F238" i="32"/>
  <c r="E238" i="32"/>
  <c r="D238" i="32"/>
  <c r="C238" i="32"/>
  <c r="Q236" i="32"/>
  <c r="P236" i="32"/>
  <c r="O236" i="32"/>
  <c r="N236" i="32"/>
  <c r="M236" i="32"/>
  <c r="L236" i="32"/>
  <c r="H236" i="32"/>
  <c r="F236" i="32"/>
  <c r="E236" i="32"/>
  <c r="D236" i="32"/>
  <c r="C236" i="32"/>
  <c r="Q235" i="32"/>
  <c r="O235" i="32"/>
  <c r="N235" i="32"/>
  <c r="M235" i="32"/>
  <c r="L235" i="32"/>
  <c r="H235" i="32"/>
  <c r="F235" i="32"/>
  <c r="E235" i="32"/>
  <c r="D235" i="32"/>
  <c r="C235" i="32"/>
  <c r="Q234" i="32"/>
  <c r="P234" i="32"/>
  <c r="O234" i="32"/>
  <c r="N234" i="32"/>
  <c r="M234" i="32"/>
  <c r="L234" i="32"/>
  <c r="H234" i="32"/>
  <c r="G234" i="32"/>
  <c r="F234" i="32"/>
  <c r="E234" i="32"/>
  <c r="D234" i="32"/>
  <c r="C234" i="32"/>
  <c r="O233" i="32"/>
  <c r="N233" i="32"/>
  <c r="M233" i="32"/>
  <c r="L233" i="32"/>
  <c r="H233" i="32"/>
  <c r="F233" i="32"/>
  <c r="E233" i="32"/>
  <c r="D233" i="32"/>
  <c r="C233" i="32"/>
  <c r="Q232" i="32"/>
  <c r="P232" i="32"/>
  <c r="O232" i="32"/>
  <c r="N232" i="32"/>
  <c r="M232" i="32"/>
  <c r="L232" i="32"/>
  <c r="H232" i="32"/>
  <c r="G232" i="32"/>
  <c r="F232" i="32"/>
  <c r="E232" i="32"/>
  <c r="D232" i="32"/>
  <c r="C232" i="32"/>
  <c r="O231" i="32"/>
  <c r="N231" i="32"/>
  <c r="M231" i="32"/>
  <c r="L231" i="32"/>
  <c r="H231" i="32"/>
  <c r="F231" i="32"/>
  <c r="E231" i="32"/>
  <c r="D231" i="32"/>
  <c r="C231" i="32"/>
  <c r="O230" i="32"/>
  <c r="N230" i="32"/>
  <c r="M230" i="32"/>
  <c r="L230" i="32"/>
  <c r="H230" i="32"/>
  <c r="F230" i="32"/>
  <c r="E230" i="32"/>
  <c r="D230" i="32"/>
  <c r="C230" i="32"/>
  <c r="O229" i="32"/>
  <c r="N229" i="32"/>
  <c r="M229" i="32"/>
  <c r="L229" i="32"/>
  <c r="F229" i="32"/>
  <c r="E229" i="32"/>
  <c r="D229" i="32"/>
  <c r="C229" i="32"/>
  <c r="Q228" i="32"/>
  <c r="O228" i="32"/>
  <c r="N228" i="32"/>
  <c r="M228" i="32"/>
  <c r="L228" i="32"/>
  <c r="H228" i="32"/>
  <c r="G228" i="32"/>
  <c r="F228" i="32"/>
  <c r="E228" i="32"/>
  <c r="D228" i="32"/>
  <c r="C228" i="32"/>
  <c r="O227" i="32"/>
  <c r="N227" i="32"/>
  <c r="M227" i="32"/>
  <c r="L227" i="32"/>
  <c r="H227" i="32"/>
  <c r="F227" i="32"/>
  <c r="E227" i="32"/>
  <c r="D227" i="32"/>
  <c r="C227" i="32"/>
  <c r="Q226" i="32"/>
  <c r="P226" i="32"/>
  <c r="O226" i="32"/>
  <c r="N226" i="32"/>
  <c r="M226" i="32"/>
  <c r="L226" i="32"/>
  <c r="H226" i="32"/>
  <c r="F226" i="32"/>
  <c r="E226" i="32"/>
  <c r="D226" i="32"/>
  <c r="C226" i="32"/>
  <c r="O225" i="32"/>
  <c r="N225" i="32"/>
  <c r="M225" i="32"/>
  <c r="L225" i="32"/>
  <c r="H225" i="32"/>
  <c r="F225" i="32"/>
  <c r="E225" i="32"/>
  <c r="D225" i="32"/>
  <c r="C225" i="32"/>
  <c r="Q223" i="32"/>
  <c r="O223" i="32"/>
  <c r="N223" i="32"/>
  <c r="M223" i="32"/>
  <c r="L223" i="32"/>
  <c r="H223" i="32"/>
  <c r="G223" i="32"/>
  <c r="F223" i="32"/>
  <c r="E223" i="32"/>
  <c r="D223" i="32"/>
  <c r="C223" i="32"/>
  <c r="Q222" i="32"/>
  <c r="O222" i="32"/>
  <c r="N222" i="32"/>
  <c r="M222" i="32"/>
  <c r="L222" i="32"/>
  <c r="H222" i="32"/>
  <c r="F222" i="32"/>
  <c r="E222" i="32"/>
  <c r="D222" i="32"/>
  <c r="C222" i="32"/>
  <c r="Q221" i="32"/>
  <c r="O221" i="32"/>
  <c r="N221" i="32"/>
  <c r="M221" i="32"/>
  <c r="L221" i="32"/>
  <c r="H221" i="32"/>
  <c r="G221" i="32"/>
  <c r="F221" i="32"/>
  <c r="E221" i="32"/>
  <c r="D221" i="32"/>
  <c r="C221" i="32"/>
  <c r="O220" i="32"/>
  <c r="N220" i="32"/>
  <c r="M220" i="32"/>
  <c r="L220" i="32"/>
  <c r="H220" i="32"/>
  <c r="F220" i="32"/>
  <c r="E220" i="32"/>
  <c r="D220" i="32"/>
  <c r="C220" i="32"/>
  <c r="Q219" i="32"/>
  <c r="P219" i="32"/>
  <c r="O219" i="32"/>
  <c r="N219" i="32"/>
  <c r="M219" i="32"/>
  <c r="L219" i="32"/>
  <c r="H219" i="32"/>
  <c r="G219" i="32"/>
  <c r="F219" i="32"/>
  <c r="E219" i="32"/>
  <c r="D219" i="32"/>
  <c r="C219" i="32"/>
  <c r="O218" i="32"/>
  <c r="N218" i="32"/>
  <c r="M218" i="32"/>
  <c r="L218" i="32"/>
  <c r="H218" i="32"/>
  <c r="F218" i="32"/>
  <c r="E218" i="32"/>
  <c r="D218" i="32"/>
  <c r="C218" i="32"/>
  <c r="O217" i="32"/>
  <c r="N217" i="32"/>
  <c r="M217" i="32"/>
  <c r="L217" i="32"/>
  <c r="H217" i="32"/>
  <c r="G217" i="32"/>
  <c r="F217" i="32"/>
  <c r="E217" i="32"/>
  <c r="D217" i="32"/>
  <c r="C217" i="32"/>
  <c r="O216" i="32"/>
  <c r="N216" i="32"/>
  <c r="M216" i="32"/>
  <c r="L216" i="32"/>
  <c r="H216" i="32"/>
  <c r="F216" i="32"/>
  <c r="E216" i="32"/>
  <c r="D216" i="32"/>
  <c r="C216" i="32"/>
  <c r="Q215" i="32"/>
  <c r="P215" i="32"/>
  <c r="O215" i="32"/>
  <c r="N215" i="32"/>
  <c r="M215" i="32"/>
  <c r="L215" i="32"/>
  <c r="H215" i="32"/>
  <c r="G215" i="32"/>
  <c r="F215" i="32"/>
  <c r="E215" i="32"/>
  <c r="D215" i="32"/>
  <c r="C215" i="32"/>
  <c r="O214" i="32"/>
  <c r="N214" i="32"/>
  <c r="M214" i="32"/>
  <c r="L214" i="32"/>
  <c r="H214" i="32"/>
  <c r="F214" i="32"/>
  <c r="E214" i="32"/>
  <c r="D214" i="32"/>
  <c r="C214" i="32"/>
  <c r="Q213" i="32"/>
  <c r="P213" i="32"/>
  <c r="O213" i="32"/>
  <c r="N213" i="32"/>
  <c r="M213" i="32"/>
  <c r="L213" i="32"/>
  <c r="H213" i="32"/>
  <c r="G213" i="32"/>
  <c r="F213" i="32"/>
  <c r="E213" i="32"/>
  <c r="D213" i="32"/>
  <c r="C213" i="32"/>
  <c r="O212" i="32"/>
  <c r="N212" i="32"/>
  <c r="M212" i="32"/>
  <c r="L212" i="32"/>
  <c r="H212" i="32"/>
  <c r="F212" i="32"/>
  <c r="E212" i="32"/>
  <c r="D212" i="32"/>
  <c r="C212" i="32"/>
  <c r="L210" i="32"/>
  <c r="C210" i="32"/>
  <c r="Q207" i="32"/>
  <c r="O207" i="32"/>
  <c r="N207" i="32"/>
  <c r="M207" i="32"/>
  <c r="L207" i="32"/>
  <c r="H207" i="32"/>
  <c r="F207" i="32"/>
  <c r="E207" i="32"/>
  <c r="D207" i="32"/>
  <c r="C207" i="32"/>
  <c r="Q206" i="32"/>
  <c r="P206" i="32"/>
  <c r="O206" i="32"/>
  <c r="N206" i="32"/>
  <c r="M206" i="32"/>
  <c r="L206" i="32"/>
  <c r="H206" i="32"/>
  <c r="F206" i="32"/>
  <c r="E206" i="32"/>
  <c r="D206" i="32"/>
  <c r="C206" i="32"/>
  <c r="Q205" i="32"/>
  <c r="O205" i="32"/>
  <c r="N205" i="32"/>
  <c r="M205" i="32"/>
  <c r="L205" i="32"/>
  <c r="H205" i="32"/>
  <c r="G205" i="32"/>
  <c r="F205" i="32"/>
  <c r="E205" i="32"/>
  <c r="D205" i="32"/>
  <c r="C205" i="32"/>
  <c r="Q204" i="32"/>
  <c r="O204" i="32"/>
  <c r="N204" i="32"/>
  <c r="M204" i="32"/>
  <c r="L204" i="32"/>
  <c r="F204" i="32"/>
  <c r="E204" i="32"/>
  <c r="D204" i="32"/>
  <c r="C204" i="32"/>
  <c r="Q203" i="32"/>
  <c r="O203" i="32"/>
  <c r="N203" i="32"/>
  <c r="M203" i="32"/>
  <c r="L203" i="32"/>
  <c r="F203" i="32"/>
  <c r="E203" i="32"/>
  <c r="D203" i="32"/>
  <c r="C203" i="32"/>
  <c r="Q202" i="32"/>
  <c r="O202" i="32"/>
  <c r="N202" i="32"/>
  <c r="M202" i="32"/>
  <c r="L202" i="32"/>
  <c r="F202" i="32"/>
  <c r="E202" i="32"/>
  <c r="D202" i="32"/>
  <c r="C202" i="32"/>
  <c r="Q201" i="32"/>
  <c r="O201" i="32"/>
  <c r="N201" i="32"/>
  <c r="M201" i="32"/>
  <c r="L201" i="32"/>
  <c r="H201" i="32"/>
  <c r="F201" i="32"/>
  <c r="E201" i="32"/>
  <c r="D201" i="32"/>
  <c r="C201" i="32"/>
  <c r="Q200" i="32"/>
  <c r="P200" i="32"/>
  <c r="O200" i="32"/>
  <c r="N200" i="32"/>
  <c r="M200" i="32"/>
  <c r="L200" i="32"/>
  <c r="F200" i="32"/>
  <c r="E200" i="32"/>
  <c r="D200" i="32"/>
  <c r="C200" i="32"/>
  <c r="O199" i="32"/>
  <c r="N199" i="32"/>
  <c r="M199" i="32"/>
  <c r="L199" i="32"/>
  <c r="H199" i="32"/>
  <c r="G199" i="32"/>
  <c r="F199" i="32"/>
  <c r="E199" i="32"/>
  <c r="D199" i="32"/>
  <c r="C199" i="32"/>
  <c r="P198" i="32"/>
  <c r="O198" i="32"/>
  <c r="N198" i="32"/>
  <c r="M198" i="32"/>
  <c r="L198" i="32"/>
  <c r="F198" i="32"/>
  <c r="E198" i="32"/>
  <c r="D198" i="32"/>
  <c r="C198" i="32"/>
  <c r="Q197" i="32"/>
  <c r="O197" i="32"/>
  <c r="N197" i="32"/>
  <c r="M197" i="32"/>
  <c r="L197" i="32"/>
  <c r="H197" i="32"/>
  <c r="G197" i="32"/>
  <c r="F197" i="32"/>
  <c r="E197" i="32"/>
  <c r="D197" i="32"/>
  <c r="C197" i="32"/>
  <c r="O196" i="32"/>
  <c r="N196" i="32"/>
  <c r="M196" i="32"/>
  <c r="L196" i="32"/>
  <c r="F196" i="32"/>
  <c r="E196" i="32"/>
  <c r="D196" i="32"/>
  <c r="C196" i="32"/>
  <c r="Q194" i="32"/>
  <c r="O194" i="32"/>
  <c r="N194" i="32"/>
  <c r="M194" i="32"/>
  <c r="L194" i="32"/>
  <c r="H194" i="32"/>
  <c r="F194" i="32"/>
  <c r="E194" i="32"/>
  <c r="D194" i="32"/>
  <c r="C194" i="32"/>
  <c r="Q193" i="32"/>
  <c r="P193" i="32"/>
  <c r="O193" i="32"/>
  <c r="N193" i="32"/>
  <c r="M193" i="32"/>
  <c r="L193" i="32"/>
  <c r="H193" i="32"/>
  <c r="F193" i="32"/>
  <c r="E193" i="32"/>
  <c r="D193" i="32"/>
  <c r="C193" i="32"/>
  <c r="Q192" i="32"/>
  <c r="O192" i="32"/>
  <c r="N192" i="32"/>
  <c r="M192" i="32"/>
  <c r="L192" i="32"/>
  <c r="H192" i="32"/>
  <c r="G192" i="32"/>
  <c r="F192" i="32"/>
  <c r="E192" i="32"/>
  <c r="D192" i="32"/>
  <c r="C192" i="32"/>
  <c r="P191" i="32"/>
  <c r="O191" i="32"/>
  <c r="N191" i="32"/>
  <c r="M191" i="32"/>
  <c r="L191" i="32"/>
  <c r="F191" i="32"/>
  <c r="E191" i="32"/>
  <c r="D191" i="32"/>
  <c r="C191" i="32"/>
  <c r="Q190" i="32"/>
  <c r="O190" i="32"/>
  <c r="N190" i="32"/>
  <c r="M190" i="32"/>
  <c r="L190" i="32"/>
  <c r="F190" i="32"/>
  <c r="E190" i="32"/>
  <c r="D190" i="32"/>
  <c r="C190" i="32"/>
  <c r="Q189" i="32"/>
  <c r="P189" i="32"/>
  <c r="O189" i="32"/>
  <c r="N189" i="32"/>
  <c r="M189" i="32"/>
  <c r="L189" i="32"/>
  <c r="F189" i="32"/>
  <c r="E189" i="32"/>
  <c r="D189" i="32"/>
  <c r="C189" i="32"/>
  <c r="Q188" i="32"/>
  <c r="O188" i="32"/>
  <c r="N188" i="32"/>
  <c r="M188" i="32"/>
  <c r="L188" i="32"/>
  <c r="H188" i="32"/>
  <c r="G188" i="32"/>
  <c r="F188" i="32"/>
  <c r="E188" i="32"/>
  <c r="D188" i="32"/>
  <c r="C188" i="32"/>
  <c r="Q187" i="32"/>
  <c r="P187" i="32"/>
  <c r="O187" i="32"/>
  <c r="N187" i="32"/>
  <c r="M187" i="32"/>
  <c r="L187" i="32"/>
  <c r="F187" i="32"/>
  <c r="E187" i="32"/>
  <c r="D187" i="32"/>
  <c r="C187" i="32"/>
  <c r="Q186" i="32"/>
  <c r="O186" i="32"/>
  <c r="N186" i="32"/>
  <c r="M186" i="32"/>
  <c r="L186" i="32"/>
  <c r="H186" i="32"/>
  <c r="G186" i="32"/>
  <c r="F186" i="32"/>
  <c r="E186" i="32"/>
  <c r="D186" i="32"/>
  <c r="C186" i="32"/>
  <c r="O185" i="32"/>
  <c r="N185" i="32"/>
  <c r="M185" i="32"/>
  <c r="L185" i="32"/>
  <c r="F185" i="32"/>
  <c r="E185" i="32"/>
  <c r="D185" i="32"/>
  <c r="C185" i="32"/>
  <c r="Q184" i="32"/>
  <c r="O184" i="32"/>
  <c r="N184" i="32"/>
  <c r="M184" i="32"/>
  <c r="L184" i="32"/>
  <c r="F184" i="32"/>
  <c r="E184" i="32"/>
  <c r="D184" i="32"/>
  <c r="C184" i="32"/>
  <c r="Q183" i="32"/>
  <c r="P183" i="32"/>
  <c r="O183" i="32"/>
  <c r="N183" i="32"/>
  <c r="M183" i="32"/>
  <c r="L183" i="32"/>
  <c r="F183" i="32"/>
  <c r="E183" i="32"/>
  <c r="D183" i="32"/>
  <c r="C183" i="32"/>
  <c r="Q181" i="32"/>
  <c r="O181" i="32"/>
  <c r="N181" i="32"/>
  <c r="M181" i="32"/>
  <c r="L181" i="32"/>
  <c r="H181" i="32"/>
  <c r="G181" i="32"/>
  <c r="F181" i="32"/>
  <c r="E181" i="32"/>
  <c r="D181" i="32"/>
  <c r="C181" i="32"/>
  <c r="Q180" i="32"/>
  <c r="P180" i="32"/>
  <c r="O180" i="32"/>
  <c r="N180" i="32"/>
  <c r="M180" i="32"/>
  <c r="L180" i="32"/>
  <c r="H180" i="32"/>
  <c r="F180" i="32"/>
  <c r="E180" i="32"/>
  <c r="D180" i="32"/>
  <c r="C180" i="32"/>
  <c r="Q179" i="32"/>
  <c r="O179" i="32"/>
  <c r="N179" i="32"/>
  <c r="M179" i="32"/>
  <c r="L179" i="32"/>
  <c r="H179" i="32"/>
  <c r="G179" i="32"/>
  <c r="F179" i="32"/>
  <c r="E179" i="32"/>
  <c r="D179" i="32"/>
  <c r="C179" i="32"/>
  <c r="Q178" i="32"/>
  <c r="O178" i="32"/>
  <c r="N178" i="32"/>
  <c r="M178" i="32"/>
  <c r="L178" i="32"/>
  <c r="F178" i="32"/>
  <c r="E178" i="32"/>
  <c r="D178" i="32"/>
  <c r="C178" i="32"/>
  <c r="Q177" i="32"/>
  <c r="O177" i="32"/>
  <c r="N177" i="32"/>
  <c r="M177" i="32"/>
  <c r="L177" i="32"/>
  <c r="H177" i="32"/>
  <c r="F177" i="32"/>
  <c r="E177" i="32"/>
  <c r="D177" i="32"/>
  <c r="C177" i="32"/>
  <c r="Q176" i="32"/>
  <c r="O176" i="32"/>
  <c r="N176" i="32"/>
  <c r="M176" i="32"/>
  <c r="L176" i="32"/>
  <c r="F176" i="32"/>
  <c r="E176" i="32"/>
  <c r="D176" i="32"/>
  <c r="C176" i="32"/>
  <c r="O175" i="32"/>
  <c r="N175" i="32"/>
  <c r="M175" i="32"/>
  <c r="L175" i="32"/>
  <c r="H175" i="32"/>
  <c r="G175" i="32"/>
  <c r="F175" i="32"/>
  <c r="E175" i="32"/>
  <c r="D175" i="32"/>
  <c r="C175" i="32"/>
  <c r="Q174" i="32"/>
  <c r="P174" i="32"/>
  <c r="O174" i="32"/>
  <c r="N174" i="32"/>
  <c r="M174" i="32"/>
  <c r="L174" i="32"/>
  <c r="F174" i="32"/>
  <c r="E174" i="32"/>
  <c r="D174" i="32"/>
  <c r="C174" i="32"/>
  <c r="Q173" i="32"/>
  <c r="O173" i="32"/>
  <c r="N173" i="32"/>
  <c r="M173" i="32"/>
  <c r="L173" i="32"/>
  <c r="H173" i="32"/>
  <c r="F173" i="32"/>
  <c r="E173" i="32"/>
  <c r="D173" i="32"/>
  <c r="C173" i="32"/>
  <c r="O172" i="32"/>
  <c r="N172" i="32"/>
  <c r="M172" i="32"/>
  <c r="L172" i="32"/>
  <c r="F172" i="32"/>
  <c r="E172" i="32"/>
  <c r="D172" i="32"/>
  <c r="C172" i="32"/>
  <c r="O171" i="32"/>
  <c r="N171" i="32"/>
  <c r="M171" i="32"/>
  <c r="L171" i="32"/>
  <c r="F171" i="32"/>
  <c r="E171" i="32"/>
  <c r="D171" i="32"/>
  <c r="C171" i="32"/>
  <c r="Q170" i="32"/>
  <c r="P170" i="32"/>
  <c r="O170" i="32"/>
  <c r="N170" i="32"/>
  <c r="M170" i="32"/>
  <c r="L170" i="32"/>
  <c r="F170" i="32"/>
  <c r="E170" i="32"/>
  <c r="D170" i="32"/>
  <c r="C170" i="32"/>
  <c r="Q168" i="32"/>
  <c r="O168" i="32"/>
  <c r="N168" i="32"/>
  <c r="M168" i="32"/>
  <c r="L168" i="32"/>
  <c r="H168" i="32"/>
  <c r="G168" i="32"/>
  <c r="F168" i="32"/>
  <c r="E168" i="32"/>
  <c r="D168" i="32"/>
  <c r="C168" i="32"/>
  <c r="Q167" i="32"/>
  <c r="P167" i="32"/>
  <c r="O167" i="32"/>
  <c r="N167" i="32"/>
  <c r="M167" i="32"/>
  <c r="L167" i="32"/>
  <c r="H167" i="32"/>
  <c r="F167" i="32"/>
  <c r="E167" i="32"/>
  <c r="D167" i="32"/>
  <c r="C167" i="32"/>
  <c r="Q166" i="32"/>
  <c r="O166" i="32"/>
  <c r="N166" i="32"/>
  <c r="M166" i="32"/>
  <c r="L166" i="32"/>
  <c r="H166" i="32"/>
  <c r="F166" i="32"/>
  <c r="E166" i="32"/>
  <c r="D166" i="32"/>
  <c r="C166" i="32"/>
  <c r="Q165" i="32"/>
  <c r="P165" i="32"/>
  <c r="O165" i="32"/>
  <c r="N165" i="32"/>
  <c r="M165" i="32"/>
  <c r="L165" i="32"/>
  <c r="F165" i="32"/>
  <c r="E165" i="32"/>
  <c r="D165" i="32"/>
  <c r="C165" i="32"/>
  <c r="Q164" i="32"/>
  <c r="O164" i="32"/>
  <c r="N164" i="32"/>
  <c r="M164" i="32"/>
  <c r="L164" i="32"/>
  <c r="H164" i="32"/>
  <c r="G164" i="32"/>
  <c r="F164" i="32"/>
  <c r="E164" i="32"/>
  <c r="D164" i="32"/>
  <c r="C164" i="32"/>
  <c r="Q163" i="32"/>
  <c r="P163" i="32"/>
  <c r="O163" i="32"/>
  <c r="N163" i="32"/>
  <c r="M163" i="32"/>
  <c r="L163" i="32"/>
  <c r="F163" i="32"/>
  <c r="E163" i="32"/>
  <c r="D163" i="32"/>
  <c r="C163" i="32"/>
  <c r="O162" i="32"/>
  <c r="N162" i="32"/>
  <c r="M162" i="32"/>
  <c r="L162" i="32"/>
  <c r="H162" i="32"/>
  <c r="G162" i="32"/>
  <c r="F162" i="32"/>
  <c r="E162" i="32"/>
  <c r="D162" i="32"/>
  <c r="C162" i="32"/>
  <c r="O161" i="32"/>
  <c r="N161" i="32"/>
  <c r="M161" i="32"/>
  <c r="L161" i="32"/>
  <c r="F161" i="32"/>
  <c r="E161" i="32"/>
  <c r="D161" i="32"/>
  <c r="C161" i="32"/>
  <c r="Q160" i="32"/>
  <c r="O160" i="32"/>
  <c r="N160" i="32"/>
  <c r="M160" i="32"/>
  <c r="L160" i="32"/>
  <c r="H160" i="32"/>
  <c r="G160" i="32"/>
  <c r="F160" i="32"/>
  <c r="E160" i="32"/>
  <c r="D160" i="32"/>
  <c r="C160" i="32"/>
  <c r="Q159" i="32"/>
  <c r="P159" i="32"/>
  <c r="O159" i="32"/>
  <c r="N159" i="32"/>
  <c r="M159" i="32"/>
  <c r="L159" i="32"/>
  <c r="F159" i="32"/>
  <c r="E159" i="32"/>
  <c r="D159" i="32"/>
  <c r="C159" i="32"/>
  <c r="O158" i="32"/>
  <c r="N158" i="32"/>
  <c r="M158" i="32"/>
  <c r="L158" i="32"/>
  <c r="H158" i="32"/>
  <c r="G158" i="32"/>
  <c r="F158" i="32"/>
  <c r="E158" i="32"/>
  <c r="D158" i="32"/>
  <c r="C158" i="32"/>
  <c r="Q157" i="32"/>
  <c r="P157" i="32"/>
  <c r="O157" i="32"/>
  <c r="N157" i="32"/>
  <c r="M157" i="32"/>
  <c r="L157" i="32"/>
  <c r="F157" i="32"/>
  <c r="E157" i="32"/>
  <c r="D157" i="32"/>
  <c r="C157" i="32"/>
  <c r="Q155" i="32"/>
  <c r="O155" i="32"/>
  <c r="N155" i="32"/>
  <c r="M155" i="32"/>
  <c r="L155" i="32"/>
  <c r="H155" i="32"/>
  <c r="F155" i="32"/>
  <c r="E155" i="32"/>
  <c r="D155" i="32"/>
  <c r="C155" i="32"/>
  <c r="Q154" i="32"/>
  <c r="O154" i="32"/>
  <c r="N154" i="32"/>
  <c r="M154" i="32"/>
  <c r="L154" i="32"/>
  <c r="H154" i="32"/>
  <c r="F154" i="32"/>
  <c r="E154" i="32"/>
  <c r="D154" i="32"/>
  <c r="C154" i="32"/>
  <c r="Q153" i="32"/>
  <c r="O153" i="32"/>
  <c r="N153" i="32"/>
  <c r="M153" i="32"/>
  <c r="L153" i="32"/>
  <c r="H153" i="32"/>
  <c r="G153" i="32"/>
  <c r="F153" i="32"/>
  <c r="E153" i="32"/>
  <c r="D153" i="32"/>
  <c r="C153" i="32"/>
  <c r="O152" i="32"/>
  <c r="N152" i="32"/>
  <c r="M152" i="32"/>
  <c r="L152" i="32"/>
  <c r="F152" i="32"/>
  <c r="E152" i="32"/>
  <c r="D152" i="32"/>
  <c r="C152" i="32"/>
  <c r="Q151" i="32"/>
  <c r="O151" i="32"/>
  <c r="N151" i="32"/>
  <c r="M151" i="32"/>
  <c r="L151" i="32"/>
  <c r="H151" i="32"/>
  <c r="F151" i="32"/>
  <c r="E151" i="32"/>
  <c r="D151" i="32"/>
  <c r="C151" i="32"/>
  <c r="Q150" i="32"/>
  <c r="P150" i="32"/>
  <c r="O150" i="32"/>
  <c r="N150" i="32"/>
  <c r="M150" i="32"/>
  <c r="L150" i="32"/>
  <c r="F150" i="32"/>
  <c r="E150" i="32"/>
  <c r="D150" i="32"/>
  <c r="C150" i="32"/>
  <c r="Q149" i="32"/>
  <c r="O149" i="32"/>
  <c r="N149" i="32"/>
  <c r="M149" i="32"/>
  <c r="L149" i="32"/>
  <c r="H149" i="32"/>
  <c r="F149" i="32"/>
  <c r="E149" i="32"/>
  <c r="D149" i="32"/>
  <c r="C149" i="32"/>
  <c r="O148" i="32"/>
  <c r="N148" i="32"/>
  <c r="M148" i="32"/>
  <c r="L148" i="32"/>
  <c r="F148" i="32"/>
  <c r="E148" i="32"/>
  <c r="D148" i="32"/>
  <c r="C148" i="32"/>
  <c r="Q147" i="32"/>
  <c r="O147" i="32"/>
  <c r="N147" i="32"/>
  <c r="M147" i="32"/>
  <c r="L147" i="32"/>
  <c r="F147" i="32"/>
  <c r="E147" i="32"/>
  <c r="D147" i="32"/>
  <c r="C147" i="32"/>
  <c r="Q146" i="32"/>
  <c r="P146" i="32"/>
  <c r="O146" i="32"/>
  <c r="N146" i="32"/>
  <c r="M146" i="32"/>
  <c r="L146" i="32"/>
  <c r="F146" i="32"/>
  <c r="E146" i="32"/>
  <c r="D146" i="32"/>
  <c r="C146" i="32"/>
  <c r="Q145" i="32"/>
  <c r="O145" i="32"/>
  <c r="N145" i="32"/>
  <c r="M145" i="32"/>
  <c r="L145" i="32"/>
  <c r="H145" i="32"/>
  <c r="G145" i="32"/>
  <c r="F145" i="32"/>
  <c r="E145" i="32"/>
  <c r="D145" i="32"/>
  <c r="C145" i="32"/>
  <c r="P144" i="32"/>
  <c r="O144" i="32"/>
  <c r="N144" i="32"/>
  <c r="M144" i="32"/>
  <c r="L144" i="32"/>
  <c r="F144" i="32"/>
  <c r="E144" i="32"/>
  <c r="D144" i="32"/>
  <c r="C144" i="32"/>
  <c r="Q142" i="32"/>
  <c r="O142" i="32"/>
  <c r="N142" i="32"/>
  <c r="M142" i="32"/>
  <c r="L142" i="32"/>
  <c r="H142" i="32"/>
  <c r="G142" i="32"/>
  <c r="F142" i="32"/>
  <c r="E142" i="32"/>
  <c r="D142" i="32"/>
  <c r="C142" i="32"/>
  <c r="Q141" i="32"/>
  <c r="O141" i="32"/>
  <c r="N141" i="32"/>
  <c r="M141" i="32"/>
  <c r="L141" i="32"/>
  <c r="H141" i="32"/>
  <c r="F141" i="32"/>
  <c r="E141" i="32"/>
  <c r="D141" i="32"/>
  <c r="C141" i="32"/>
  <c r="Q140" i="32"/>
  <c r="O140" i="32"/>
  <c r="N140" i="32"/>
  <c r="M140" i="32"/>
  <c r="L140" i="32"/>
  <c r="H140" i="32"/>
  <c r="F140" i="32"/>
  <c r="E140" i="32"/>
  <c r="D140" i="32"/>
  <c r="C140" i="32"/>
  <c r="Q139" i="32"/>
  <c r="O139" i="32"/>
  <c r="N139" i="32"/>
  <c r="M139" i="32"/>
  <c r="L139" i="32"/>
  <c r="F139" i="32"/>
  <c r="E139" i="32"/>
  <c r="D139" i="32"/>
  <c r="C139" i="32"/>
  <c r="O138" i="32"/>
  <c r="N138" i="32"/>
  <c r="M138" i="32"/>
  <c r="L138" i="32"/>
  <c r="H138" i="32"/>
  <c r="G138" i="32"/>
  <c r="F138" i="32"/>
  <c r="E138" i="32"/>
  <c r="D138" i="32"/>
  <c r="C138" i="32"/>
  <c r="P137" i="32"/>
  <c r="O137" i="32"/>
  <c r="N137" i="32"/>
  <c r="M137" i="32"/>
  <c r="L137" i="32"/>
  <c r="F137" i="32"/>
  <c r="E137" i="32"/>
  <c r="D137" i="32"/>
  <c r="C137" i="32"/>
  <c r="Q136" i="32"/>
  <c r="O136" i="32"/>
  <c r="N136" i="32"/>
  <c r="M136" i="32"/>
  <c r="L136" i="32"/>
  <c r="H136" i="32"/>
  <c r="G136" i="32"/>
  <c r="F136" i="32"/>
  <c r="E136" i="32"/>
  <c r="D136" i="32"/>
  <c r="C136" i="32"/>
  <c r="Q135" i="32"/>
  <c r="O135" i="32"/>
  <c r="N135" i="32"/>
  <c r="M135" i="32"/>
  <c r="L135" i="32"/>
  <c r="F135" i="32"/>
  <c r="E135" i="32"/>
  <c r="D135" i="32"/>
  <c r="C135" i="32"/>
  <c r="O134" i="32"/>
  <c r="N134" i="32"/>
  <c r="M134" i="32"/>
  <c r="L134" i="32"/>
  <c r="F134" i="32"/>
  <c r="E134" i="32"/>
  <c r="D134" i="32"/>
  <c r="C134" i="32"/>
  <c r="Q133" i="32"/>
  <c r="P133" i="32"/>
  <c r="O133" i="32"/>
  <c r="N133" i="32"/>
  <c r="M133" i="32"/>
  <c r="L133" i="32"/>
  <c r="F133" i="32"/>
  <c r="E133" i="32"/>
  <c r="D133" i="32"/>
  <c r="C133" i="32"/>
  <c r="O132" i="32"/>
  <c r="N132" i="32"/>
  <c r="M132" i="32"/>
  <c r="L132" i="32"/>
  <c r="H132" i="32"/>
  <c r="G132" i="32"/>
  <c r="F132" i="32"/>
  <c r="E132" i="32"/>
  <c r="D132" i="32"/>
  <c r="C132" i="32"/>
  <c r="Q131" i="32"/>
  <c r="P131" i="32"/>
  <c r="O131" i="32"/>
  <c r="N131" i="32"/>
  <c r="M131" i="32"/>
  <c r="L131" i="32"/>
  <c r="F131" i="32"/>
  <c r="E131" i="32"/>
  <c r="D131" i="32"/>
  <c r="C131" i="32"/>
  <c r="L129" i="32"/>
  <c r="C129" i="32"/>
  <c r="J128" i="32"/>
  <c r="T124" i="32"/>
  <c r="M124" i="32"/>
  <c r="P261" i="32" s="1"/>
  <c r="F124" i="32"/>
  <c r="T123" i="32"/>
  <c r="M123" i="32"/>
  <c r="P248" i="32" s="1"/>
  <c r="F123" i="32"/>
  <c r="P247" i="32" s="1"/>
  <c r="T122" i="32"/>
  <c r="M122" i="32"/>
  <c r="P235" i="32" s="1"/>
  <c r="F122" i="32"/>
  <c r="T121" i="32"/>
  <c r="P223" i="32" s="1"/>
  <c r="M121" i="32"/>
  <c r="P222" i="32" s="1"/>
  <c r="F121" i="32"/>
  <c r="P221" i="32" s="1"/>
  <c r="S120" i="32"/>
  <c r="R120" i="32"/>
  <c r="Q120" i="32"/>
  <c r="L120" i="32"/>
  <c r="K120" i="32"/>
  <c r="J120" i="32"/>
  <c r="E120" i="32"/>
  <c r="D120" i="32"/>
  <c r="C120" i="32"/>
  <c r="P119" i="32"/>
  <c r="T118" i="32"/>
  <c r="M118" i="32"/>
  <c r="G261" i="32" s="1"/>
  <c r="F118" i="32"/>
  <c r="T117" i="32"/>
  <c r="G249" i="32" s="1"/>
  <c r="M117" i="32"/>
  <c r="G248" i="32" s="1"/>
  <c r="F117" i="32"/>
  <c r="G247" i="32" s="1"/>
  <c r="T116" i="32"/>
  <c r="G236" i="32" s="1"/>
  <c r="M116" i="32"/>
  <c r="G235" i="32" s="1"/>
  <c r="F116" i="32"/>
  <c r="T115" i="32"/>
  <c r="M115" i="32"/>
  <c r="G222" i="32" s="1"/>
  <c r="F115" i="32"/>
  <c r="S114" i="32"/>
  <c r="R114" i="32"/>
  <c r="Q114" i="32"/>
  <c r="L114" i="32"/>
  <c r="K114" i="32"/>
  <c r="J114" i="32"/>
  <c r="E114" i="32"/>
  <c r="D114" i="32"/>
  <c r="C114" i="32"/>
  <c r="P113" i="32"/>
  <c r="T112" i="32"/>
  <c r="P207" i="32" s="1"/>
  <c r="M112" i="32"/>
  <c r="F112" i="32"/>
  <c r="P205" i="32" s="1"/>
  <c r="T111" i="32"/>
  <c r="P194" i="32" s="1"/>
  <c r="M111" i="32"/>
  <c r="F111" i="32"/>
  <c r="P192" i="32" s="1"/>
  <c r="T110" i="32"/>
  <c r="P181" i="32" s="1"/>
  <c r="M110" i="32"/>
  <c r="F110" i="32"/>
  <c r="P179" i="32" s="1"/>
  <c r="T109" i="32"/>
  <c r="P168" i="32" s="1"/>
  <c r="M109" i="32"/>
  <c r="F109" i="32"/>
  <c r="P166" i="32" s="1"/>
  <c r="T108" i="32"/>
  <c r="P155" i="32" s="1"/>
  <c r="M108" i="32"/>
  <c r="P154" i="32" s="1"/>
  <c r="F108" i="32"/>
  <c r="P153" i="32" s="1"/>
  <c r="T107" i="32"/>
  <c r="P142" i="32" s="1"/>
  <c r="M107" i="32"/>
  <c r="P141" i="32" s="1"/>
  <c r="F107" i="32"/>
  <c r="P140" i="32" s="1"/>
  <c r="S106" i="32"/>
  <c r="R106" i="32"/>
  <c r="Q106" i="32"/>
  <c r="L106" i="32"/>
  <c r="K106" i="32"/>
  <c r="J106" i="32"/>
  <c r="E106" i="32"/>
  <c r="D106" i="32"/>
  <c r="C106" i="32"/>
  <c r="P105" i="32"/>
  <c r="I105" i="32"/>
  <c r="T104" i="32"/>
  <c r="G207" i="32" s="1"/>
  <c r="M104" i="32"/>
  <c r="G206" i="32" s="1"/>
  <c r="F104" i="32"/>
  <c r="T103" i="32"/>
  <c r="G194" i="32" s="1"/>
  <c r="M103" i="32"/>
  <c r="G193" i="32" s="1"/>
  <c r="F103" i="32"/>
  <c r="T102" i="32"/>
  <c r="M102" i="32"/>
  <c r="G180" i="32" s="1"/>
  <c r="F102" i="32"/>
  <c r="T101" i="32"/>
  <c r="M101" i="32"/>
  <c r="G167" i="32" s="1"/>
  <c r="F101" i="32"/>
  <c r="G166" i="32" s="1"/>
  <c r="T100" i="32"/>
  <c r="G155" i="32" s="1"/>
  <c r="M100" i="32"/>
  <c r="G154" i="32" s="1"/>
  <c r="F100" i="32"/>
  <c r="T99" i="32"/>
  <c r="M99" i="32"/>
  <c r="G141" i="32" s="1"/>
  <c r="F99" i="32"/>
  <c r="G140" i="32" s="1"/>
  <c r="P97" i="32"/>
  <c r="I97" i="32"/>
  <c r="U93" i="32"/>
  <c r="Q259" i="32" s="1"/>
  <c r="T93" i="32"/>
  <c r="P259" i="32" s="1"/>
  <c r="N93" i="32"/>
  <c r="M93" i="32"/>
  <c r="G93" i="32"/>
  <c r="Q257" i="32" s="1"/>
  <c r="F93" i="32"/>
  <c r="P257" i="32" s="1"/>
  <c r="U92" i="32"/>
  <c r="Q246" i="32" s="1"/>
  <c r="T92" i="32"/>
  <c r="P246" i="32" s="1"/>
  <c r="N92" i="32"/>
  <c r="M92" i="32"/>
  <c r="G92" i="32"/>
  <c r="Q244" i="32" s="1"/>
  <c r="F92" i="32"/>
  <c r="P244" i="32" s="1"/>
  <c r="U91" i="32"/>
  <c r="Q233" i="32" s="1"/>
  <c r="T91" i="32"/>
  <c r="P233" i="32" s="1"/>
  <c r="N91" i="32"/>
  <c r="M91" i="32"/>
  <c r="G91" i="32"/>
  <c r="Q231" i="32" s="1"/>
  <c r="F91" i="32"/>
  <c r="P231" i="32" s="1"/>
  <c r="U90" i="32"/>
  <c r="Q220" i="32" s="1"/>
  <c r="T90" i="32"/>
  <c r="P220" i="32" s="1"/>
  <c r="N90" i="32"/>
  <c r="M90" i="32"/>
  <c r="G90" i="32"/>
  <c r="Q218" i="32" s="1"/>
  <c r="F90" i="32"/>
  <c r="P218" i="32" s="1"/>
  <c r="S89" i="32"/>
  <c r="R89" i="32"/>
  <c r="Q89" i="32"/>
  <c r="L89" i="32"/>
  <c r="K89" i="32"/>
  <c r="J89" i="32"/>
  <c r="E89" i="32"/>
  <c r="D89" i="32"/>
  <c r="C89" i="32"/>
  <c r="P88" i="32"/>
  <c r="T87" i="32"/>
  <c r="G259" i="32" s="1"/>
  <c r="N87" i="32"/>
  <c r="M87" i="32"/>
  <c r="G87" i="32"/>
  <c r="H257" i="32" s="1"/>
  <c r="F87" i="32"/>
  <c r="G257" i="32" s="1"/>
  <c r="T86" i="32"/>
  <c r="G246" i="32" s="1"/>
  <c r="N86" i="32"/>
  <c r="H245" i="32" s="1"/>
  <c r="M86" i="32"/>
  <c r="G86" i="32"/>
  <c r="F86" i="32"/>
  <c r="G244" i="32" s="1"/>
  <c r="T85" i="32"/>
  <c r="G233" i="32" s="1"/>
  <c r="N85" i="32"/>
  <c r="M85" i="32"/>
  <c r="G85" i="32"/>
  <c r="F85" i="32"/>
  <c r="G231" i="32" s="1"/>
  <c r="T84" i="32"/>
  <c r="G220" i="32" s="1"/>
  <c r="N84" i="32"/>
  <c r="M84" i="32"/>
  <c r="G84" i="32"/>
  <c r="F84" i="32"/>
  <c r="G218" i="32" s="1"/>
  <c r="S83" i="32"/>
  <c r="R83" i="32"/>
  <c r="Q83" i="32"/>
  <c r="L83" i="32"/>
  <c r="K83" i="32"/>
  <c r="J83" i="32"/>
  <c r="E83" i="32"/>
  <c r="D83" i="32"/>
  <c r="C83" i="32"/>
  <c r="P82" i="32"/>
  <c r="T81" i="32"/>
  <c r="P204" i="32" s="1"/>
  <c r="N81" i="32"/>
  <c r="M81" i="32"/>
  <c r="P203" i="32" s="1"/>
  <c r="G81" i="32"/>
  <c r="F81" i="32"/>
  <c r="P202" i="32" s="1"/>
  <c r="U80" i="32"/>
  <c r="Q191" i="32" s="1"/>
  <c r="T80" i="32"/>
  <c r="N80" i="32"/>
  <c r="M80" i="32"/>
  <c r="P190" i="32" s="1"/>
  <c r="G80" i="32"/>
  <c r="F80" i="32"/>
  <c r="U79" i="32"/>
  <c r="T79" i="32"/>
  <c r="P178" i="32" s="1"/>
  <c r="N79" i="32"/>
  <c r="M79" i="32"/>
  <c r="P177" i="32" s="1"/>
  <c r="G79" i="32"/>
  <c r="F79" i="32"/>
  <c r="P176" i="32" s="1"/>
  <c r="U78" i="32"/>
  <c r="T78" i="32"/>
  <c r="N78" i="32"/>
  <c r="M78" i="32"/>
  <c r="P164" i="32" s="1"/>
  <c r="G78" i="32"/>
  <c r="F78" i="32"/>
  <c r="U77" i="32"/>
  <c r="Q152" i="32" s="1"/>
  <c r="T77" i="32"/>
  <c r="P152" i="32" s="1"/>
  <c r="N77" i="32"/>
  <c r="M77" i="32"/>
  <c r="P151" i="32" s="1"/>
  <c r="G77" i="32"/>
  <c r="F77" i="32"/>
  <c r="T76" i="32"/>
  <c r="P139" i="32" s="1"/>
  <c r="N76" i="32"/>
  <c r="Q138" i="32" s="1"/>
  <c r="M76" i="32"/>
  <c r="P138" i="32" s="1"/>
  <c r="G76" i="32"/>
  <c r="Q137" i="32" s="1"/>
  <c r="F76" i="32"/>
  <c r="S75" i="32"/>
  <c r="R75" i="32"/>
  <c r="Q75" i="32"/>
  <c r="L75" i="32"/>
  <c r="K75" i="32"/>
  <c r="J75" i="32"/>
  <c r="E75" i="32"/>
  <c r="D75" i="32"/>
  <c r="C75" i="32"/>
  <c r="P74" i="32"/>
  <c r="I74" i="32"/>
  <c r="U73" i="32"/>
  <c r="H204" i="32" s="1"/>
  <c r="T73" i="32"/>
  <c r="G204" i="32" s="1"/>
  <c r="N73" i="32"/>
  <c r="H203" i="32" s="1"/>
  <c r="M73" i="32"/>
  <c r="G203" i="32" s="1"/>
  <c r="G73" i="32"/>
  <c r="H202" i="32" s="1"/>
  <c r="F73" i="32"/>
  <c r="G202" i="32" s="1"/>
  <c r="U72" i="32"/>
  <c r="H191" i="32" s="1"/>
  <c r="T72" i="32"/>
  <c r="G191" i="32" s="1"/>
  <c r="N72" i="32"/>
  <c r="H190" i="32" s="1"/>
  <c r="M72" i="32"/>
  <c r="G190" i="32" s="1"/>
  <c r="G72" i="32"/>
  <c r="H189" i="32" s="1"/>
  <c r="F72" i="32"/>
  <c r="G189" i="32" s="1"/>
  <c r="U71" i="32"/>
  <c r="H178" i="32" s="1"/>
  <c r="T71" i="32"/>
  <c r="G178" i="32" s="1"/>
  <c r="N71" i="32"/>
  <c r="M71" i="32"/>
  <c r="G177" i="32" s="1"/>
  <c r="G71" i="32"/>
  <c r="H176" i="32" s="1"/>
  <c r="F71" i="32"/>
  <c r="G176" i="32" s="1"/>
  <c r="U70" i="32"/>
  <c r="H165" i="32" s="1"/>
  <c r="T70" i="32"/>
  <c r="G165" i="32" s="1"/>
  <c r="N70" i="32"/>
  <c r="M70" i="32"/>
  <c r="G70" i="32"/>
  <c r="H163" i="32" s="1"/>
  <c r="F70" i="32"/>
  <c r="G163" i="32" s="1"/>
  <c r="U69" i="32"/>
  <c r="H152" i="32" s="1"/>
  <c r="T69" i="32"/>
  <c r="G152" i="32" s="1"/>
  <c r="N69" i="32"/>
  <c r="M69" i="32"/>
  <c r="G151" i="32" s="1"/>
  <c r="G69" i="32"/>
  <c r="H150" i="32" s="1"/>
  <c r="F69" i="32"/>
  <c r="G150" i="32" s="1"/>
  <c r="U68" i="32"/>
  <c r="H139" i="32" s="1"/>
  <c r="T68" i="32"/>
  <c r="G139" i="32" s="1"/>
  <c r="N68" i="32"/>
  <c r="M68" i="32"/>
  <c r="G68" i="32"/>
  <c r="H137" i="32" s="1"/>
  <c r="F68" i="32"/>
  <c r="G137" i="32" s="1"/>
  <c r="P66" i="32"/>
  <c r="I66" i="32"/>
  <c r="U62" i="32"/>
  <c r="T62" i="32"/>
  <c r="N62" i="32"/>
  <c r="Q255" i="32" s="1"/>
  <c r="M62" i="32"/>
  <c r="P255" i="32" s="1"/>
  <c r="G62" i="32"/>
  <c r="Q254" i="32" s="1"/>
  <c r="F62" i="32"/>
  <c r="P254" i="32" s="1"/>
  <c r="U61" i="32"/>
  <c r="T61" i="32"/>
  <c r="N61" i="32"/>
  <c r="Q242" i="32" s="1"/>
  <c r="M61" i="32"/>
  <c r="P242" i="32" s="1"/>
  <c r="G61" i="32"/>
  <c r="Q241" i="32" s="1"/>
  <c r="F61" i="32"/>
  <c r="P241" i="32" s="1"/>
  <c r="U60" i="32"/>
  <c r="Q230" i="32" s="1"/>
  <c r="T60" i="32"/>
  <c r="P230" i="32" s="1"/>
  <c r="N60" i="32"/>
  <c r="Q229" i="32" s="1"/>
  <c r="M60" i="32"/>
  <c r="P229" i="32" s="1"/>
  <c r="G60" i="32"/>
  <c r="F60" i="32"/>
  <c r="P228" i="32" s="1"/>
  <c r="U59" i="32"/>
  <c r="Q217" i="32" s="1"/>
  <c r="T59" i="32"/>
  <c r="P217" i="32" s="1"/>
  <c r="N59" i="32"/>
  <c r="Q216" i="32" s="1"/>
  <c r="M59" i="32"/>
  <c r="P216" i="32" s="1"/>
  <c r="G59" i="32"/>
  <c r="F59" i="32"/>
  <c r="S58" i="32"/>
  <c r="R58" i="32"/>
  <c r="Q58" i="32"/>
  <c r="L58" i="32"/>
  <c r="K58" i="32"/>
  <c r="J58" i="32"/>
  <c r="E58" i="32"/>
  <c r="D58" i="32"/>
  <c r="C58" i="32"/>
  <c r="B57" i="32"/>
  <c r="I57" i="32" s="1"/>
  <c r="P57" i="32" s="1"/>
  <c r="U56" i="32"/>
  <c r="H256" i="32" s="1"/>
  <c r="T56" i="32"/>
  <c r="G256" i="32" s="1"/>
  <c r="N56" i="32"/>
  <c r="M56" i="32"/>
  <c r="G255" i="32" s="1"/>
  <c r="G56" i="32"/>
  <c r="F56" i="32"/>
  <c r="G254" i="32" s="1"/>
  <c r="U55" i="32"/>
  <c r="H243" i="32" s="1"/>
  <c r="T55" i="32"/>
  <c r="G243" i="32" s="1"/>
  <c r="N55" i="32"/>
  <c r="H242" i="32" s="1"/>
  <c r="M55" i="32"/>
  <c r="G242" i="32" s="1"/>
  <c r="G55" i="32"/>
  <c r="F55" i="32"/>
  <c r="U54" i="32"/>
  <c r="T54" i="32"/>
  <c r="G230" i="32" s="1"/>
  <c r="N54" i="32"/>
  <c r="H229" i="32" s="1"/>
  <c r="M54" i="32"/>
  <c r="G229" i="32" s="1"/>
  <c r="G54" i="32"/>
  <c r="F54" i="32"/>
  <c r="U53" i="32"/>
  <c r="T53" i="32"/>
  <c r="N53" i="32"/>
  <c r="M53" i="32"/>
  <c r="G216" i="32" s="1"/>
  <c r="G53" i="32"/>
  <c r="F53" i="32"/>
  <c r="S52" i="32"/>
  <c r="R52" i="32"/>
  <c r="Q52" i="32"/>
  <c r="L52" i="32"/>
  <c r="K52" i="32"/>
  <c r="J52" i="32"/>
  <c r="E52" i="32"/>
  <c r="D52" i="32"/>
  <c r="C52" i="32"/>
  <c r="B51" i="32"/>
  <c r="I51" i="32" s="1"/>
  <c r="P51" i="32" s="1"/>
  <c r="U50" i="32"/>
  <c r="T50" i="32"/>
  <c r="P201" i="32" s="1"/>
  <c r="N50" i="32"/>
  <c r="M50" i="32"/>
  <c r="G50" i="32"/>
  <c r="Q199" i="32" s="1"/>
  <c r="F50" i="32"/>
  <c r="P199" i="32" s="1"/>
  <c r="U49" i="32"/>
  <c r="T49" i="32"/>
  <c r="P188" i="32" s="1"/>
  <c r="N49" i="32"/>
  <c r="M49" i="32"/>
  <c r="G49" i="32"/>
  <c r="F49" i="32"/>
  <c r="P186" i="32" s="1"/>
  <c r="U48" i="32"/>
  <c r="Q175" i="32" s="1"/>
  <c r="T48" i="32"/>
  <c r="P175" i="32" s="1"/>
  <c r="N48" i="32"/>
  <c r="M48" i="32"/>
  <c r="G48" i="32"/>
  <c r="F48" i="32"/>
  <c r="P173" i="32" s="1"/>
  <c r="U47" i="32"/>
  <c r="Q162" i="32" s="1"/>
  <c r="T47" i="32"/>
  <c r="P162" i="32" s="1"/>
  <c r="N47" i="32"/>
  <c r="Q161" i="32" s="1"/>
  <c r="M47" i="32"/>
  <c r="P161" i="32" s="1"/>
  <c r="G47" i="32"/>
  <c r="F47" i="32"/>
  <c r="P160" i="32" s="1"/>
  <c r="U46" i="32"/>
  <c r="T46" i="32"/>
  <c r="P149" i="32" s="1"/>
  <c r="N46" i="32"/>
  <c r="Q148" i="32" s="1"/>
  <c r="M46" i="32"/>
  <c r="P148" i="32" s="1"/>
  <c r="G46" i="32"/>
  <c r="F46" i="32"/>
  <c r="P147" i="32" s="1"/>
  <c r="U45" i="32"/>
  <c r="T45" i="32"/>
  <c r="P136" i="32" s="1"/>
  <c r="N45" i="32"/>
  <c r="M45" i="32"/>
  <c r="P135" i="32" s="1"/>
  <c r="G45" i="32"/>
  <c r="Q134" i="32" s="1"/>
  <c r="F45" i="32"/>
  <c r="P134" i="32" s="1"/>
  <c r="S44" i="32"/>
  <c r="R44" i="32"/>
  <c r="Q44" i="32"/>
  <c r="L44" i="32"/>
  <c r="K44" i="32"/>
  <c r="J44" i="32"/>
  <c r="E44" i="32"/>
  <c r="D44" i="32"/>
  <c r="C44" i="32"/>
  <c r="B43" i="32"/>
  <c r="I43" i="32" s="1"/>
  <c r="P43" i="32" s="1"/>
  <c r="U42" i="32"/>
  <c r="T42" i="32"/>
  <c r="G201" i="32" s="1"/>
  <c r="N42" i="32"/>
  <c r="H200" i="32" s="1"/>
  <c r="M42" i="32"/>
  <c r="G200" i="32" s="1"/>
  <c r="G42" i="32"/>
  <c r="F42" i="32"/>
  <c r="U41" i="32"/>
  <c r="T41" i="32"/>
  <c r="N41" i="32"/>
  <c r="H187" i="32" s="1"/>
  <c r="M41" i="32"/>
  <c r="G187" i="32" s="1"/>
  <c r="G41" i="32"/>
  <c r="F41" i="32"/>
  <c r="U40" i="32"/>
  <c r="T40" i="32"/>
  <c r="N40" i="32"/>
  <c r="H174" i="32" s="1"/>
  <c r="M40" i="32"/>
  <c r="G174" i="32" s="1"/>
  <c r="G40" i="32"/>
  <c r="F40" i="32"/>
  <c r="G173" i="32" s="1"/>
  <c r="U39" i="32"/>
  <c r="T39" i="32"/>
  <c r="N39" i="32"/>
  <c r="H161" i="32" s="1"/>
  <c r="M39" i="32"/>
  <c r="G161" i="32" s="1"/>
  <c r="G39" i="32"/>
  <c r="F39" i="32"/>
  <c r="U38" i="32"/>
  <c r="T38" i="32"/>
  <c r="G149" i="32" s="1"/>
  <c r="N38" i="32"/>
  <c r="H148" i="32" s="1"/>
  <c r="M38" i="32"/>
  <c r="G148" i="32" s="1"/>
  <c r="G38" i="32"/>
  <c r="H147" i="32" s="1"/>
  <c r="F38" i="32"/>
  <c r="G147" i="32" s="1"/>
  <c r="U37" i="32"/>
  <c r="T37" i="32"/>
  <c r="N37" i="32"/>
  <c r="H135" i="32" s="1"/>
  <c r="M37" i="32"/>
  <c r="G135" i="32" s="1"/>
  <c r="G37" i="32"/>
  <c r="H134" i="32" s="1"/>
  <c r="F37" i="32"/>
  <c r="G134" i="32" s="1"/>
  <c r="I35" i="32"/>
  <c r="P35" i="32" s="1"/>
  <c r="B35" i="32"/>
  <c r="U31" i="32"/>
  <c r="Q253" i="32" s="1"/>
  <c r="T31" i="32"/>
  <c r="P253" i="32" s="1"/>
  <c r="N31" i="32"/>
  <c r="Q252" i="32" s="1"/>
  <c r="M31" i="32"/>
  <c r="P252" i="32" s="1"/>
  <c r="G31" i="32"/>
  <c r="Q251" i="32" s="1"/>
  <c r="F31" i="32"/>
  <c r="P251" i="32" s="1"/>
  <c r="U30" i="32"/>
  <c r="Q240" i="32" s="1"/>
  <c r="T30" i="32"/>
  <c r="P240" i="32" s="1"/>
  <c r="N30" i="32"/>
  <c r="M30" i="32"/>
  <c r="G30" i="32"/>
  <c r="Q238" i="32" s="1"/>
  <c r="F30" i="32"/>
  <c r="P238" i="32" s="1"/>
  <c r="U29" i="32"/>
  <c r="Q227" i="32" s="1"/>
  <c r="T29" i="32"/>
  <c r="P227" i="32" s="1"/>
  <c r="N29" i="32"/>
  <c r="M29" i="32"/>
  <c r="G29" i="32"/>
  <c r="Q225" i="32" s="1"/>
  <c r="F29" i="32"/>
  <c r="P225" i="32" s="1"/>
  <c r="U28" i="32"/>
  <c r="Q214" i="32" s="1"/>
  <c r="T28" i="32"/>
  <c r="P214" i="32" s="1"/>
  <c r="N28" i="32"/>
  <c r="M28" i="32"/>
  <c r="G28" i="32"/>
  <c r="Q212" i="32" s="1"/>
  <c r="F28" i="32"/>
  <c r="P212" i="32" s="1"/>
  <c r="S27" i="32"/>
  <c r="R27" i="32"/>
  <c r="Q27" i="32"/>
  <c r="L27" i="32"/>
  <c r="K27" i="32"/>
  <c r="J27" i="32"/>
  <c r="E27" i="32"/>
  <c r="D27" i="32"/>
  <c r="C27" i="32"/>
  <c r="P26" i="32"/>
  <c r="I26" i="32"/>
  <c r="U25" i="32"/>
  <c r="H253" i="32" s="1"/>
  <c r="T25" i="32"/>
  <c r="G253" i="32" s="1"/>
  <c r="N25" i="32"/>
  <c r="M25" i="32"/>
  <c r="G25" i="32"/>
  <c r="F25" i="32"/>
  <c r="G251" i="32" s="1"/>
  <c r="U24" i="32"/>
  <c r="T24" i="32"/>
  <c r="G240" i="32" s="1"/>
  <c r="N24" i="32"/>
  <c r="M24" i="32"/>
  <c r="G24" i="32"/>
  <c r="F24" i="32"/>
  <c r="G238" i="32" s="1"/>
  <c r="U23" i="32"/>
  <c r="T23" i="32"/>
  <c r="G227" i="32" s="1"/>
  <c r="N23" i="32"/>
  <c r="M23" i="32"/>
  <c r="G226" i="32" s="1"/>
  <c r="G23" i="32"/>
  <c r="F23" i="32"/>
  <c r="G225" i="32" s="1"/>
  <c r="U22" i="32"/>
  <c r="T22" i="32"/>
  <c r="G214" i="32" s="1"/>
  <c r="N22" i="32"/>
  <c r="M22" i="32"/>
  <c r="G22" i="32"/>
  <c r="F22" i="32"/>
  <c r="G212" i="32" s="1"/>
  <c r="S21" i="32"/>
  <c r="R21" i="32"/>
  <c r="Q21" i="32"/>
  <c r="L21" i="32"/>
  <c r="K21" i="32"/>
  <c r="J21" i="32"/>
  <c r="E21" i="32"/>
  <c r="D21" i="32"/>
  <c r="C21" i="32"/>
  <c r="P20" i="32"/>
  <c r="I20" i="32"/>
  <c r="U19" i="32"/>
  <c r="Q198" i="32" s="1"/>
  <c r="T19" i="32"/>
  <c r="N19" i="32"/>
  <c r="M19" i="32"/>
  <c r="P197" i="32" s="1"/>
  <c r="G19" i="32"/>
  <c r="Q196" i="32" s="1"/>
  <c r="F19" i="32"/>
  <c r="P196" i="32" s="1"/>
  <c r="U18" i="32"/>
  <c r="Q185" i="32" s="1"/>
  <c r="T18" i="32"/>
  <c r="P185" i="32" s="1"/>
  <c r="N18" i="32"/>
  <c r="M18" i="32"/>
  <c r="P184" i="32" s="1"/>
  <c r="G18" i="32"/>
  <c r="F18" i="32"/>
  <c r="U17" i="32"/>
  <c r="Q172" i="32" s="1"/>
  <c r="T17" i="32"/>
  <c r="P172" i="32" s="1"/>
  <c r="N17" i="32"/>
  <c r="Q171" i="32" s="1"/>
  <c r="M17" i="32"/>
  <c r="P171" i="32" s="1"/>
  <c r="G17" i="32"/>
  <c r="F17" i="32"/>
  <c r="U16" i="32"/>
  <c r="T16" i="32"/>
  <c r="N16" i="32"/>
  <c r="Q158" i="32" s="1"/>
  <c r="M16" i="32"/>
  <c r="P158" i="32" s="1"/>
  <c r="G16" i="32"/>
  <c r="F16" i="32"/>
  <c r="U15" i="32"/>
  <c r="T15" i="32"/>
  <c r="N15" i="32"/>
  <c r="M15" i="32"/>
  <c r="P145" i="32" s="1"/>
  <c r="G15" i="32"/>
  <c r="Q144" i="32" s="1"/>
  <c r="F15" i="32"/>
  <c r="U14" i="32"/>
  <c r="T14" i="32"/>
  <c r="N14" i="32"/>
  <c r="Q132" i="32" s="1"/>
  <c r="M14" i="32"/>
  <c r="P132" i="32" s="1"/>
  <c r="G14" i="32"/>
  <c r="F14" i="32"/>
  <c r="S13" i="32"/>
  <c r="R13" i="32"/>
  <c r="Q13" i="32"/>
  <c r="L13" i="32"/>
  <c r="K13" i="32"/>
  <c r="J13" i="32"/>
  <c r="E13" i="32"/>
  <c r="D13" i="32"/>
  <c r="C13" i="32"/>
  <c r="P12" i="32"/>
  <c r="I12" i="32"/>
  <c r="U11" i="32"/>
  <c r="H198" i="32" s="1"/>
  <c r="T11" i="32"/>
  <c r="G198" i="32" s="1"/>
  <c r="M11" i="32"/>
  <c r="G11" i="32"/>
  <c r="H196" i="32" s="1"/>
  <c r="F11" i="32"/>
  <c r="G196" i="32" s="1"/>
  <c r="U10" i="32"/>
  <c r="H185" i="32" s="1"/>
  <c r="T10" i="32"/>
  <c r="G185" i="32" s="1"/>
  <c r="N10" i="32"/>
  <c r="H184" i="32" s="1"/>
  <c r="M10" i="32"/>
  <c r="G184" i="32" s="1"/>
  <c r="G10" i="32"/>
  <c r="H183" i="32" s="1"/>
  <c r="F10" i="32"/>
  <c r="G183" i="32" s="1"/>
  <c r="U9" i="32"/>
  <c r="H172" i="32" s="1"/>
  <c r="T9" i="32"/>
  <c r="G172" i="32" s="1"/>
  <c r="N9" i="32"/>
  <c r="H171" i="32" s="1"/>
  <c r="M9" i="32"/>
  <c r="G171" i="32" s="1"/>
  <c r="G9" i="32"/>
  <c r="H170" i="32" s="1"/>
  <c r="F9" i="32"/>
  <c r="G170" i="32" s="1"/>
  <c r="U8" i="32"/>
  <c r="H159" i="32" s="1"/>
  <c r="T8" i="32"/>
  <c r="G159" i="32" s="1"/>
  <c r="N8" i="32"/>
  <c r="M8" i="32"/>
  <c r="G8" i="32"/>
  <c r="H157" i="32" s="1"/>
  <c r="F8" i="32"/>
  <c r="G157" i="32" s="1"/>
  <c r="U7" i="32"/>
  <c r="H146" i="32" s="1"/>
  <c r="T7" i="32"/>
  <c r="G146" i="32" s="1"/>
  <c r="N7" i="32"/>
  <c r="M7" i="32"/>
  <c r="G7" i="32"/>
  <c r="H144" i="32" s="1"/>
  <c r="F7" i="32"/>
  <c r="G144" i="32" s="1"/>
  <c r="U6" i="32"/>
  <c r="H133" i="32" s="1"/>
  <c r="T6" i="32"/>
  <c r="G133" i="32" s="1"/>
  <c r="N6" i="32"/>
  <c r="M6" i="32"/>
  <c r="G6" i="32"/>
  <c r="H131" i="32" s="1"/>
  <c r="F6" i="32"/>
  <c r="G131" i="32" s="1"/>
  <c r="P4" i="32"/>
  <c r="I4" i="32"/>
  <c r="P17" i="16"/>
  <c r="Q17" i="16"/>
  <c r="Q16" i="16"/>
  <c r="P16" i="16"/>
  <c r="P11" i="16" s="1"/>
  <c r="G16" i="9"/>
  <c r="G15" i="9"/>
  <c r="A389" i="31"/>
  <c r="A410" i="31" s="1"/>
  <c r="A373" i="31" s="1"/>
  <c r="V378" i="31"/>
  <c r="V377" i="31"/>
  <c r="T378" i="31"/>
  <c r="T377" i="31"/>
  <c r="K409" i="31"/>
  <c r="J409" i="31"/>
  <c r="I409" i="31"/>
  <c r="K408" i="31"/>
  <c r="J408" i="31"/>
  <c r="I408" i="31"/>
  <c r="K407" i="31"/>
  <c r="J407" i="31"/>
  <c r="I407" i="31"/>
  <c r="K406" i="31"/>
  <c r="J406" i="31"/>
  <c r="I406" i="31"/>
  <c r="K405" i="31"/>
  <c r="J405" i="31"/>
  <c r="I405" i="31"/>
  <c r="K404" i="31"/>
  <c r="J404" i="31"/>
  <c r="I404" i="31"/>
  <c r="K403" i="31"/>
  <c r="J403" i="31"/>
  <c r="I403" i="31"/>
  <c r="K402" i="31"/>
  <c r="J402" i="31"/>
  <c r="I402" i="31"/>
  <c r="K401" i="31"/>
  <c r="J401" i="31"/>
  <c r="I401" i="31"/>
  <c r="K400" i="31"/>
  <c r="J400" i="31"/>
  <c r="I400" i="31"/>
  <c r="K399" i="31"/>
  <c r="J399" i="31"/>
  <c r="I399" i="31"/>
  <c r="K398" i="31"/>
  <c r="J398" i="31"/>
  <c r="I398" i="31"/>
  <c r="K397" i="31"/>
  <c r="J397" i="31"/>
  <c r="I397" i="31"/>
  <c r="K396" i="31"/>
  <c r="J396" i="31"/>
  <c r="I396" i="31"/>
  <c r="K395" i="31"/>
  <c r="J395" i="31"/>
  <c r="I395" i="31"/>
  <c r="K394" i="31"/>
  <c r="J394" i="31"/>
  <c r="I394" i="31"/>
  <c r="K393" i="31"/>
  <c r="J393" i="31"/>
  <c r="I393" i="31"/>
  <c r="K392" i="31"/>
  <c r="J392" i="31"/>
  <c r="I392" i="31"/>
  <c r="K391" i="31"/>
  <c r="J391" i="31"/>
  <c r="I391" i="31"/>
  <c r="K390" i="31"/>
  <c r="J390" i="31"/>
  <c r="I390" i="31"/>
  <c r="V371" i="31"/>
  <c r="U371" i="31"/>
  <c r="T371" i="31"/>
  <c r="S371" i="31"/>
  <c r="N371" i="31"/>
  <c r="M371" i="31"/>
  <c r="L371" i="31"/>
  <c r="K371" i="31"/>
  <c r="F371" i="31"/>
  <c r="E371" i="31"/>
  <c r="D371" i="31"/>
  <c r="C371" i="31"/>
  <c r="W370" i="31"/>
  <c r="V370" i="31"/>
  <c r="U370" i="31"/>
  <c r="T370" i="31"/>
  <c r="S370" i="31"/>
  <c r="N370" i="31"/>
  <c r="M370" i="31"/>
  <c r="L370" i="31"/>
  <c r="K370" i="31"/>
  <c r="G370" i="31"/>
  <c r="F370" i="31"/>
  <c r="E370" i="31"/>
  <c r="D370" i="31"/>
  <c r="C370" i="31"/>
  <c r="W369" i="31"/>
  <c r="V369" i="31"/>
  <c r="U369" i="31"/>
  <c r="T369" i="31"/>
  <c r="S369" i="31"/>
  <c r="N369" i="31"/>
  <c r="M369" i="31"/>
  <c r="L369" i="31"/>
  <c r="K369" i="31"/>
  <c r="G369" i="31"/>
  <c r="F369" i="31"/>
  <c r="E369" i="31"/>
  <c r="D369" i="31"/>
  <c r="C369" i="31"/>
  <c r="V368" i="31"/>
  <c r="U368" i="31"/>
  <c r="T368" i="31"/>
  <c r="S368" i="31"/>
  <c r="N368" i="31"/>
  <c r="M368" i="31"/>
  <c r="L368" i="31"/>
  <c r="K368" i="31"/>
  <c r="F368" i="31"/>
  <c r="E368" i="31"/>
  <c r="D368" i="31"/>
  <c r="C368" i="31"/>
  <c r="V367" i="31"/>
  <c r="U367" i="31"/>
  <c r="T367" i="31"/>
  <c r="S367" i="31"/>
  <c r="N367" i="31"/>
  <c r="M367" i="31"/>
  <c r="L367" i="31"/>
  <c r="K367" i="31"/>
  <c r="F367" i="31"/>
  <c r="E367" i="31"/>
  <c r="D367" i="31"/>
  <c r="C367" i="31"/>
  <c r="V366" i="31"/>
  <c r="U366" i="31"/>
  <c r="T366" i="31"/>
  <c r="S366" i="31"/>
  <c r="O366" i="31"/>
  <c r="N366" i="31"/>
  <c r="M366" i="31"/>
  <c r="L366" i="31"/>
  <c r="K366" i="31"/>
  <c r="G366" i="31"/>
  <c r="F366" i="31"/>
  <c r="E366" i="31"/>
  <c r="D366" i="31"/>
  <c r="C366" i="31"/>
  <c r="V365" i="31"/>
  <c r="U365" i="31"/>
  <c r="T365" i="31"/>
  <c r="S365" i="31"/>
  <c r="N365" i="31"/>
  <c r="M365" i="31"/>
  <c r="L365" i="31"/>
  <c r="K365" i="31"/>
  <c r="F365" i="31"/>
  <c r="E365" i="31"/>
  <c r="D365" i="31"/>
  <c r="C365" i="31"/>
  <c r="V364" i="31"/>
  <c r="T364" i="31"/>
  <c r="S364" i="31"/>
  <c r="O364" i="31"/>
  <c r="N364" i="31"/>
  <c r="M364" i="31"/>
  <c r="L364" i="31"/>
  <c r="K364" i="31"/>
  <c r="F364" i="31"/>
  <c r="E364" i="31"/>
  <c r="D364" i="31"/>
  <c r="C364" i="31"/>
  <c r="V363" i="31"/>
  <c r="U363" i="31"/>
  <c r="T363" i="31"/>
  <c r="S363" i="31"/>
  <c r="N363" i="31"/>
  <c r="M363" i="31"/>
  <c r="L363" i="31"/>
  <c r="K363" i="31"/>
  <c r="F363" i="31"/>
  <c r="E363" i="31"/>
  <c r="D363" i="31"/>
  <c r="C363" i="31"/>
  <c r="W362" i="31"/>
  <c r="V362" i="31"/>
  <c r="U362" i="31"/>
  <c r="T362" i="31"/>
  <c r="S362" i="31"/>
  <c r="N362" i="31"/>
  <c r="M362" i="31"/>
  <c r="L362" i="31"/>
  <c r="K362" i="31"/>
  <c r="G362" i="31"/>
  <c r="F362" i="31"/>
  <c r="E362" i="31"/>
  <c r="D362" i="31"/>
  <c r="C362" i="31"/>
  <c r="V361" i="31"/>
  <c r="U361" i="31"/>
  <c r="T361" i="31"/>
  <c r="S361" i="31"/>
  <c r="N361" i="31"/>
  <c r="M361" i="31"/>
  <c r="L361" i="31"/>
  <c r="K361" i="31"/>
  <c r="F361" i="31"/>
  <c r="E361" i="31"/>
  <c r="D361" i="31"/>
  <c r="C361" i="31"/>
  <c r="V360" i="31"/>
  <c r="U360" i="31"/>
  <c r="T360" i="31"/>
  <c r="S360" i="31"/>
  <c r="N360" i="31"/>
  <c r="M360" i="31"/>
  <c r="L360" i="31"/>
  <c r="K360" i="31"/>
  <c r="F360" i="31"/>
  <c r="E360" i="31"/>
  <c r="D360" i="31"/>
  <c r="C360" i="31"/>
  <c r="V359" i="31"/>
  <c r="U359" i="31"/>
  <c r="T359" i="31"/>
  <c r="S359" i="31"/>
  <c r="N359" i="31"/>
  <c r="M359" i="31"/>
  <c r="L359" i="31"/>
  <c r="K359" i="31"/>
  <c r="G359" i="31"/>
  <c r="F359" i="31"/>
  <c r="E359" i="31"/>
  <c r="D359" i="31"/>
  <c r="C359" i="31"/>
  <c r="V358" i="31"/>
  <c r="U358" i="31"/>
  <c r="T358" i="31"/>
  <c r="S358" i="31"/>
  <c r="N358" i="31"/>
  <c r="M358" i="31"/>
  <c r="L358" i="31"/>
  <c r="K358" i="31"/>
  <c r="F358" i="31"/>
  <c r="E358" i="31"/>
  <c r="D358" i="31"/>
  <c r="C358" i="31"/>
  <c r="V357" i="31"/>
  <c r="U357" i="31"/>
  <c r="T357" i="31"/>
  <c r="S357" i="31"/>
  <c r="O357" i="31"/>
  <c r="N357" i="31"/>
  <c r="M357" i="31"/>
  <c r="L357" i="31"/>
  <c r="K357" i="31"/>
  <c r="F357" i="31"/>
  <c r="E357" i="31"/>
  <c r="D357" i="31"/>
  <c r="C357" i="31"/>
  <c r="W356" i="31"/>
  <c r="V356" i="31"/>
  <c r="U356" i="31"/>
  <c r="T356" i="31"/>
  <c r="S356" i="31"/>
  <c r="O356" i="31"/>
  <c r="N356" i="31"/>
  <c r="M356" i="31"/>
  <c r="L356" i="31"/>
  <c r="K356" i="31"/>
  <c r="F356" i="31"/>
  <c r="E356" i="31"/>
  <c r="D356" i="31"/>
  <c r="C356" i="31"/>
  <c r="V355" i="31"/>
  <c r="U355" i="31"/>
  <c r="T355" i="31"/>
  <c r="S355" i="31"/>
  <c r="N355" i="31"/>
  <c r="M355" i="31"/>
  <c r="L355" i="31"/>
  <c r="K355" i="31"/>
  <c r="F355" i="31"/>
  <c r="E355" i="31"/>
  <c r="D355" i="31"/>
  <c r="C355" i="31"/>
  <c r="W354" i="31"/>
  <c r="V354" i="31"/>
  <c r="U354" i="31"/>
  <c r="T354" i="31"/>
  <c r="S354" i="31"/>
  <c r="N354" i="31"/>
  <c r="M354" i="31"/>
  <c r="L354" i="31"/>
  <c r="K354" i="31"/>
  <c r="G354" i="31"/>
  <c r="F354" i="31"/>
  <c r="E354" i="31"/>
  <c r="D354" i="31"/>
  <c r="C354" i="31"/>
  <c r="V353" i="31"/>
  <c r="U353" i="31"/>
  <c r="T353" i="31"/>
  <c r="S353" i="31"/>
  <c r="N353" i="31"/>
  <c r="M353" i="31"/>
  <c r="L353" i="31"/>
  <c r="K353" i="31"/>
  <c r="F353" i="31"/>
  <c r="E353" i="31"/>
  <c r="D353" i="31"/>
  <c r="C353" i="31"/>
  <c r="W352" i="31"/>
  <c r="V352" i="31"/>
  <c r="U352" i="31"/>
  <c r="T352" i="31"/>
  <c r="S352" i="31"/>
  <c r="N352" i="31"/>
  <c r="M352" i="31"/>
  <c r="L352" i="31"/>
  <c r="K352" i="31"/>
  <c r="F352" i="31"/>
  <c r="E352" i="31"/>
  <c r="D352" i="31"/>
  <c r="C352" i="31"/>
  <c r="V350" i="31"/>
  <c r="U350" i="31"/>
  <c r="T350" i="31"/>
  <c r="S350" i="31"/>
  <c r="O350" i="31"/>
  <c r="N350" i="31"/>
  <c r="M350" i="31"/>
  <c r="L350" i="31"/>
  <c r="K350" i="31"/>
  <c r="G350" i="31"/>
  <c r="F350" i="31"/>
  <c r="E350" i="31"/>
  <c r="D350" i="31"/>
  <c r="C350" i="31"/>
  <c r="V349" i="31"/>
  <c r="U349" i="31"/>
  <c r="T349" i="31"/>
  <c r="S349" i="31"/>
  <c r="O349" i="31"/>
  <c r="N349" i="31"/>
  <c r="M349" i="31"/>
  <c r="L349" i="31"/>
  <c r="K349" i="31"/>
  <c r="F349" i="31"/>
  <c r="E349" i="31"/>
  <c r="D349" i="31"/>
  <c r="C349" i="31"/>
  <c r="V348" i="31"/>
  <c r="U348" i="31"/>
  <c r="T348" i="31"/>
  <c r="S348" i="31"/>
  <c r="O348" i="31"/>
  <c r="N348" i="31"/>
  <c r="M348" i="31"/>
  <c r="L348" i="31"/>
  <c r="K348" i="31"/>
  <c r="F348" i="31"/>
  <c r="E348" i="31"/>
  <c r="D348" i="31"/>
  <c r="C348" i="31"/>
  <c r="W347" i="31"/>
  <c r="V347" i="31"/>
  <c r="U347" i="31"/>
  <c r="T347" i="31"/>
  <c r="S347" i="31"/>
  <c r="N347" i="31"/>
  <c r="M347" i="31"/>
  <c r="L347" i="31"/>
  <c r="K347" i="31"/>
  <c r="F347" i="31"/>
  <c r="E347" i="31"/>
  <c r="D347" i="31"/>
  <c r="C347" i="31"/>
  <c r="W346" i="31"/>
  <c r="V346" i="31"/>
  <c r="U346" i="31"/>
  <c r="T346" i="31"/>
  <c r="S346" i="31"/>
  <c r="N346" i="31"/>
  <c r="M346" i="31"/>
  <c r="L346" i="31"/>
  <c r="K346" i="31"/>
  <c r="F346" i="31"/>
  <c r="E346" i="31"/>
  <c r="D346" i="31"/>
  <c r="C346" i="31"/>
  <c r="V345" i="31"/>
  <c r="U345" i="31"/>
  <c r="T345" i="31"/>
  <c r="S345" i="31"/>
  <c r="N345" i="31"/>
  <c r="M345" i="31"/>
  <c r="L345" i="31"/>
  <c r="K345" i="31"/>
  <c r="F345" i="31"/>
  <c r="E345" i="31"/>
  <c r="D345" i="31"/>
  <c r="C345" i="31"/>
  <c r="V344" i="31"/>
  <c r="U344" i="31"/>
  <c r="T344" i="31"/>
  <c r="S344" i="31"/>
  <c r="N344" i="31"/>
  <c r="M344" i="31"/>
  <c r="L344" i="31"/>
  <c r="K344" i="31"/>
  <c r="F344" i="31"/>
  <c r="E344" i="31"/>
  <c r="D344" i="31"/>
  <c r="C344" i="31"/>
  <c r="W343" i="31"/>
  <c r="V343" i="31"/>
  <c r="U343" i="31"/>
  <c r="T343" i="31"/>
  <c r="S343" i="31"/>
  <c r="N343" i="31"/>
  <c r="M343" i="31"/>
  <c r="L343" i="31"/>
  <c r="K343" i="31"/>
  <c r="G343" i="31"/>
  <c r="F343" i="31"/>
  <c r="E343" i="31"/>
  <c r="D343" i="31"/>
  <c r="C343" i="31"/>
  <c r="V342" i="31"/>
  <c r="U342" i="31"/>
  <c r="T342" i="31"/>
  <c r="S342" i="31"/>
  <c r="N342" i="31"/>
  <c r="M342" i="31"/>
  <c r="L342" i="31"/>
  <c r="K342" i="31"/>
  <c r="G342" i="31"/>
  <c r="F342" i="31"/>
  <c r="E342" i="31"/>
  <c r="D342" i="31"/>
  <c r="C342" i="31"/>
  <c r="V341" i="31"/>
  <c r="U341" i="31"/>
  <c r="T341" i="31"/>
  <c r="S341" i="31"/>
  <c r="O341" i="31"/>
  <c r="N341" i="31"/>
  <c r="M341" i="31"/>
  <c r="L341" i="31"/>
  <c r="K341" i="31"/>
  <c r="F341" i="31"/>
  <c r="E341" i="31"/>
  <c r="D341" i="31"/>
  <c r="C341" i="31"/>
  <c r="V340" i="31"/>
  <c r="U340" i="31"/>
  <c r="T340" i="31"/>
  <c r="S340" i="31"/>
  <c r="N340" i="31"/>
  <c r="M340" i="31"/>
  <c r="L340" i="31"/>
  <c r="K340" i="31"/>
  <c r="F340" i="31"/>
  <c r="E340" i="31"/>
  <c r="D340" i="31"/>
  <c r="C340" i="31"/>
  <c r="W339" i="31"/>
  <c r="V339" i="31"/>
  <c r="U339" i="31"/>
  <c r="T339" i="31"/>
  <c r="S339" i="31"/>
  <c r="N339" i="31"/>
  <c r="M339" i="31"/>
  <c r="L339" i="31"/>
  <c r="K339" i="31"/>
  <c r="F339" i="31"/>
  <c r="E339" i="31"/>
  <c r="D339" i="31"/>
  <c r="C339" i="31"/>
  <c r="V338" i="31"/>
  <c r="U338" i="31"/>
  <c r="T338" i="31"/>
  <c r="S338" i="31"/>
  <c r="N338" i="31"/>
  <c r="M338" i="31"/>
  <c r="L338" i="31"/>
  <c r="K338" i="31"/>
  <c r="F338" i="31"/>
  <c r="E338" i="31"/>
  <c r="D338" i="31"/>
  <c r="C338" i="31"/>
  <c r="V337" i="31"/>
  <c r="U337" i="31"/>
  <c r="T337" i="31"/>
  <c r="S337" i="31"/>
  <c r="N337" i="31"/>
  <c r="M337" i="31"/>
  <c r="L337" i="31"/>
  <c r="K337" i="31"/>
  <c r="G337" i="31"/>
  <c r="F337" i="31"/>
  <c r="E337" i="31"/>
  <c r="D337" i="31"/>
  <c r="C337" i="31"/>
  <c r="W336" i="31"/>
  <c r="V336" i="31"/>
  <c r="U336" i="31"/>
  <c r="T336" i="31"/>
  <c r="S336" i="31"/>
  <c r="N336" i="31"/>
  <c r="M336" i="31"/>
  <c r="L336" i="31"/>
  <c r="K336" i="31"/>
  <c r="F336" i="31"/>
  <c r="E336" i="31"/>
  <c r="D336" i="31"/>
  <c r="C336" i="31"/>
  <c r="W335" i="31"/>
  <c r="V335" i="31"/>
  <c r="U335" i="31"/>
  <c r="T335" i="31"/>
  <c r="S335" i="31"/>
  <c r="N335" i="31"/>
  <c r="M335" i="31"/>
  <c r="L335" i="31"/>
  <c r="K335" i="31"/>
  <c r="G335" i="31"/>
  <c r="F335" i="31"/>
  <c r="E335" i="31"/>
  <c r="D335" i="31"/>
  <c r="C335" i="31"/>
  <c r="V334" i="31"/>
  <c r="U334" i="31"/>
  <c r="T334" i="31"/>
  <c r="S334" i="31"/>
  <c r="O334" i="31"/>
  <c r="N334" i="31"/>
  <c r="M334" i="31"/>
  <c r="L334" i="31"/>
  <c r="K334" i="31"/>
  <c r="G334" i="31"/>
  <c r="F334" i="31"/>
  <c r="E334" i="31"/>
  <c r="D334" i="31"/>
  <c r="C334" i="31"/>
  <c r="V333" i="31"/>
  <c r="U333" i="31"/>
  <c r="T333" i="31"/>
  <c r="S333" i="31"/>
  <c r="O333" i="31"/>
  <c r="N333" i="31"/>
  <c r="M333" i="31"/>
  <c r="L333" i="31"/>
  <c r="K333" i="31"/>
  <c r="F333" i="31"/>
  <c r="E333" i="31"/>
  <c r="D333" i="31"/>
  <c r="C333" i="31"/>
  <c r="V332" i="31"/>
  <c r="U332" i="31"/>
  <c r="T332" i="31"/>
  <c r="S332" i="31"/>
  <c r="N332" i="31"/>
  <c r="M332" i="31"/>
  <c r="L332" i="31"/>
  <c r="K332" i="31"/>
  <c r="F332" i="31"/>
  <c r="E332" i="31"/>
  <c r="D332" i="31"/>
  <c r="C332" i="31"/>
  <c r="W331" i="31"/>
  <c r="V331" i="31"/>
  <c r="U331" i="31"/>
  <c r="T331" i="31"/>
  <c r="S331" i="31"/>
  <c r="N331" i="31"/>
  <c r="M331" i="31"/>
  <c r="L331" i="31"/>
  <c r="K331" i="31"/>
  <c r="F331" i="31"/>
  <c r="E331" i="31"/>
  <c r="D331" i="31"/>
  <c r="C331" i="31"/>
  <c r="V329" i="31"/>
  <c r="U329" i="31"/>
  <c r="T329" i="31"/>
  <c r="S329" i="31"/>
  <c r="O329" i="31"/>
  <c r="N329" i="31"/>
  <c r="M329" i="31"/>
  <c r="L329" i="31"/>
  <c r="K329" i="31"/>
  <c r="F329" i="31"/>
  <c r="E329" i="31"/>
  <c r="D329" i="31"/>
  <c r="C329" i="31"/>
  <c r="V328" i="31"/>
  <c r="U328" i="31"/>
  <c r="T328" i="31"/>
  <c r="S328" i="31"/>
  <c r="N328" i="31"/>
  <c r="M328" i="31"/>
  <c r="L328" i="31"/>
  <c r="K328" i="31"/>
  <c r="G328" i="31"/>
  <c r="F328" i="31"/>
  <c r="E328" i="31"/>
  <c r="D328" i="31"/>
  <c r="C328" i="31"/>
  <c r="W327" i="31"/>
  <c r="V327" i="31"/>
  <c r="U327" i="31"/>
  <c r="T327" i="31"/>
  <c r="S327" i="31"/>
  <c r="N327" i="31"/>
  <c r="M327" i="31"/>
  <c r="L327" i="31"/>
  <c r="K327" i="31"/>
  <c r="G327" i="31"/>
  <c r="F327" i="31"/>
  <c r="E327" i="31"/>
  <c r="D327" i="31"/>
  <c r="C327" i="31"/>
  <c r="W326" i="31"/>
  <c r="V326" i="31"/>
  <c r="U326" i="31"/>
  <c r="T326" i="31"/>
  <c r="S326" i="31"/>
  <c r="N326" i="31"/>
  <c r="M326" i="31"/>
  <c r="L326" i="31"/>
  <c r="K326" i="31"/>
  <c r="G326" i="31"/>
  <c r="F326" i="31"/>
  <c r="E326" i="31"/>
  <c r="D326" i="31"/>
  <c r="C326" i="31"/>
  <c r="V325" i="31"/>
  <c r="U325" i="31"/>
  <c r="T325" i="31"/>
  <c r="S325" i="31"/>
  <c r="O325" i="31"/>
  <c r="N325" i="31"/>
  <c r="M325" i="31"/>
  <c r="L325" i="31"/>
  <c r="K325" i="31"/>
  <c r="F325" i="31"/>
  <c r="E325" i="31"/>
  <c r="D325" i="31"/>
  <c r="C325" i="31"/>
  <c r="V324" i="31"/>
  <c r="U324" i="31"/>
  <c r="T324" i="31"/>
  <c r="S324" i="31"/>
  <c r="N324" i="31"/>
  <c r="M324" i="31"/>
  <c r="L324" i="31"/>
  <c r="K324" i="31"/>
  <c r="F324" i="31"/>
  <c r="E324" i="31"/>
  <c r="D324" i="31"/>
  <c r="C324" i="31"/>
  <c r="V323" i="31"/>
  <c r="U323" i="31"/>
  <c r="T323" i="31"/>
  <c r="S323" i="31"/>
  <c r="N323" i="31"/>
  <c r="M323" i="31"/>
  <c r="L323" i="31"/>
  <c r="K323" i="31"/>
  <c r="F323" i="31"/>
  <c r="E323" i="31"/>
  <c r="D323" i="31"/>
  <c r="C323" i="31"/>
  <c r="V322" i="31"/>
  <c r="U322" i="31"/>
  <c r="T322" i="31"/>
  <c r="S322" i="31"/>
  <c r="N322" i="31"/>
  <c r="M322" i="31"/>
  <c r="L322" i="31"/>
  <c r="K322" i="31"/>
  <c r="F322" i="31"/>
  <c r="E322" i="31"/>
  <c r="D322" i="31"/>
  <c r="C322" i="31"/>
  <c r="V321" i="31"/>
  <c r="U321" i="31"/>
  <c r="T321" i="31"/>
  <c r="S321" i="31"/>
  <c r="O321" i="31"/>
  <c r="N321" i="31"/>
  <c r="M321" i="31"/>
  <c r="L321" i="31"/>
  <c r="K321" i="31"/>
  <c r="F321" i="31"/>
  <c r="E321" i="31"/>
  <c r="D321" i="31"/>
  <c r="C321" i="31"/>
  <c r="V320" i="31"/>
  <c r="U320" i="31"/>
  <c r="T320" i="31"/>
  <c r="S320" i="31"/>
  <c r="N320" i="31"/>
  <c r="M320" i="31"/>
  <c r="L320" i="31"/>
  <c r="K320" i="31"/>
  <c r="F320" i="31"/>
  <c r="E320" i="31"/>
  <c r="D320" i="31"/>
  <c r="C320" i="31"/>
  <c r="W319" i="31"/>
  <c r="V319" i="31"/>
  <c r="U319" i="31"/>
  <c r="T319" i="31"/>
  <c r="S319" i="31"/>
  <c r="N319" i="31"/>
  <c r="M319" i="31"/>
  <c r="L319" i="31"/>
  <c r="K319" i="31"/>
  <c r="G319" i="31"/>
  <c r="F319" i="31"/>
  <c r="E319" i="31"/>
  <c r="D319" i="31"/>
  <c r="C319" i="31"/>
  <c r="V318" i="31"/>
  <c r="U318" i="31"/>
  <c r="T318" i="31"/>
  <c r="S318" i="31"/>
  <c r="N318" i="31"/>
  <c r="M318" i="31"/>
  <c r="L318" i="31"/>
  <c r="K318" i="31"/>
  <c r="F318" i="31"/>
  <c r="E318" i="31"/>
  <c r="D318" i="31"/>
  <c r="C318" i="31"/>
  <c r="V317" i="31"/>
  <c r="U317" i="31"/>
  <c r="T317" i="31"/>
  <c r="S317" i="31"/>
  <c r="O317" i="31"/>
  <c r="N317" i="31"/>
  <c r="M317" i="31"/>
  <c r="L317" i="31"/>
  <c r="K317" i="31"/>
  <c r="G317" i="31"/>
  <c r="F317" i="31"/>
  <c r="E317" i="31"/>
  <c r="D317" i="31"/>
  <c r="C317" i="31"/>
  <c r="V316" i="31"/>
  <c r="U316" i="31"/>
  <c r="T316" i="31"/>
  <c r="S316" i="31"/>
  <c r="N316" i="31"/>
  <c r="M316" i="31"/>
  <c r="L316" i="31"/>
  <c r="K316" i="31"/>
  <c r="F316" i="31"/>
  <c r="E316" i="31"/>
  <c r="D316" i="31"/>
  <c r="C316" i="31"/>
  <c r="V315" i="31"/>
  <c r="U315" i="31"/>
  <c r="T315" i="31"/>
  <c r="S315" i="31"/>
  <c r="N315" i="31"/>
  <c r="M315" i="31"/>
  <c r="L315" i="31"/>
  <c r="K315" i="31"/>
  <c r="F315" i="31"/>
  <c r="E315" i="31"/>
  <c r="D315" i="31"/>
  <c r="C315" i="31"/>
  <c r="W314" i="31"/>
  <c r="V314" i="31"/>
  <c r="U314" i="31"/>
  <c r="T314" i="31"/>
  <c r="S314" i="31"/>
  <c r="O314" i="31"/>
  <c r="N314" i="31"/>
  <c r="M314" i="31"/>
  <c r="L314" i="31"/>
  <c r="K314" i="31"/>
  <c r="F314" i="31"/>
  <c r="E314" i="31"/>
  <c r="D314" i="31"/>
  <c r="C314" i="31"/>
  <c r="V313" i="31"/>
  <c r="U313" i="31"/>
  <c r="T313" i="31"/>
  <c r="S313" i="31"/>
  <c r="O313" i="31"/>
  <c r="N313" i="31"/>
  <c r="M313" i="31"/>
  <c r="L313" i="31"/>
  <c r="K313" i="31"/>
  <c r="F313" i="31"/>
  <c r="E313" i="31"/>
  <c r="D313" i="31"/>
  <c r="C313" i="31"/>
  <c r="V312" i="31"/>
  <c r="U312" i="31"/>
  <c r="T312" i="31"/>
  <c r="S312" i="31"/>
  <c r="N312" i="31"/>
  <c r="M312" i="31"/>
  <c r="L312" i="31"/>
  <c r="K312" i="31"/>
  <c r="G312" i="31"/>
  <c r="F312" i="31"/>
  <c r="E312" i="31"/>
  <c r="D312" i="31"/>
  <c r="C312" i="31"/>
  <c r="W311" i="31"/>
  <c r="V311" i="31"/>
  <c r="U311" i="31"/>
  <c r="T311" i="31"/>
  <c r="S311" i="31"/>
  <c r="N311" i="31"/>
  <c r="M311" i="31"/>
  <c r="L311" i="31"/>
  <c r="K311" i="31"/>
  <c r="G311" i="31"/>
  <c r="F311" i="31"/>
  <c r="E311" i="31"/>
  <c r="D311" i="31"/>
  <c r="C311" i="31"/>
  <c r="V310" i="31"/>
  <c r="U310" i="31"/>
  <c r="T310" i="31"/>
  <c r="S310" i="31"/>
  <c r="N310" i="31"/>
  <c r="M310" i="31"/>
  <c r="L310" i="31"/>
  <c r="K310" i="31"/>
  <c r="F310" i="31"/>
  <c r="E310" i="31"/>
  <c r="D310" i="31"/>
  <c r="C310" i="31"/>
  <c r="V308" i="31"/>
  <c r="U308" i="31"/>
  <c r="T308" i="31"/>
  <c r="S308" i="31"/>
  <c r="O308" i="31"/>
  <c r="N308" i="31"/>
  <c r="M308" i="31"/>
  <c r="L308" i="31"/>
  <c r="K308" i="31"/>
  <c r="G308" i="31"/>
  <c r="F308" i="31"/>
  <c r="E308" i="31"/>
  <c r="D308" i="31"/>
  <c r="C308" i="31"/>
  <c r="V307" i="31"/>
  <c r="U307" i="31"/>
  <c r="T307" i="31"/>
  <c r="S307" i="31"/>
  <c r="O307" i="31"/>
  <c r="N307" i="31"/>
  <c r="M307" i="31"/>
  <c r="L307" i="31"/>
  <c r="K307" i="31"/>
  <c r="G307" i="31"/>
  <c r="F307" i="31"/>
  <c r="E307" i="31"/>
  <c r="D307" i="31"/>
  <c r="C307" i="31"/>
  <c r="V306" i="31"/>
  <c r="U306" i="31"/>
  <c r="T306" i="31"/>
  <c r="S306" i="31"/>
  <c r="N306" i="31"/>
  <c r="M306" i="31"/>
  <c r="L306" i="31"/>
  <c r="K306" i="31"/>
  <c r="F306" i="31"/>
  <c r="E306" i="31"/>
  <c r="D306" i="31"/>
  <c r="C306" i="31"/>
  <c r="V305" i="31"/>
  <c r="U305" i="31"/>
  <c r="T305" i="31"/>
  <c r="S305" i="31"/>
  <c r="O305" i="31"/>
  <c r="N305" i="31"/>
  <c r="M305" i="31"/>
  <c r="L305" i="31"/>
  <c r="K305" i="31"/>
  <c r="F305" i="31"/>
  <c r="E305" i="31"/>
  <c r="D305" i="31"/>
  <c r="C305" i="31"/>
  <c r="V304" i="31"/>
  <c r="U304" i="31"/>
  <c r="T304" i="31"/>
  <c r="S304" i="31"/>
  <c r="N304" i="31"/>
  <c r="M304" i="31"/>
  <c r="L304" i="31"/>
  <c r="K304" i="31"/>
  <c r="F304" i="31"/>
  <c r="E304" i="31"/>
  <c r="D304" i="31"/>
  <c r="C304" i="31"/>
  <c r="W303" i="31"/>
  <c r="V303" i="31"/>
  <c r="U303" i="31"/>
  <c r="T303" i="31"/>
  <c r="S303" i="31"/>
  <c r="N303" i="31"/>
  <c r="M303" i="31"/>
  <c r="L303" i="31"/>
  <c r="K303" i="31"/>
  <c r="G303" i="31"/>
  <c r="F303" i="31"/>
  <c r="E303" i="31"/>
  <c r="D303" i="31"/>
  <c r="C303" i="31"/>
  <c r="V302" i="31"/>
  <c r="U302" i="31"/>
  <c r="T302" i="31"/>
  <c r="S302" i="31"/>
  <c r="N302" i="31"/>
  <c r="M302" i="31"/>
  <c r="L302" i="31"/>
  <c r="K302" i="31"/>
  <c r="F302" i="31"/>
  <c r="E302" i="31"/>
  <c r="D302" i="31"/>
  <c r="C302" i="31"/>
  <c r="V301" i="31"/>
  <c r="U301" i="31"/>
  <c r="T301" i="31"/>
  <c r="S301" i="31"/>
  <c r="N301" i="31"/>
  <c r="M301" i="31"/>
  <c r="L301" i="31"/>
  <c r="K301" i="31"/>
  <c r="F301" i="31"/>
  <c r="E301" i="31"/>
  <c r="D301" i="31"/>
  <c r="C301" i="31"/>
  <c r="V300" i="31"/>
  <c r="U300" i="31"/>
  <c r="T300" i="31"/>
  <c r="S300" i="31"/>
  <c r="N300" i="31"/>
  <c r="M300" i="31"/>
  <c r="L300" i="31"/>
  <c r="K300" i="31"/>
  <c r="F300" i="31"/>
  <c r="E300" i="31"/>
  <c r="D300" i="31"/>
  <c r="C300" i="31"/>
  <c r="V299" i="31"/>
  <c r="U299" i="31"/>
  <c r="T299" i="31"/>
  <c r="S299" i="31"/>
  <c r="N299" i="31"/>
  <c r="M299" i="31"/>
  <c r="L299" i="31"/>
  <c r="K299" i="31"/>
  <c r="G299" i="31"/>
  <c r="F299" i="31"/>
  <c r="E299" i="31"/>
  <c r="D299" i="31"/>
  <c r="C299" i="31"/>
  <c r="V298" i="31"/>
  <c r="U298" i="31"/>
  <c r="T298" i="31"/>
  <c r="S298" i="31"/>
  <c r="N298" i="31"/>
  <c r="M298" i="31"/>
  <c r="L298" i="31"/>
  <c r="K298" i="31"/>
  <c r="F298" i="31"/>
  <c r="E298" i="31"/>
  <c r="D298" i="31"/>
  <c r="C298" i="31"/>
  <c r="V297" i="31"/>
  <c r="U297" i="31"/>
  <c r="T297" i="31"/>
  <c r="S297" i="31"/>
  <c r="O297" i="31"/>
  <c r="N297" i="31"/>
  <c r="M297" i="31"/>
  <c r="L297" i="31"/>
  <c r="K297" i="31"/>
  <c r="F297" i="31"/>
  <c r="E297" i="31"/>
  <c r="D297" i="31"/>
  <c r="C297" i="31"/>
  <c r="W296" i="31"/>
  <c r="V296" i="31"/>
  <c r="U296" i="31"/>
  <c r="T296" i="31"/>
  <c r="S296" i="31"/>
  <c r="N296" i="31"/>
  <c r="M296" i="31"/>
  <c r="L296" i="31"/>
  <c r="K296" i="31"/>
  <c r="F296" i="31"/>
  <c r="E296" i="31"/>
  <c r="D296" i="31"/>
  <c r="C296" i="31"/>
  <c r="V295" i="31"/>
  <c r="U295" i="31"/>
  <c r="T295" i="31"/>
  <c r="S295" i="31"/>
  <c r="N295" i="31"/>
  <c r="M295" i="31"/>
  <c r="L295" i="31"/>
  <c r="K295" i="31"/>
  <c r="G295" i="31"/>
  <c r="F295" i="31"/>
  <c r="E295" i="31"/>
  <c r="D295" i="31"/>
  <c r="C295" i="31"/>
  <c r="W294" i="31"/>
  <c r="V294" i="31"/>
  <c r="U294" i="31"/>
  <c r="T294" i="31"/>
  <c r="S294" i="31"/>
  <c r="N294" i="31"/>
  <c r="M294" i="31"/>
  <c r="L294" i="31"/>
  <c r="K294" i="31"/>
  <c r="G294" i="31"/>
  <c r="F294" i="31"/>
  <c r="E294" i="31"/>
  <c r="D294" i="31"/>
  <c r="C294" i="31"/>
  <c r="V293" i="31"/>
  <c r="U293" i="31"/>
  <c r="T293" i="31"/>
  <c r="S293" i="31"/>
  <c r="N293" i="31"/>
  <c r="M293" i="31"/>
  <c r="L293" i="31"/>
  <c r="K293" i="31"/>
  <c r="F293" i="31"/>
  <c r="E293" i="31"/>
  <c r="D293" i="31"/>
  <c r="C293" i="31"/>
  <c r="Z292" i="31"/>
  <c r="W292" i="31"/>
  <c r="V292" i="31"/>
  <c r="U292" i="31"/>
  <c r="T292" i="31"/>
  <c r="S292" i="31"/>
  <c r="N292" i="31"/>
  <c r="M292" i="31"/>
  <c r="L292" i="31"/>
  <c r="K292" i="31"/>
  <c r="F292" i="31"/>
  <c r="E292" i="31"/>
  <c r="D292" i="31"/>
  <c r="C292" i="31"/>
  <c r="Z291" i="31"/>
  <c r="W291" i="31"/>
  <c r="V291" i="31"/>
  <c r="U291" i="31"/>
  <c r="T291" i="31"/>
  <c r="S291" i="31"/>
  <c r="N291" i="31"/>
  <c r="M291" i="31"/>
  <c r="L291" i="31"/>
  <c r="K291" i="31"/>
  <c r="G291" i="31"/>
  <c r="F291" i="31"/>
  <c r="E291" i="31"/>
  <c r="D291" i="31"/>
  <c r="C291" i="31"/>
  <c r="Z290" i="31"/>
  <c r="W290" i="31"/>
  <c r="V290" i="31"/>
  <c r="U290" i="31"/>
  <c r="T290" i="31"/>
  <c r="S290" i="31"/>
  <c r="N290" i="31"/>
  <c r="M290" i="31"/>
  <c r="L290" i="31"/>
  <c r="K290" i="31"/>
  <c r="F290" i="31"/>
  <c r="E290" i="31"/>
  <c r="D290" i="31"/>
  <c r="C290" i="31"/>
  <c r="Z289" i="31"/>
  <c r="V289" i="31"/>
  <c r="U289" i="31"/>
  <c r="T289" i="31"/>
  <c r="S289" i="31"/>
  <c r="N289" i="31"/>
  <c r="M289" i="31"/>
  <c r="L289" i="31"/>
  <c r="K289" i="31"/>
  <c r="G289" i="31"/>
  <c r="F289" i="31"/>
  <c r="E289" i="31"/>
  <c r="D289" i="31"/>
  <c r="C289" i="31"/>
  <c r="Z288" i="31"/>
  <c r="Z287" i="31"/>
  <c r="W287" i="31"/>
  <c r="V287" i="31"/>
  <c r="U287" i="31"/>
  <c r="T287" i="31"/>
  <c r="S287" i="31"/>
  <c r="N287" i="31"/>
  <c r="M287" i="31"/>
  <c r="L287" i="31"/>
  <c r="K287" i="31"/>
  <c r="G287" i="31"/>
  <c r="F287" i="31"/>
  <c r="E287" i="31"/>
  <c r="D287" i="31"/>
  <c r="C287" i="31"/>
  <c r="Z286" i="31"/>
  <c r="V286" i="31"/>
  <c r="U286" i="31"/>
  <c r="T286" i="31"/>
  <c r="S286" i="31"/>
  <c r="N286" i="31"/>
  <c r="M286" i="31"/>
  <c r="L286" i="31"/>
  <c r="K286" i="31"/>
  <c r="G286" i="31"/>
  <c r="F286" i="31"/>
  <c r="E286" i="31"/>
  <c r="D286" i="31"/>
  <c r="C286" i="31"/>
  <c r="Z285" i="31"/>
  <c r="V285" i="31"/>
  <c r="U285" i="31"/>
  <c r="T285" i="31"/>
  <c r="S285" i="31"/>
  <c r="N285" i="31"/>
  <c r="M285" i="31"/>
  <c r="L285" i="31"/>
  <c r="K285" i="31"/>
  <c r="G285" i="31"/>
  <c r="F285" i="31"/>
  <c r="E285" i="31"/>
  <c r="D285" i="31"/>
  <c r="C285" i="31"/>
  <c r="Z284" i="31"/>
  <c r="V284" i="31"/>
  <c r="U284" i="31"/>
  <c r="T284" i="31"/>
  <c r="S284" i="31"/>
  <c r="N284" i="31"/>
  <c r="M284" i="31"/>
  <c r="L284" i="31"/>
  <c r="K284" i="31"/>
  <c r="G284" i="31"/>
  <c r="F284" i="31"/>
  <c r="E284" i="31"/>
  <c r="D284" i="31"/>
  <c r="C284" i="31"/>
  <c r="Z283" i="31"/>
  <c r="V283" i="31"/>
  <c r="U283" i="31"/>
  <c r="T283" i="31"/>
  <c r="S283" i="31"/>
  <c r="N283" i="31"/>
  <c r="M283" i="31"/>
  <c r="L283" i="31"/>
  <c r="K283" i="31"/>
  <c r="F283" i="31"/>
  <c r="E283" i="31"/>
  <c r="D283" i="31"/>
  <c r="C283" i="31"/>
  <c r="Z282" i="31"/>
  <c r="W282" i="31"/>
  <c r="V282" i="31"/>
  <c r="U282" i="31"/>
  <c r="T282" i="31"/>
  <c r="S282" i="31"/>
  <c r="N282" i="31"/>
  <c r="M282" i="31"/>
  <c r="L282" i="31"/>
  <c r="K282" i="31"/>
  <c r="F282" i="31"/>
  <c r="E282" i="31"/>
  <c r="D282" i="31"/>
  <c r="C282" i="31"/>
  <c r="Z281" i="31"/>
  <c r="W281" i="31"/>
  <c r="V281" i="31"/>
  <c r="U281" i="31"/>
  <c r="T281" i="31"/>
  <c r="S281" i="31"/>
  <c r="N281" i="31"/>
  <c r="M281" i="31"/>
  <c r="L281" i="31"/>
  <c r="K281" i="31"/>
  <c r="G281" i="31"/>
  <c r="F281" i="31"/>
  <c r="E281" i="31"/>
  <c r="D281" i="31"/>
  <c r="C281" i="31"/>
  <c r="Z280" i="31"/>
  <c r="V280" i="31"/>
  <c r="U280" i="31"/>
  <c r="T280" i="31"/>
  <c r="S280" i="31"/>
  <c r="N280" i="31"/>
  <c r="M280" i="31"/>
  <c r="L280" i="31"/>
  <c r="K280" i="31"/>
  <c r="F280" i="31"/>
  <c r="E280" i="31"/>
  <c r="D280" i="31"/>
  <c r="C280" i="31"/>
  <c r="Z279" i="31"/>
  <c r="W279" i="31"/>
  <c r="V279" i="31"/>
  <c r="U279" i="31"/>
  <c r="T279" i="31"/>
  <c r="S279" i="31"/>
  <c r="N279" i="31"/>
  <c r="M279" i="31"/>
  <c r="L279" i="31"/>
  <c r="K279" i="31"/>
  <c r="G279" i="31"/>
  <c r="F279" i="31"/>
  <c r="E279" i="31"/>
  <c r="D279" i="31"/>
  <c r="C279" i="31"/>
  <c r="Z278" i="31"/>
  <c r="V278" i="31"/>
  <c r="U278" i="31"/>
  <c r="T278" i="31"/>
  <c r="S278" i="31"/>
  <c r="N278" i="31"/>
  <c r="M278" i="31"/>
  <c r="L278" i="31"/>
  <c r="K278" i="31"/>
  <c r="F278" i="31"/>
  <c r="E278" i="31"/>
  <c r="D278" i="31"/>
  <c r="C278" i="31"/>
  <c r="Z277" i="31"/>
  <c r="V277" i="31"/>
  <c r="U277" i="31"/>
  <c r="T277" i="31"/>
  <c r="S277" i="31"/>
  <c r="N277" i="31"/>
  <c r="M277" i="31"/>
  <c r="L277" i="31"/>
  <c r="K277" i="31"/>
  <c r="G277" i="31"/>
  <c r="F277" i="31"/>
  <c r="E277" i="31"/>
  <c r="D277" i="31"/>
  <c r="C277" i="31"/>
  <c r="Z276" i="31"/>
  <c r="V276" i="31"/>
  <c r="U276" i="31"/>
  <c r="T276" i="31"/>
  <c r="S276" i="31"/>
  <c r="N276" i="31"/>
  <c r="M276" i="31"/>
  <c r="L276" i="31"/>
  <c r="K276" i="31"/>
  <c r="F276" i="31"/>
  <c r="E276" i="31"/>
  <c r="D276" i="31"/>
  <c r="C276" i="31"/>
  <c r="Z275" i="31"/>
  <c r="V275" i="31"/>
  <c r="U275" i="31"/>
  <c r="T275" i="31"/>
  <c r="S275" i="31"/>
  <c r="N275" i="31"/>
  <c r="M275" i="31"/>
  <c r="L275" i="31"/>
  <c r="K275" i="31"/>
  <c r="F275" i="31"/>
  <c r="E275" i="31"/>
  <c r="D275" i="31"/>
  <c r="C275" i="31"/>
  <c r="Z274" i="31"/>
  <c r="W274" i="31"/>
  <c r="V274" i="31"/>
  <c r="U274" i="31"/>
  <c r="T274" i="31"/>
  <c r="S274" i="31"/>
  <c r="N274" i="31"/>
  <c r="M274" i="31"/>
  <c r="L274" i="31"/>
  <c r="K274" i="31"/>
  <c r="F274" i="31"/>
  <c r="E274" i="31"/>
  <c r="D274" i="31"/>
  <c r="C274" i="31"/>
  <c r="Z273" i="31"/>
  <c r="W273" i="31"/>
  <c r="V273" i="31"/>
  <c r="U273" i="31"/>
  <c r="T273" i="31"/>
  <c r="S273" i="31"/>
  <c r="N273" i="31"/>
  <c r="M273" i="31"/>
  <c r="L273" i="31"/>
  <c r="K273" i="31"/>
  <c r="F273" i="31"/>
  <c r="E273" i="31"/>
  <c r="D273" i="31"/>
  <c r="C273" i="31"/>
  <c r="V272" i="31"/>
  <c r="U272" i="31"/>
  <c r="T272" i="31"/>
  <c r="S272" i="31"/>
  <c r="N272" i="31"/>
  <c r="M272" i="31"/>
  <c r="L272" i="31"/>
  <c r="K272" i="31"/>
  <c r="G272" i="31"/>
  <c r="F272" i="31"/>
  <c r="E272" i="31"/>
  <c r="D272" i="31"/>
  <c r="C272" i="31"/>
  <c r="V271" i="31"/>
  <c r="U271" i="31"/>
  <c r="T271" i="31"/>
  <c r="S271" i="31"/>
  <c r="O271" i="31"/>
  <c r="N271" i="31"/>
  <c r="M271" i="31"/>
  <c r="L271" i="31"/>
  <c r="K271" i="31"/>
  <c r="F271" i="31"/>
  <c r="E271" i="31"/>
  <c r="D271" i="31"/>
  <c r="C271" i="31"/>
  <c r="V270" i="31"/>
  <c r="U270" i="31"/>
  <c r="T270" i="31"/>
  <c r="S270" i="31"/>
  <c r="N270" i="31"/>
  <c r="M270" i="31"/>
  <c r="L270" i="31"/>
  <c r="K270" i="31"/>
  <c r="F270" i="31"/>
  <c r="E270" i="31"/>
  <c r="D270" i="31"/>
  <c r="C270" i="31"/>
  <c r="V269" i="31"/>
  <c r="U269" i="31"/>
  <c r="T269" i="31"/>
  <c r="S269" i="31"/>
  <c r="O269" i="31"/>
  <c r="N269" i="31"/>
  <c r="M269" i="31"/>
  <c r="L269" i="31"/>
  <c r="K269" i="31"/>
  <c r="F269" i="31"/>
  <c r="E269" i="31"/>
  <c r="D269" i="31"/>
  <c r="C269" i="31"/>
  <c r="Z268" i="31"/>
  <c r="V268" i="31"/>
  <c r="U268" i="31"/>
  <c r="T268" i="31"/>
  <c r="S268" i="31"/>
  <c r="N268" i="31"/>
  <c r="M268" i="31"/>
  <c r="L268" i="31"/>
  <c r="K268" i="31"/>
  <c r="F268" i="31"/>
  <c r="E268" i="31"/>
  <c r="D268" i="31"/>
  <c r="C268" i="31"/>
  <c r="Z267" i="31"/>
  <c r="Z266" i="31"/>
  <c r="V266" i="31"/>
  <c r="U266" i="31"/>
  <c r="T266" i="31"/>
  <c r="S266" i="31"/>
  <c r="O266" i="31"/>
  <c r="N266" i="31"/>
  <c r="M266" i="31"/>
  <c r="L266" i="31"/>
  <c r="K266" i="31"/>
  <c r="F266" i="31"/>
  <c r="E266" i="31"/>
  <c r="D266" i="31"/>
  <c r="C266" i="31"/>
  <c r="Z265" i="31"/>
  <c r="V265" i="31"/>
  <c r="U265" i="31"/>
  <c r="T265" i="31"/>
  <c r="S265" i="31"/>
  <c r="O265" i="31"/>
  <c r="N265" i="31"/>
  <c r="M265" i="31"/>
  <c r="L265" i="31"/>
  <c r="K265" i="31"/>
  <c r="G265" i="31"/>
  <c r="F265" i="31"/>
  <c r="E265" i="31"/>
  <c r="D265" i="31"/>
  <c r="C265" i="31"/>
  <c r="Z264" i="31"/>
  <c r="V264" i="31"/>
  <c r="U264" i="31"/>
  <c r="T264" i="31"/>
  <c r="S264" i="31"/>
  <c r="O264" i="31"/>
  <c r="N264" i="31"/>
  <c r="M264" i="31"/>
  <c r="L264" i="31"/>
  <c r="K264" i="31"/>
  <c r="F264" i="31"/>
  <c r="E264" i="31"/>
  <c r="D264" i="31"/>
  <c r="C264" i="31"/>
  <c r="Z263" i="31"/>
  <c r="V263" i="31"/>
  <c r="U263" i="31"/>
  <c r="T263" i="31"/>
  <c r="S263" i="31"/>
  <c r="O263" i="31"/>
  <c r="N263" i="31"/>
  <c r="M263" i="31"/>
  <c r="L263" i="31"/>
  <c r="K263" i="31"/>
  <c r="F263" i="31"/>
  <c r="E263" i="31"/>
  <c r="D263" i="31"/>
  <c r="C263" i="31"/>
  <c r="Z262" i="31"/>
  <c r="V262" i="31"/>
  <c r="U262" i="31"/>
  <c r="T262" i="31"/>
  <c r="S262" i="31"/>
  <c r="N262" i="31"/>
  <c r="M262" i="31"/>
  <c r="L262" i="31"/>
  <c r="K262" i="31"/>
  <c r="F262" i="31"/>
  <c r="E262" i="31"/>
  <c r="D262" i="31"/>
  <c r="C262" i="31"/>
  <c r="Z261" i="31"/>
  <c r="V261" i="31"/>
  <c r="U261" i="31"/>
  <c r="T261" i="31"/>
  <c r="S261" i="31"/>
  <c r="O261" i="31"/>
  <c r="N261" i="31"/>
  <c r="M261" i="31"/>
  <c r="L261" i="31"/>
  <c r="K261" i="31"/>
  <c r="G261" i="31"/>
  <c r="F261" i="31"/>
  <c r="E261" i="31"/>
  <c r="D261" i="31"/>
  <c r="C261" i="31"/>
  <c r="Z260" i="31"/>
  <c r="V260" i="31"/>
  <c r="U260" i="31"/>
  <c r="T260" i="31"/>
  <c r="S260" i="31"/>
  <c r="N260" i="31"/>
  <c r="M260" i="31"/>
  <c r="L260" i="31"/>
  <c r="K260" i="31"/>
  <c r="G260" i="31"/>
  <c r="F260" i="31"/>
  <c r="E260" i="31"/>
  <c r="D260" i="31"/>
  <c r="C260" i="31"/>
  <c r="Z259" i="31"/>
  <c r="V259" i="31"/>
  <c r="U259" i="31"/>
  <c r="T259" i="31"/>
  <c r="S259" i="31"/>
  <c r="N259" i="31"/>
  <c r="M259" i="31"/>
  <c r="L259" i="31"/>
  <c r="K259" i="31"/>
  <c r="G259" i="31"/>
  <c r="F259" i="31"/>
  <c r="E259" i="31"/>
  <c r="D259" i="31"/>
  <c r="C259" i="31"/>
  <c r="Z258" i="31"/>
  <c r="V258" i="31"/>
  <c r="U258" i="31"/>
  <c r="T258" i="31"/>
  <c r="S258" i="31"/>
  <c r="N258" i="31"/>
  <c r="M258" i="31"/>
  <c r="L258" i="31"/>
  <c r="K258" i="31"/>
  <c r="F258" i="31"/>
  <c r="E258" i="31"/>
  <c r="D258" i="31"/>
  <c r="C258" i="31"/>
  <c r="Z257" i="31"/>
  <c r="V257" i="31"/>
  <c r="U257" i="31"/>
  <c r="T257" i="31"/>
  <c r="S257" i="31"/>
  <c r="O257" i="31"/>
  <c r="N257" i="31"/>
  <c r="M257" i="31"/>
  <c r="L257" i="31"/>
  <c r="K257" i="31"/>
  <c r="G257" i="31"/>
  <c r="F257" i="31"/>
  <c r="E257" i="31"/>
  <c r="D257" i="31"/>
  <c r="C257" i="31"/>
  <c r="Z256" i="31"/>
  <c r="V256" i="31"/>
  <c r="U256" i="31"/>
  <c r="T256" i="31"/>
  <c r="S256" i="31"/>
  <c r="O256" i="31"/>
  <c r="N256" i="31"/>
  <c r="M256" i="31"/>
  <c r="L256" i="31"/>
  <c r="K256" i="31"/>
  <c r="F256" i="31"/>
  <c r="E256" i="31"/>
  <c r="D256" i="31"/>
  <c r="C256" i="31"/>
  <c r="Z255" i="31"/>
  <c r="V255" i="31"/>
  <c r="U255" i="31"/>
  <c r="T255" i="31"/>
  <c r="S255" i="31"/>
  <c r="N255" i="31"/>
  <c r="M255" i="31"/>
  <c r="L255" i="31"/>
  <c r="K255" i="31"/>
  <c r="F255" i="31"/>
  <c r="E255" i="31"/>
  <c r="D255" i="31"/>
  <c r="C255" i="31"/>
  <c r="Z254" i="31"/>
  <c r="V254" i="31"/>
  <c r="U254" i="31"/>
  <c r="T254" i="31"/>
  <c r="S254" i="31"/>
  <c r="O254" i="31"/>
  <c r="N254" i="31"/>
  <c r="M254" i="31"/>
  <c r="L254" i="31"/>
  <c r="K254" i="31"/>
  <c r="F254" i="31"/>
  <c r="E254" i="31"/>
  <c r="D254" i="31"/>
  <c r="C254" i="31"/>
  <c r="Z253" i="31"/>
  <c r="V253" i="31"/>
  <c r="U253" i="31"/>
  <c r="T253" i="31"/>
  <c r="S253" i="31"/>
  <c r="N253" i="31"/>
  <c r="M253" i="31"/>
  <c r="L253" i="31"/>
  <c r="K253" i="31"/>
  <c r="F253" i="31"/>
  <c r="E253" i="31"/>
  <c r="D253" i="31"/>
  <c r="C253" i="31"/>
  <c r="Z252" i="31"/>
  <c r="V252" i="31"/>
  <c r="U252" i="31"/>
  <c r="T252" i="31"/>
  <c r="S252" i="31"/>
  <c r="N252" i="31"/>
  <c r="M252" i="31"/>
  <c r="L252" i="31"/>
  <c r="K252" i="31"/>
  <c r="G252" i="31"/>
  <c r="F252" i="31"/>
  <c r="E252" i="31"/>
  <c r="D252" i="31"/>
  <c r="C252" i="31"/>
  <c r="Z251" i="31"/>
  <c r="V251" i="31"/>
  <c r="U251" i="31"/>
  <c r="T251" i="31"/>
  <c r="S251" i="31"/>
  <c r="N251" i="31"/>
  <c r="M251" i="31"/>
  <c r="L251" i="31"/>
  <c r="K251" i="31"/>
  <c r="G251" i="31"/>
  <c r="F251" i="31"/>
  <c r="E251" i="31"/>
  <c r="D251" i="31"/>
  <c r="C251" i="31"/>
  <c r="Z250" i="31"/>
  <c r="V250" i="31"/>
  <c r="U250" i="31"/>
  <c r="T250" i="31"/>
  <c r="S250" i="31"/>
  <c r="O250" i="31"/>
  <c r="N250" i="31"/>
  <c r="M250" i="31"/>
  <c r="L250" i="31"/>
  <c r="K250" i="31"/>
  <c r="F250" i="31"/>
  <c r="E250" i="31"/>
  <c r="D250" i="31"/>
  <c r="C250" i="31"/>
  <c r="Z249" i="31"/>
  <c r="V249" i="31"/>
  <c r="U249" i="31"/>
  <c r="T249" i="31"/>
  <c r="S249" i="31"/>
  <c r="O249" i="31"/>
  <c r="N249" i="31"/>
  <c r="M249" i="31"/>
  <c r="L249" i="31"/>
  <c r="K249" i="31"/>
  <c r="G249" i="31"/>
  <c r="F249" i="31"/>
  <c r="E249" i="31"/>
  <c r="D249" i="31"/>
  <c r="C249" i="31"/>
  <c r="V248" i="31"/>
  <c r="U248" i="31"/>
  <c r="T248" i="31"/>
  <c r="S248" i="31"/>
  <c r="O248" i="31"/>
  <c r="N248" i="31"/>
  <c r="M248" i="31"/>
  <c r="L248" i="31"/>
  <c r="K248" i="31"/>
  <c r="F248" i="31"/>
  <c r="E248" i="31"/>
  <c r="D248" i="31"/>
  <c r="C248" i="31"/>
  <c r="W247" i="31"/>
  <c r="V247" i="31"/>
  <c r="U247" i="31"/>
  <c r="T247" i="31"/>
  <c r="S247" i="31"/>
  <c r="N247" i="31"/>
  <c r="M247" i="31"/>
  <c r="L247" i="31"/>
  <c r="K247" i="31"/>
  <c r="F247" i="31"/>
  <c r="E247" i="31"/>
  <c r="D247" i="31"/>
  <c r="C247" i="31"/>
  <c r="W245" i="31"/>
  <c r="V245" i="31"/>
  <c r="U245" i="31"/>
  <c r="T245" i="31"/>
  <c r="S245" i="31"/>
  <c r="O245" i="31"/>
  <c r="N245" i="31"/>
  <c r="M245" i="31"/>
  <c r="L245" i="31"/>
  <c r="K245" i="31"/>
  <c r="F245" i="31"/>
  <c r="E245" i="31"/>
  <c r="D245" i="31"/>
  <c r="C245" i="31"/>
  <c r="Z244" i="31"/>
  <c r="W244" i="31"/>
  <c r="V244" i="31"/>
  <c r="U244" i="31"/>
  <c r="T244" i="31"/>
  <c r="S244" i="31"/>
  <c r="O244" i="31"/>
  <c r="N244" i="31"/>
  <c r="M244" i="31"/>
  <c r="L244" i="31"/>
  <c r="K244" i="31"/>
  <c r="F244" i="31"/>
  <c r="E244" i="31"/>
  <c r="D244" i="31"/>
  <c r="C244" i="31"/>
  <c r="Z243" i="31"/>
  <c r="V243" i="31"/>
  <c r="U243" i="31"/>
  <c r="T243" i="31"/>
  <c r="S243" i="31"/>
  <c r="O243" i="31"/>
  <c r="N243" i="31"/>
  <c r="M243" i="31"/>
  <c r="L243" i="31"/>
  <c r="K243" i="31"/>
  <c r="F243" i="31"/>
  <c r="E243" i="31"/>
  <c r="D243" i="31"/>
  <c r="C243" i="31"/>
  <c r="Z242" i="31"/>
  <c r="V242" i="31"/>
  <c r="U242" i="31"/>
  <c r="T242" i="31"/>
  <c r="S242" i="31"/>
  <c r="N242" i="31"/>
  <c r="M242" i="31"/>
  <c r="L242" i="31"/>
  <c r="K242" i="31"/>
  <c r="F242" i="31"/>
  <c r="E242" i="31"/>
  <c r="D242" i="31"/>
  <c r="C242" i="31"/>
  <c r="Z241" i="31"/>
  <c r="W241" i="31"/>
  <c r="V241" i="31"/>
  <c r="U241" i="31"/>
  <c r="T241" i="31"/>
  <c r="S241" i="31"/>
  <c r="O241" i="31"/>
  <c r="N241" i="31"/>
  <c r="M241" i="31"/>
  <c r="L241" i="31"/>
  <c r="K241" i="31"/>
  <c r="F241" i="31"/>
  <c r="E241" i="31"/>
  <c r="D241" i="31"/>
  <c r="C241" i="31"/>
  <c r="Z240" i="31"/>
  <c r="W240" i="31"/>
  <c r="V240" i="31"/>
  <c r="U240" i="31"/>
  <c r="S240" i="31"/>
  <c r="N240" i="31"/>
  <c r="M240" i="31"/>
  <c r="L240" i="31"/>
  <c r="K240" i="31"/>
  <c r="F240" i="31"/>
  <c r="E240" i="31"/>
  <c r="D240" i="31"/>
  <c r="C240" i="31"/>
  <c r="Z239" i="31"/>
  <c r="V239" i="31"/>
  <c r="U239" i="31"/>
  <c r="S239" i="31"/>
  <c r="N239" i="31"/>
  <c r="M239" i="31"/>
  <c r="L239" i="31"/>
  <c r="K239" i="31"/>
  <c r="F239" i="31"/>
  <c r="E239" i="31"/>
  <c r="D239" i="31"/>
  <c r="C239" i="31"/>
  <c r="Z238" i="31"/>
  <c r="V238" i="31"/>
  <c r="U238" i="31"/>
  <c r="S238" i="31"/>
  <c r="O238" i="31"/>
  <c r="N238" i="31"/>
  <c r="M238" i="31"/>
  <c r="L238" i="31"/>
  <c r="K238" i="31"/>
  <c r="F238" i="31"/>
  <c r="E238" i="31"/>
  <c r="D238" i="31"/>
  <c r="C238" i="31"/>
  <c r="Z237" i="31"/>
  <c r="V237" i="31"/>
  <c r="U237" i="31"/>
  <c r="T237" i="31"/>
  <c r="S237" i="31"/>
  <c r="O237" i="31"/>
  <c r="N237" i="31"/>
  <c r="M237" i="31"/>
  <c r="L237" i="31"/>
  <c r="K237" i="31"/>
  <c r="F237" i="31"/>
  <c r="E237" i="31"/>
  <c r="D237" i="31"/>
  <c r="C237" i="31"/>
  <c r="Z236" i="31"/>
  <c r="W236" i="31"/>
  <c r="V236" i="31"/>
  <c r="U236" i="31"/>
  <c r="T236" i="31"/>
  <c r="S236" i="31"/>
  <c r="O236" i="31"/>
  <c r="N236" i="31"/>
  <c r="M236" i="31"/>
  <c r="L236" i="31"/>
  <c r="K236" i="31"/>
  <c r="F236" i="31"/>
  <c r="E236" i="31"/>
  <c r="D236" i="31"/>
  <c r="C236" i="31"/>
  <c r="Z235" i="31"/>
  <c r="W235" i="31"/>
  <c r="V235" i="31"/>
  <c r="U235" i="31"/>
  <c r="T235" i="31"/>
  <c r="S235" i="31"/>
  <c r="N235" i="31"/>
  <c r="M235" i="31"/>
  <c r="L235" i="31"/>
  <c r="K235" i="31"/>
  <c r="F235" i="31"/>
  <c r="E235" i="31"/>
  <c r="D235" i="31"/>
  <c r="C235" i="31"/>
  <c r="Z234" i="31"/>
  <c r="W234" i="31"/>
  <c r="V234" i="31"/>
  <c r="U234" i="31"/>
  <c r="T234" i="31"/>
  <c r="S234" i="31"/>
  <c r="O234" i="31"/>
  <c r="N234" i="31"/>
  <c r="M234" i="31"/>
  <c r="L234" i="31"/>
  <c r="K234" i="31"/>
  <c r="F234" i="31"/>
  <c r="E234" i="31"/>
  <c r="D234" i="31"/>
  <c r="C234" i="31"/>
  <c r="Z233" i="31"/>
  <c r="W233" i="31"/>
  <c r="V233" i="31"/>
  <c r="U233" i="31"/>
  <c r="T233" i="31"/>
  <c r="S233" i="31"/>
  <c r="N233" i="31"/>
  <c r="M233" i="31"/>
  <c r="L233" i="31"/>
  <c r="K233" i="31"/>
  <c r="F233" i="31"/>
  <c r="E233" i="31"/>
  <c r="D233" i="31"/>
  <c r="C233" i="31"/>
  <c r="Z232" i="31"/>
  <c r="V232" i="31"/>
  <c r="U232" i="31"/>
  <c r="T232" i="31"/>
  <c r="S232" i="31"/>
  <c r="N232" i="31"/>
  <c r="M232" i="31"/>
  <c r="L232" i="31"/>
  <c r="K232" i="31"/>
  <c r="F232" i="31"/>
  <c r="E232" i="31"/>
  <c r="D232" i="31"/>
  <c r="C232" i="31"/>
  <c r="Z231" i="31"/>
  <c r="W231" i="31"/>
  <c r="V231" i="31"/>
  <c r="U231" i="31"/>
  <c r="T231" i="31"/>
  <c r="S231" i="31"/>
  <c r="O231" i="31"/>
  <c r="N231" i="31"/>
  <c r="M231" i="31"/>
  <c r="L231" i="31"/>
  <c r="K231" i="31"/>
  <c r="F231" i="31"/>
  <c r="E231" i="31"/>
  <c r="D231" i="31"/>
  <c r="C231" i="31"/>
  <c r="Z230" i="31"/>
  <c r="V230" i="31"/>
  <c r="U230" i="31"/>
  <c r="T230" i="31"/>
  <c r="S230" i="31"/>
  <c r="N230" i="31"/>
  <c r="M230" i="31"/>
  <c r="L230" i="31"/>
  <c r="K230" i="31"/>
  <c r="F230" i="31"/>
  <c r="E230" i="31"/>
  <c r="D230" i="31"/>
  <c r="C230" i="31"/>
  <c r="Z229" i="31"/>
  <c r="V229" i="31"/>
  <c r="U229" i="31"/>
  <c r="T229" i="31"/>
  <c r="S229" i="31"/>
  <c r="O229" i="31"/>
  <c r="N229" i="31"/>
  <c r="M229" i="31"/>
  <c r="L229" i="31"/>
  <c r="K229" i="31"/>
  <c r="F229" i="31"/>
  <c r="E229" i="31"/>
  <c r="D229" i="31"/>
  <c r="C229" i="31"/>
  <c r="Z228" i="31"/>
  <c r="W228" i="31"/>
  <c r="V228" i="31"/>
  <c r="U228" i="31"/>
  <c r="T228" i="31"/>
  <c r="S228" i="31"/>
  <c r="O228" i="31"/>
  <c r="N228" i="31"/>
  <c r="M228" i="31"/>
  <c r="L228" i="31"/>
  <c r="K228" i="31"/>
  <c r="F228" i="31"/>
  <c r="E228" i="31"/>
  <c r="D228" i="31"/>
  <c r="C228" i="31"/>
  <c r="Z227" i="31"/>
  <c r="W227" i="31"/>
  <c r="V227" i="31"/>
  <c r="U227" i="31"/>
  <c r="T227" i="31"/>
  <c r="S227" i="31"/>
  <c r="N227" i="31"/>
  <c r="M227" i="31"/>
  <c r="L227" i="31"/>
  <c r="K227" i="31"/>
  <c r="F227" i="31"/>
  <c r="E227" i="31"/>
  <c r="D227" i="31"/>
  <c r="C227" i="31"/>
  <c r="Z226" i="31"/>
  <c r="W226" i="31"/>
  <c r="V226" i="31"/>
  <c r="U226" i="31"/>
  <c r="T226" i="31"/>
  <c r="S226" i="31"/>
  <c r="O226" i="31"/>
  <c r="N226" i="31"/>
  <c r="M226" i="31"/>
  <c r="L226" i="31"/>
  <c r="K226" i="31"/>
  <c r="F226" i="31"/>
  <c r="E226" i="31"/>
  <c r="D226" i="31"/>
  <c r="C226" i="31"/>
  <c r="Z225" i="31"/>
  <c r="U220" i="31"/>
  <c r="W371" i="31" s="1"/>
  <c r="N220" i="31"/>
  <c r="O371" i="31" s="1"/>
  <c r="G220" i="31"/>
  <c r="G371" i="31" s="1"/>
  <c r="U219" i="31"/>
  <c r="W350" i="31" s="1"/>
  <c r="N219" i="31"/>
  <c r="G219" i="31"/>
  <c r="U218" i="31"/>
  <c r="W329" i="31" s="1"/>
  <c r="N218" i="31"/>
  <c r="G218" i="31"/>
  <c r="G329" i="31" s="1"/>
  <c r="U217" i="31"/>
  <c r="W308" i="31" s="1"/>
  <c r="N217" i="31"/>
  <c r="G217" i="31"/>
  <c r="U216" i="31"/>
  <c r="N216" i="31"/>
  <c r="O287" i="31" s="1"/>
  <c r="G216" i="31"/>
  <c r="U215" i="31"/>
  <c r="W266" i="31" s="1"/>
  <c r="N215" i="31"/>
  <c r="G215" i="31"/>
  <c r="G266" i="31" s="1"/>
  <c r="U214" i="31"/>
  <c r="N214" i="31"/>
  <c r="G214" i="31"/>
  <c r="G245" i="31" s="1"/>
  <c r="L213" i="31"/>
  <c r="S213" i="31" s="1"/>
  <c r="K213" i="31"/>
  <c r="R213" i="31" s="1"/>
  <c r="P211" i="31"/>
  <c r="I211" i="31"/>
  <c r="U209" i="31"/>
  <c r="N209" i="31"/>
  <c r="O370" i="31" s="1"/>
  <c r="G209" i="31"/>
  <c r="U208" i="31"/>
  <c r="W349" i="31" s="1"/>
  <c r="N208" i="31"/>
  <c r="G208" i="31"/>
  <c r="G349" i="31" s="1"/>
  <c r="U207" i="31"/>
  <c r="W328" i="31" s="1"/>
  <c r="N207" i="31"/>
  <c r="O328" i="31" s="1"/>
  <c r="G207" i="31"/>
  <c r="U206" i="31"/>
  <c r="W307" i="31" s="1"/>
  <c r="N206" i="31"/>
  <c r="G206" i="31"/>
  <c r="U205" i="31"/>
  <c r="W286" i="31" s="1"/>
  <c r="N205" i="31"/>
  <c r="O286" i="31" s="1"/>
  <c r="G205" i="31"/>
  <c r="U204" i="31"/>
  <c r="W265" i="31" s="1"/>
  <c r="N204" i="31"/>
  <c r="G204" i="31"/>
  <c r="U203" i="31"/>
  <c r="N203" i="31"/>
  <c r="G203" i="31"/>
  <c r="G244" i="31" s="1"/>
  <c r="R202" i="31"/>
  <c r="L202" i="31"/>
  <c r="S202" i="31" s="1"/>
  <c r="K202" i="31"/>
  <c r="I200" i="31"/>
  <c r="P200" i="31" s="1"/>
  <c r="U198" i="31"/>
  <c r="N198" i="31"/>
  <c r="O369" i="31" s="1"/>
  <c r="G198" i="31"/>
  <c r="U197" i="31"/>
  <c r="W348" i="31" s="1"/>
  <c r="N197" i="31"/>
  <c r="G197" i="31"/>
  <c r="G348" i="31" s="1"/>
  <c r="U196" i="31"/>
  <c r="N196" i="31"/>
  <c r="O327" i="31" s="1"/>
  <c r="G196" i="31"/>
  <c r="U195" i="31"/>
  <c r="W306" i="31" s="1"/>
  <c r="N195" i="31"/>
  <c r="O306" i="31" s="1"/>
  <c r="G195" i="31"/>
  <c r="G306" i="31" s="1"/>
  <c r="U194" i="31"/>
  <c r="W285" i="31" s="1"/>
  <c r="N194" i="31"/>
  <c r="O285" i="31" s="1"/>
  <c r="G194" i="31"/>
  <c r="U193" i="31"/>
  <c r="W264" i="31" s="1"/>
  <c r="N193" i="31"/>
  <c r="G193" i="31"/>
  <c r="G264" i="31" s="1"/>
  <c r="U192" i="31"/>
  <c r="W243" i="31" s="1"/>
  <c r="N192" i="31"/>
  <c r="G192" i="31"/>
  <c r="G243" i="31" s="1"/>
  <c r="L191" i="31"/>
  <c r="S191" i="31" s="1"/>
  <c r="K191" i="31"/>
  <c r="R191" i="31" s="1"/>
  <c r="I189" i="31"/>
  <c r="P189" i="31" s="1"/>
  <c r="U187" i="31"/>
  <c r="W368" i="31" s="1"/>
  <c r="N187" i="31"/>
  <c r="O368" i="31" s="1"/>
  <c r="G187" i="31"/>
  <c r="G368" i="31" s="1"/>
  <c r="U186" i="31"/>
  <c r="N186" i="31"/>
  <c r="O347" i="31" s="1"/>
  <c r="G186" i="31"/>
  <c r="G347" i="31" s="1"/>
  <c r="U185" i="31"/>
  <c r="N185" i="31"/>
  <c r="O326" i="31" s="1"/>
  <c r="G185" i="31"/>
  <c r="U184" i="31"/>
  <c r="W305" i="31" s="1"/>
  <c r="N184" i="31"/>
  <c r="G184" i="31"/>
  <c r="G305" i="31" s="1"/>
  <c r="U183" i="31"/>
  <c r="W284" i="31" s="1"/>
  <c r="N183" i="31"/>
  <c r="O284" i="31" s="1"/>
  <c r="G183" i="31"/>
  <c r="U182" i="31"/>
  <c r="W263" i="31" s="1"/>
  <c r="N182" i="31"/>
  <c r="G182" i="31"/>
  <c r="G263" i="31" s="1"/>
  <c r="U181" i="31"/>
  <c r="W242" i="31" s="1"/>
  <c r="N181" i="31"/>
  <c r="O242" i="31" s="1"/>
  <c r="G181" i="31"/>
  <c r="G242" i="31" s="1"/>
  <c r="S180" i="31"/>
  <c r="L180" i="31"/>
  <c r="K180" i="31"/>
  <c r="R180" i="31" s="1"/>
  <c r="I178" i="31"/>
  <c r="P178" i="31" s="1"/>
  <c r="U176" i="31"/>
  <c r="W367" i="31" s="1"/>
  <c r="N176" i="31"/>
  <c r="O367" i="31" s="1"/>
  <c r="G176" i="31"/>
  <c r="G367" i="31" s="1"/>
  <c r="U175" i="31"/>
  <c r="N175" i="31"/>
  <c r="O346" i="31" s="1"/>
  <c r="G175" i="31"/>
  <c r="G346" i="31" s="1"/>
  <c r="U174" i="31"/>
  <c r="W325" i="31" s="1"/>
  <c r="N174" i="31"/>
  <c r="G174" i="31"/>
  <c r="G325" i="31" s="1"/>
  <c r="U173" i="31"/>
  <c r="W304" i="31" s="1"/>
  <c r="N173" i="31"/>
  <c r="O304" i="31" s="1"/>
  <c r="G173" i="31"/>
  <c r="G304" i="31" s="1"/>
  <c r="U172" i="31"/>
  <c r="W283" i="31" s="1"/>
  <c r="N172" i="31"/>
  <c r="O283" i="31" s="1"/>
  <c r="G172" i="31"/>
  <c r="G283" i="31" s="1"/>
  <c r="U171" i="31"/>
  <c r="W262" i="31" s="1"/>
  <c r="N171" i="31"/>
  <c r="O262" i="31" s="1"/>
  <c r="G171" i="31"/>
  <c r="G262" i="31" s="1"/>
  <c r="U170" i="31"/>
  <c r="N170" i="31"/>
  <c r="G170" i="31"/>
  <c r="G241" i="31" s="1"/>
  <c r="L169" i="31"/>
  <c r="S169" i="31" s="1"/>
  <c r="K169" i="31"/>
  <c r="R169" i="31" s="1"/>
  <c r="I167" i="31"/>
  <c r="P167" i="31" s="1"/>
  <c r="U165" i="31"/>
  <c r="W366" i="31" s="1"/>
  <c r="N165" i="31"/>
  <c r="G165" i="31"/>
  <c r="U164" i="31"/>
  <c r="W345" i="31" s="1"/>
  <c r="N164" i="31"/>
  <c r="O345" i="31" s="1"/>
  <c r="G164" i="31"/>
  <c r="G345" i="31" s="1"/>
  <c r="U163" i="31"/>
  <c r="W324" i="31" s="1"/>
  <c r="N163" i="31"/>
  <c r="O324" i="31" s="1"/>
  <c r="G163" i="31"/>
  <c r="G324" i="31" s="1"/>
  <c r="U162" i="31"/>
  <c r="N162" i="31"/>
  <c r="O303" i="31" s="1"/>
  <c r="G162" i="31"/>
  <c r="U161" i="31"/>
  <c r="N161" i="31"/>
  <c r="O282" i="31" s="1"/>
  <c r="G161" i="31"/>
  <c r="G282" i="31" s="1"/>
  <c r="U160" i="31"/>
  <c r="W261" i="31" s="1"/>
  <c r="N160" i="31"/>
  <c r="G160" i="31"/>
  <c r="U159" i="31"/>
  <c r="R159" i="31"/>
  <c r="T240" i="31" s="1"/>
  <c r="N159" i="31"/>
  <c r="O240" i="31" s="1"/>
  <c r="G159" i="31"/>
  <c r="G240" i="31" s="1"/>
  <c r="T158" i="31"/>
  <c r="S158" i="31"/>
  <c r="M158" i="31"/>
  <c r="L158" i="31"/>
  <c r="I156" i="31"/>
  <c r="P156" i="31" s="1"/>
  <c r="U154" i="31"/>
  <c r="W365" i="31" s="1"/>
  <c r="N154" i="31"/>
  <c r="O365" i="31" s="1"/>
  <c r="G154" i="31"/>
  <c r="G365" i="31" s="1"/>
  <c r="U153" i="31"/>
  <c r="W344" i="31" s="1"/>
  <c r="N153" i="31"/>
  <c r="O344" i="31" s="1"/>
  <c r="G153" i="31"/>
  <c r="G344" i="31" s="1"/>
  <c r="U152" i="31"/>
  <c r="W323" i="31" s="1"/>
  <c r="N152" i="31"/>
  <c r="O323" i="31" s="1"/>
  <c r="G152" i="31"/>
  <c r="G323" i="31" s="1"/>
  <c r="U151" i="31"/>
  <c r="W302" i="31" s="1"/>
  <c r="N151" i="31"/>
  <c r="G151" i="31"/>
  <c r="U150" i="31"/>
  <c r="N150" i="31"/>
  <c r="G150" i="31"/>
  <c r="U149" i="31"/>
  <c r="W260" i="31" s="1"/>
  <c r="N149" i="31"/>
  <c r="O260" i="31" s="1"/>
  <c r="G149" i="31"/>
  <c r="U148" i="31"/>
  <c r="W239" i="31" s="1"/>
  <c r="R148" i="31"/>
  <c r="T239" i="31" s="1"/>
  <c r="N148" i="31"/>
  <c r="O239" i="31" s="1"/>
  <c r="G148" i="31"/>
  <c r="G239" i="31" s="1"/>
  <c r="M147" i="31"/>
  <c r="T147" i="31" s="1"/>
  <c r="L147" i="31"/>
  <c r="S147" i="31" s="1"/>
  <c r="I145" i="31"/>
  <c r="P145" i="31" s="1"/>
  <c r="S143" i="31"/>
  <c r="U364" i="31" s="1"/>
  <c r="N143" i="31"/>
  <c r="G143" i="31"/>
  <c r="G364" i="31" s="1"/>
  <c r="U142" i="31"/>
  <c r="N142" i="31"/>
  <c r="O343" i="31" s="1"/>
  <c r="G142" i="31"/>
  <c r="U141" i="31"/>
  <c r="W322" i="31" s="1"/>
  <c r="N141" i="31"/>
  <c r="O322" i="31" s="1"/>
  <c r="G141" i="31"/>
  <c r="G322" i="31" s="1"/>
  <c r="U140" i="31"/>
  <c r="W301" i="31" s="1"/>
  <c r="N140" i="31"/>
  <c r="O301" i="31" s="1"/>
  <c r="G140" i="31"/>
  <c r="U139" i="31"/>
  <c r="W280" i="31" s="1"/>
  <c r="N139" i="31"/>
  <c r="O280" i="31" s="1"/>
  <c r="G139" i="31"/>
  <c r="G280" i="31" s="1"/>
  <c r="U138" i="31"/>
  <c r="W259" i="31" s="1"/>
  <c r="N138" i="31"/>
  <c r="O259" i="31" s="1"/>
  <c r="G138" i="31"/>
  <c r="U137" i="31"/>
  <c r="W238" i="31" s="1"/>
  <c r="R137" i="31"/>
  <c r="T238" i="31" s="1"/>
  <c r="N137" i="31"/>
  <c r="G137" i="31"/>
  <c r="G238" i="31" s="1"/>
  <c r="T136" i="31"/>
  <c r="M136" i="31"/>
  <c r="L136" i="31"/>
  <c r="S136" i="31" s="1"/>
  <c r="I134" i="31"/>
  <c r="P134" i="31" s="1"/>
  <c r="U132" i="31"/>
  <c r="W363" i="31" s="1"/>
  <c r="N132" i="31"/>
  <c r="O363" i="31" s="1"/>
  <c r="G132" i="31"/>
  <c r="G363" i="31" s="1"/>
  <c r="U131" i="31"/>
  <c r="W342" i="31" s="1"/>
  <c r="N131" i="31"/>
  <c r="O342" i="31" s="1"/>
  <c r="G131" i="31"/>
  <c r="U130" i="31"/>
  <c r="W321" i="31" s="1"/>
  <c r="N130" i="31"/>
  <c r="G130" i="31"/>
  <c r="G321" i="31" s="1"/>
  <c r="U129" i="31"/>
  <c r="W300" i="31" s="1"/>
  <c r="N129" i="31"/>
  <c r="O300" i="31" s="1"/>
  <c r="G129" i="31"/>
  <c r="G300" i="31" s="1"/>
  <c r="U128" i="31"/>
  <c r="N128" i="31"/>
  <c r="O279" i="31" s="1"/>
  <c r="G128" i="31"/>
  <c r="U127" i="31"/>
  <c r="W258" i="31" s="1"/>
  <c r="N127" i="31"/>
  <c r="O258" i="31" s="1"/>
  <c r="G127" i="31"/>
  <c r="G258" i="31" s="1"/>
  <c r="U126" i="31"/>
  <c r="W237" i="31" s="1"/>
  <c r="N126" i="31"/>
  <c r="G126" i="31"/>
  <c r="G237" i="31" s="1"/>
  <c r="L125" i="31"/>
  <c r="S125" i="31" s="1"/>
  <c r="K125" i="31"/>
  <c r="R125" i="31" s="1"/>
  <c r="I123" i="31"/>
  <c r="P123" i="31" s="1"/>
  <c r="U121" i="31"/>
  <c r="N121" i="31"/>
  <c r="O362" i="31" s="1"/>
  <c r="G121" i="31"/>
  <c r="U120" i="31"/>
  <c r="W341" i="31" s="1"/>
  <c r="N120" i="31"/>
  <c r="G120" i="31"/>
  <c r="G341" i="31" s="1"/>
  <c r="U119" i="31"/>
  <c r="W320" i="31" s="1"/>
  <c r="N119" i="31"/>
  <c r="O320" i="31" s="1"/>
  <c r="G119" i="31"/>
  <c r="G320" i="31" s="1"/>
  <c r="U118" i="31"/>
  <c r="W299" i="31" s="1"/>
  <c r="N118" i="31"/>
  <c r="O299" i="31" s="1"/>
  <c r="G118" i="31"/>
  <c r="U117" i="31"/>
  <c r="W278" i="31" s="1"/>
  <c r="N117" i="31"/>
  <c r="O278" i="31" s="1"/>
  <c r="G117" i="31"/>
  <c r="G278" i="31" s="1"/>
  <c r="U116" i="31"/>
  <c r="W257" i="31" s="1"/>
  <c r="N116" i="31"/>
  <c r="G116" i="31"/>
  <c r="U115" i="31"/>
  <c r="N115" i="31"/>
  <c r="G115" i="31"/>
  <c r="G236" i="31" s="1"/>
  <c r="R114" i="31"/>
  <c r="L114" i="31"/>
  <c r="S114" i="31" s="1"/>
  <c r="K114" i="31"/>
  <c r="I112" i="31"/>
  <c r="P112" i="31" s="1"/>
  <c r="U110" i="31"/>
  <c r="W361" i="31" s="1"/>
  <c r="N110" i="31"/>
  <c r="O361" i="31" s="1"/>
  <c r="G110" i="31"/>
  <c r="G361" i="31" s="1"/>
  <c r="U109" i="31"/>
  <c r="W340" i="31" s="1"/>
  <c r="N109" i="31"/>
  <c r="O340" i="31" s="1"/>
  <c r="G109" i="31"/>
  <c r="G340" i="31" s="1"/>
  <c r="U108" i="31"/>
  <c r="N108" i="31"/>
  <c r="O319" i="31" s="1"/>
  <c r="G108" i="31"/>
  <c r="U107" i="31"/>
  <c r="W298" i="31" s="1"/>
  <c r="N107" i="31"/>
  <c r="O298" i="31" s="1"/>
  <c r="G107" i="31"/>
  <c r="G298" i="31" s="1"/>
  <c r="U106" i="31"/>
  <c r="W277" i="31" s="1"/>
  <c r="N106" i="31"/>
  <c r="O277" i="31" s="1"/>
  <c r="G106" i="31"/>
  <c r="U105" i="31"/>
  <c r="W256" i="31" s="1"/>
  <c r="N105" i="31"/>
  <c r="G105" i="31"/>
  <c r="G256" i="31" s="1"/>
  <c r="U104" i="31"/>
  <c r="N104" i="31"/>
  <c r="O235" i="31" s="1"/>
  <c r="G104" i="31"/>
  <c r="G235" i="31" s="1"/>
  <c r="L103" i="31"/>
  <c r="S103" i="31" s="1"/>
  <c r="K103" i="31"/>
  <c r="R103" i="31" s="1"/>
  <c r="I101" i="31"/>
  <c r="P101" i="31" s="1"/>
  <c r="U99" i="31"/>
  <c r="W360" i="31" s="1"/>
  <c r="N99" i="31"/>
  <c r="O360" i="31" s="1"/>
  <c r="G99" i="31"/>
  <c r="G360" i="31" s="1"/>
  <c r="U98" i="31"/>
  <c r="N98" i="31"/>
  <c r="O339" i="31" s="1"/>
  <c r="G98" i="31"/>
  <c r="G339" i="31" s="1"/>
  <c r="U97" i="31"/>
  <c r="W318" i="31" s="1"/>
  <c r="N97" i="31"/>
  <c r="O318" i="31" s="1"/>
  <c r="G97" i="31"/>
  <c r="G318" i="31" s="1"/>
  <c r="U96" i="31"/>
  <c r="W297" i="31" s="1"/>
  <c r="N96" i="31"/>
  <c r="G96" i="31"/>
  <c r="G297" i="31" s="1"/>
  <c r="U95" i="31"/>
  <c r="W276" i="31" s="1"/>
  <c r="N95" i="31"/>
  <c r="O276" i="31" s="1"/>
  <c r="G95" i="31"/>
  <c r="G276" i="31" s="1"/>
  <c r="U94" i="31"/>
  <c r="W255" i="31" s="1"/>
  <c r="N94" i="31"/>
  <c r="O255" i="31" s="1"/>
  <c r="G94" i="31"/>
  <c r="G255" i="31" s="1"/>
  <c r="U93" i="31"/>
  <c r="N93" i="31"/>
  <c r="G93" i="31"/>
  <c r="G234" i="31" s="1"/>
  <c r="L92" i="31"/>
  <c r="S92" i="31" s="1"/>
  <c r="K92" i="31"/>
  <c r="R92" i="31" s="1"/>
  <c r="P90" i="31"/>
  <c r="I90" i="31"/>
  <c r="U88" i="31"/>
  <c r="W359" i="31" s="1"/>
  <c r="N88" i="31"/>
  <c r="O359" i="31" s="1"/>
  <c r="G88" i="31"/>
  <c r="U87" i="31"/>
  <c r="W338" i="31" s="1"/>
  <c r="N87" i="31"/>
  <c r="O338" i="31" s="1"/>
  <c r="G87" i="31"/>
  <c r="G338" i="31" s="1"/>
  <c r="U86" i="31"/>
  <c r="W317" i="31" s="1"/>
  <c r="N86" i="31"/>
  <c r="G86" i="31"/>
  <c r="U85" i="31"/>
  <c r="N85" i="31"/>
  <c r="O296" i="31" s="1"/>
  <c r="G85" i="31"/>
  <c r="G296" i="31" s="1"/>
  <c r="U84" i="31"/>
  <c r="W275" i="31" s="1"/>
  <c r="N84" i="31"/>
  <c r="O275" i="31" s="1"/>
  <c r="G84" i="31"/>
  <c r="G275" i="31" s="1"/>
  <c r="U83" i="31"/>
  <c r="W254" i="31" s="1"/>
  <c r="N83" i="31"/>
  <c r="G83" i="31"/>
  <c r="G254" i="31" s="1"/>
  <c r="U82" i="31"/>
  <c r="N82" i="31"/>
  <c r="O233" i="31" s="1"/>
  <c r="G82" i="31"/>
  <c r="G233" i="31" s="1"/>
  <c r="S81" i="31"/>
  <c r="R81" i="31"/>
  <c r="L81" i="31"/>
  <c r="K81" i="31"/>
  <c r="I79" i="31"/>
  <c r="P79" i="31" s="1"/>
  <c r="U77" i="31"/>
  <c r="W358" i="31" s="1"/>
  <c r="N77" i="31"/>
  <c r="O358" i="31" s="1"/>
  <c r="G77" i="31"/>
  <c r="G358" i="31" s="1"/>
  <c r="U76" i="31"/>
  <c r="W337" i="31" s="1"/>
  <c r="N76" i="31"/>
  <c r="O337" i="31" s="1"/>
  <c r="G76" i="31"/>
  <c r="U75" i="31"/>
  <c r="W316" i="31" s="1"/>
  <c r="N75" i="31"/>
  <c r="O316" i="31" s="1"/>
  <c r="G75" i="31"/>
  <c r="G316" i="31" s="1"/>
  <c r="U74" i="31"/>
  <c r="W295" i="31" s="1"/>
  <c r="N74" i="31"/>
  <c r="O295" i="31" s="1"/>
  <c r="G74" i="31"/>
  <c r="U73" i="31"/>
  <c r="N73" i="31"/>
  <c r="O274" i="31" s="1"/>
  <c r="G73" i="31"/>
  <c r="G274" i="31" s="1"/>
  <c r="U72" i="31"/>
  <c r="W253" i="31" s="1"/>
  <c r="N72" i="31"/>
  <c r="O253" i="31" s="1"/>
  <c r="G72" i="31"/>
  <c r="G253" i="31" s="1"/>
  <c r="U71" i="31"/>
  <c r="W232" i="31" s="1"/>
  <c r="N71" i="31"/>
  <c r="O232" i="31" s="1"/>
  <c r="G71" i="31"/>
  <c r="G232" i="31" s="1"/>
  <c r="L70" i="31"/>
  <c r="S70" i="31" s="1"/>
  <c r="K70" i="31"/>
  <c r="R70" i="31" s="1"/>
  <c r="I68" i="31"/>
  <c r="P68" i="31" s="1"/>
  <c r="U66" i="31"/>
  <c r="W357" i="31" s="1"/>
  <c r="N66" i="31"/>
  <c r="G66" i="31"/>
  <c r="G357" i="31" s="1"/>
  <c r="U65" i="31"/>
  <c r="N65" i="31"/>
  <c r="O336" i="31" s="1"/>
  <c r="G65" i="31"/>
  <c r="G336" i="31" s="1"/>
  <c r="U64" i="31"/>
  <c r="W315" i="31" s="1"/>
  <c r="N64" i="31"/>
  <c r="O315" i="31" s="1"/>
  <c r="G64" i="31"/>
  <c r="G315" i="31" s="1"/>
  <c r="U63" i="31"/>
  <c r="N63" i="31"/>
  <c r="O294" i="31" s="1"/>
  <c r="G63" i="31"/>
  <c r="U62" i="31"/>
  <c r="N62" i="31"/>
  <c r="O273" i="31" s="1"/>
  <c r="G62" i="31"/>
  <c r="G273" i="31" s="1"/>
  <c r="U61" i="31"/>
  <c r="W252" i="31" s="1"/>
  <c r="N61" i="31"/>
  <c r="O252" i="31" s="1"/>
  <c r="G61" i="31"/>
  <c r="U60" i="31"/>
  <c r="N60" i="31"/>
  <c r="G60" i="31"/>
  <c r="G231" i="31" s="1"/>
  <c r="L59" i="31"/>
  <c r="S59" i="31" s="1"/>
  <c r="K59" i="31"/>
  <c r="R59" i="31" s="1"/>
  <c r="I57" i="31"/>
  <c r="P57" i="31" s="1"/>
  <c r="U55" i="31"/>
  <c r="N55" i="31"/>
  <c r="G55" i="31"/>
  <c r="G356" i="31" s="1"/>
  <c r="U54" i="31"/>
  <c r="N54" i="31"/>
  <c r="O335" i="31" s="1"/>
  <c r="G54" i="31"/>
  <c r="U53" i="31"/>
  <c r="N53" i="31"/>
  <c r="G53" i="31"/>
  <c r="G314" i="31" s="1"/>
  <c r="U52" i="31"/>
  <c r="W293" i="31" s="1"/>
  <c r="N52" i="31"/>
  <c r="O293" i="31" s="1"/>
  <c r="G52" i="31"/>
  <c r="G293" i="31" s="1"/>
  <c r="U51" i="31"/>
  <c r="W272" i="31" s="1"/>
  <c r="N51" i="31"/>
  <c r="O272" i="31" s="1"/>
  <c r="G51" i="31"/>
  <c r="U50" i="31"/>
  <c r="W251" i="31" s="1"/>
  <c r="N50" i="31"/>
  <c r="O251" i="31" s="1"/>
  <c r="G50" i="31"/>
  <c r="U49" i="31"/>
  <c r="W230" i="31" s="1"/>
  <c r="N49" i="31"/>
  <c r="O230" i="31" s="1"/>
  <c r="G49" i="31"/>
  <c r="G230" i="31" s="1"/>
  <c r="S48" i="31"/>
  <c r="L48" i="31"/>
  <c r="K48" i="31"/>
  <c r="R48" i="31" s="1"/>
  <c r="I46" i="31"/>
  <c r="P46" i="31" s="1"/>
  <c r="U44" i="31"/>
  <c r="W355" i="31" s="1"/>
  <c r="N44" i="31"/>
  <c r="O355" i="31" s="1"/>
  <c r="G44" i="31"/>
  <c r="G355" i="31" s="1"/>
  <c r="U43" i="31"/>
  <c r="W334" i="31" s="1"/>
  <c r="N43" i="31"/>
  <c r="G43" i="31"/>
  <c r="U42" i="31"/>
  <c r="W313" i="31" s="1"/>
  <c r="N42" i="31"/>
  <c r="G42" i="31"/>
  <c r="G313" i="31" s="1"/>
  <c r="U41" i="31"/>
  <c r="N41" i="31"/>
  <c r="O292" i="31" s="1"/>
  <c r="G41" i="31"/>
  <c r="G292" i="31" s="1"/>
  <c r="U40" i="31"/>
  <c r="W271" i="31" s="1"/>
  <c r="N40" i="31"/>
  <c r="G40" i="31"/>
  <c r="G271" i="31" s="1"/>
  <c r="U39" i="31"/>
  <c r="W250" i="31" s="1"/>
  <c r="N39" i="31"/>
  <c r="G39" i="31"/>
  <c r="G250" i="31" s="1"/>
  <c r="U38" i="31"/>
  <c r="W229" i="31" s="1"/>
  <c r="N38" i="31"/>
  <c r="G38" i="31"/>
  <c r="G229" i="31" s="1"/>
  <c r="L37" i="31"/>
  <c r="S37" i="31" s="1"/>
  <c r="K37" i="31"/>
  <c r="R37" i="31" s="1"/>
  <c r="P35" i="31"/>
  <c r="I35" i="31"/>
  <c r="U33" i="31"/>
  <c r="N33" i="31"/>
  <c r="O354" i="31" s="1"/>
  <c r="G33" i="31"/>
  <c r="U32" i="31"/>
  <c r="W333" i="31" s="1"/>
  <c r="N32" i="31"/>
  <c r="G32" i="31"/>
  <c r="G333" i="31" s="1"/>
  <c r="U31" i="31"/>
  <c r="W312" i="31" s="1"/>
  <c r="N31" i="31"/>
  <c r="O312" i="31" s="1"/>
  <c r="G31" i="31"/>
  <c r="U30" i="31"/>
  <c r="N30" i="31"/>
  <c r="O291" i="31" s="1"/>
  <c r="G30" i="31"/>
  <c r="U29" i="31"/>
  <c r="W270" i="31" s="1"/>
  <c r="N29" i="31"/>
  <c r="O270" i="31" s="1"/>
  <c r="G29" i="31"/>
  <c r="G270" i="31" s="1"/>
  <c r="U28" i="31"/>
  <c r="W249" i="31" s="1"/>
  <c r="N28" i="31"/>
  <c r="G28" i="31"/>
  <c r="U27" i="31"/>
  <c r="N27" i="31"/>
  <c r="G27" i="31"/>
  <c r="G228" i="31" s="1"/>
  <c r="S26" i="31"/>
  <c r="R26" i="31"/>
  <c r="L26" i="31"/>
  <c r="K26" i="31"/>
  <c r="I24" i="31"/>
  <c r="P24" i="31" s="1"/>
  <c r="U22" i="31"/>
  <c r="W353" i="31" s="1"/>
  <c r="N22" i="31"/>
  <c r="O353" i="31" s="1"/>
  <c r="G22" i="31"/>
  <c r="G353" i="31" s="1"/>
  <c r="U21" i="31"/>
  <c r="W332" i="31" s="1"/>
  <c r="N21" i="31"/>
  <c r="O332" i="31" s="1"/>
  <c r="G21" i="31"/>
  <c r="G332" i="31" s="1"/>
  <c r="U20" i="31"/>
  <c r="N20" i="31"/>
  <c r="G20" i="31"/>
  <c r="U19" i="31"/>
  <c r="N19" i="31"/>
  <c r="O290" i="31" s="1"/>
  <c r="G19" i="31"/>
  <c r="G290" i="31" s="1"/>
  <c r="U18" i="31"/>
  <c r="W269" i="31" s="1"/>
  <c r="N18" i="31"/>
  <c r="G18" i="31"/>
  <c r="G269" i="31" s="1"/>
  <c r="U17" i="31"/>
  <c r="W248" i="31" s="1"/>
  <c r="N17" i="31"/>
  <c r="G17" i="31"/>
  <c r="G248" i="31" s="1"/>
  <c r="U16" i="31"/>
  <c r="N16" i="31"/>
  <c r="O227" i="31" s="1"/>
  <c r="G16" i="31"/>
  <c r="G227" i="31" s="1"/>
  <c r="L15" i="31"/>
  <c r="S15" i="31" s="1"/>
  <c r="K15" i="31"/>
  <c r="R15" i="31" s="1"/>
  <c r="I13" i="31"/>
  <c r="P13" i="31" s="1"/>
  <c r="U11" i="31"/>
  <c r="N11" i="31"/>
  <c r="O352" i="31" s="1"/>
  <c r="G11" i="31"/>
  <c r="G352" i="31" s="1"/>
  <c r="U10" i="31"/>
  <c r="N10" i="31"/>
  <c r="O331" i="31" s="1"/>
  <c r="G10" i="31"/>
  <c r="G331" i="31" s="1"/>
  <c r="U9" i="31"/>
  <c r="W310" i="31" s="1"/>
  <c r="N9" i="31"/>
  <c r="G9" i="31"/>
  <c r="G310" i="31" s="1"/>
  <c r="U8" i="31"/>
  <c r="W289" i="31" s="1"/>
  <c r="N8" i="31"/>
  <c r="O289" i="31" s="1"/>
  <c r="G8" i="31"/>
  <c r="U7" i="31"/>
  <c r="W268" i="31" s="1"/>
  <c r="N7" i="31"/>
  <c r="O268" i="31" s="1"/>
  <c r="G7" i="31"/>
  <c r="G268" i="31" s="1"/>
  <c r="U6" i="31"/>
  <c r="N6" i="31"/>
  <c r="O247" i="31" s="1"/>
  <c r="G6" i="31"/>
  <c r="G247" i="31" s="1"/>
  <c r="U5" i="31"/>
  <c r="N5" i="31"/>
  <c r="G5" i="31"/>
  <c r="G226" i="31" s="1"/>
  <c r="L4" i="31"/>
  <c r="S4" i="31" s="1"/>
  <c r="K4" i="31"/>
  <c r="R4" i="31" s="1"/>
  <c r="P2" i="31"/>
  <c r="I2" i="31"/>
  <c r="C69" i="37" l="1"/>
  <c r="A146" i="37"/>
  <c r="U168" i="37"/>
  <c r="U175" i="37" s="1"/>
  <c r="B146" i="37"/>
  <c r="G139" i="36"/>
  <c r="T124" i="36"/>
  <c r="T79" i="36"/>
  <c r="G79" i="36"/>
  <c r="G49" i="36"/>
  <c r="Y22" i="36"/>
  <c r="X22" i="36"/>
  <c r="Y51" i="36"/>
  <c r="X51" i="36"/>
  <c r="L6" i="36"/>
  <c r="K6" i="36"/>
  <c r="L96" i="36"/>
  <c r="K96" i="36"/>
  <c r="K141" i="36"/>
  <c r="L141" i="36"/>
  <c r="X6" i="36"/>
  <c r="Y6" i="36"/>
  <c r="L142" i="36"/>
  <c r="K142" i="36"/>
  <c r="L51" i="36"/>
  <c r="K51" i="36"/>
  <c r="X96" i="36"/>
  <c r="X97" i="36"/>
  <c r="Y21" i="36"/>
  <c r="Y111" i="36"/>
  <c r="X111" i="36"/>
  <c r="K7" i="36"/>
  <c r="K21" i="36"/>
  <c r="L22" i="36"/>
  <c r="K22" i="36"/>
  <c r="Y37" i="36"/>
  <c r="X37" i="36"/>
  <c r="K82" i="36"/>
  <c r="Q95" i="36"/>
  <c r="T95" i="36" s="1"/>
  <c r="L127" i="36"/>
  <c r="K127" i="36"/>
  <c r="Y141" i="36"/>
  <c r="X141" i="36"/>
  <c r="Y67" i="36"/>
  <c r="X67" i="36"/>
  <c r="K37" i="36"/>
  <c r="X127" i="36"/>
  <c r="Y36" i="36"/>
  <c r="X36" i="36"/>
  <c r="L67" i="36"/>
  <c r="K67" i="36"/>
  <c r="K126" i="36"/>
  <c r="Y81" i="36"/>
  <c r="X81" i="36"/>
  <c r="W120" i="36"/>
  <c r="Q110" i="36"/>
  <c r="T110" i="36" s="1"/>
  <c r="K97" i="36"/>
  <c r="X66" i="36"/>
  <c r="G109" i="36"/>
  <c r="Y112" i="36"/>
  <c r="X112" i="36"/>
  <c r="G125" i="36"/>
  <c r="D110" i="36"/>
  <c r="G110" i="36" s="1"/>
  <c r="E17" i="34"/>
  <c r="E16" i="34"/>
  <c r="R20" i="34"/>
  <c r="A2" i="33"/>
  <c r="B50" i="33" s="1"/>
  <c r="B57" i="33"/>
  <c r="A265" i="32"/>
  <c r="B265" i="32"/>
  <c r="D378" i="31"/>
  <c r="G373" i="31"/>
  <c r="D380" i="31"/>
  <c r="A381" i="31"/>
  <c r="C380" i="31"/>
  <c r="E379" i="31"/>
  <c r="B381" i="31"/>
  <c r="C381" i="31"/>
  <c r="B373" i="31"/>
  <c r="H373" i="31" s="1"/>
  <c r="D375" i="31"/>
  <c r="J375" i="31" s="1"/>
  <c r="P375" i="31" s="1"/>
  <c r="C375" i="31"/>
  <c r="I375" i="31" s="1"/>
  <c r="O375" i="31" s="1"/>
  <c r="B375" i="31"/>
  <c r="H375" i="31" s="1"/>
  <c r="N375" i="31" s="1"/>
  <c r="J377" i="31"/>
  <c r="O302" i="31"/>
  <c r="O281" i="31"/>
  <c r="J376" i="31"/>
  <c r="J379" i="31"/>
  <c r="K376" i="31"/>
  <c r="G301" i="31"/>
  <c r="G302" i="31"/>
  <c r="I382" i="31"/>
  <c r="I381" i="31"/>
  <c r="H380" i="31"/>
  <c r="I379" i="31"/>
  <c r="G377" i="31"/>
  <c r="H382" i="31"/>
  <c r="H381" i="31"/>
  <c r="G380" i="31"/>
  <c r="H379" i="31"/>
  <c r="K378" i="31"/>
  <c r="M373" i="31"/>
  <c r="G382" i="31"/>
  <c r="G381" i="31"/>
  <c r="G379" i="31"/>
  <c r="J378" i="31"/>
  <c r="J382" i="31"/>
  <c r="H377" i="31"/>
  <c r="I376" i="31"/>
  <c r="H378" i="31"/>
  <c r="K381" i="31"/>
  <c r="H376" i="31"/>
  <c r="J380" i="31"/>
  <c r="J381" i="31"/>
  <c r="K380" i="31"/>
  <c r="I378" i="31"/>
  <c r="G376" i="31"/>
  <c r="I380" i="31"/>
  <c r="G378" i="31"/>
  <c r="K377" i="31"/>
  <c r="C378" i="31"/>
  <c r="E376" i="31"/>
  <c r="B378" i="31"/>
  <c r="E377" i="31"/>
  <c r="D376" i="31"/>
  <c r="E380" i="31"/>
  <c r="A378" i="31"/>
  <c r="D377" i="31"/>
  <c r="C376" i="31"/>
  <c r="A380" i="31"/>
  <c r="D379" i="31"/>
  <c r="A377" i="31"/>
  <c r="E382" i="31"/>
  <c r="C379" i="31"/>
  <c r="C377" i="31"/>
  <c r="C382" i="31"/>
  <c r="E381" i="31"/>
  <c r="A379" i="31"/>
  <c r="B376" i="31"/>
  <c r="B382" i="31"/>
  <c r="D381" i="31"/>
  <c r="A376" i="31"/>
  <c r="D382" i="31"/>
  <c r="B379" i="31"/>
  <c r="B377" i="31"/>
  <c r="S373" i="31"/>
  <c r="E378" i="31"/>
  <c r="B380" i="31"/>
  <c r="A382" i="31"/>
  <c r="O310" i="31"/>
  <c r="O311" i="31"/>
  <c r="U143" i="31"/>
  <c r="W364" i="31" s="1"/>
  <c r="A147" i="37" l="1"/>
  <c r="C114" i="37"/>
  <c r="L114" i="37" s="1"/>
  <c r="L69" i="37"/>
  <c r="D149" i="37"/>
  <c r="D157" i="37" s="1"/>
  <c r="D165" i="37" s="1"/>
  <c r="D171" i="37" s="1"/>
  <c r="C149" i="37"/>
  <c r="C157" i="37" s="1"/>
  <c r="C165" i="37" s="1"/>
  <c r="C171" i="37" s="1"/>
  <c r="B149" i="37"/>
  <c r="B157" i="37" s="1"/>
  <c r="B165" i="37" s="1"/>
  <c r="B171" i="37" s="1"/>
  <c r="F175" i="37"/>
  <c r="D174" i="37"/>
  <c r="B173" i="37"/>
  <c r="B169" i="37"/>
  <c r="F167" i="37"/>
  <c r="D166" i="37"/>
  <c r="F163" i="37"/>
  <c r="D162" i="37"/>
  <c r="F159" i="37"/>
  <c r="D158" i="37"/>
  <c r="C153" i="37"/>
  <c r="D152" i="37"/>
  <c r="A150" i="37"/>
  <c r="E175" i="37"/>
  <c r="C174" i="37"/>
  <c r="A173" i="37"/>
  <c r="A169" i="37"/>
  <c r="E167" i="37"/>
  <c r="C166" i="37"/>
  <c r="C162" i="37"/>
  <c r="A161" i="37"/>
  <c r="C158" i="37"/>
  <c r="F155" i="37"/>
  <c r="C152" i="37"/>
  <c r="D151" i="37"/>
  <c r="D175" i="37"/>
  <c r="B174" i="37"/>
  <c r="F172" i="37"/>
  <c r="F168" i="37"/>
  <c r="D167" i="37"/>
  <c r="B166" i="37"/>
  <c r="D163" i="37"/>
  <c r="F160" i="37"/>
  <c r="D159" i="37"/>
  <c r="F154" i="37"/>
  <c r="A153" i="37"/>
  <c r="C151" i="37"/>
  <c r="C175" i="37"/>
  <c r="A174" i="37"/>
  <c r="E172" i="37"/>
  <c r="E168" i="37"/>
  <c r="C167" i="37"/>
  <c r="A166" i="37"/>
  <c r="C163" i="37"/>
  <c r="A162" i="37"/>
  <c r="C159" i="37"/>
  <c r="A158" i="37"/>
  <c r="D155" i="37"/>
  <c r="A152" i="37"/>
  <c r="F150" i="37"/>
  <c r="B175" i="37"/>
  <c r="F173" i="37"/>
  <c r="D172" i="37"/>
  <c r="F169" i="37"/>
  <c r="D168" i="37"/>
  <c r="B167" i="37"/>
  <c r="F161" i="37"/>
  <c r="D160" i="37"/>
  <c r="C155" i="37"/>
  <c r="D154" i="37"/>
  <c r="A151" i="37"/>
  <c r="A175" i="37"/>
  <c r="E173" i="37"/>
  <c r="C172" i="37"/>
  <c r="E169" i="37"/>
  <c r="C168" i="37"/>
  <c r="A167" i="37"/>
  <c r="A163" i="37"/>
  <c r="C160" i="37"/>
  <c r="A159" i="37"/>
  <c r="C154" i="37"/>
  <c r="F153" i="37"/>
  <c r="D150" i="37"/>
  <c r="F174" i="37"/>
  <c r="D173" i="37"/>
  <c r="B172" i="37"/>
  <c r="D169" i="37"/>
  <c r="B168" i="37"/>
  <c r="F166" i="37"/>
  <c r="F162" i="37"/>
  <c r="D161" i="37"/>
  <c r="F158" i="37"/>
  <c r="A155" i="37"/>
  <c r="F152" i="37"/>
  <c r="C150" i="37"/>
  <c r="A160" i="37"/>
  <c r="C169" i="37"/>
  <c r="A168" i="37"/>
  <c r="E166" i="37"/>
  <c r="F151" i="37"/>
  <c r="E174" i="37"/>
  <c r="A154" i="37"/>
  <c r="C173" i="37"/>
  <c r="A172" i="37"/>
  <c r="C161" i="37"/>
  <c r="D153" i="37"/>
  <c r="A19" i="33"/>
  <c r="A22" i="33"/>
  <c r="A21" i="33"/>
  <c r="A20" i="33"/>
  <c r="B268" i="32"/>
  <c r="B276" i="32" s="1"/>
  <c r="B284" i="32" s="1"/>
  <c r="B290" i="32" s="1"/>
  <c r="D268" i="32"/>
  <c r="D276" i="32" s="1"/>
  <c r="D284" i="32" s="1"/>
  <c r="D290" i="32" s="1"/>
  <c r="C268" i="32"/>
  <c r="C276" i="32" s="1"/>
  <c r="C284" i="32" s="1"/>
  <c r="C290" i="32" s="1"/>
  <c r="F294" i="32"/>
  <c r="D293" i="32"/>
  <c r="B292" i="32"/>
  <c r="B288" i="32"/>
  <c r="F286" i="32"/>
  <c r="D285" i="32"/>
  <c r="F282" i="32"/>
  <c r="D281" i="32"/>
  <c r="B280" i="32"/>
  <c r="F278" i="32"/>
  <c r="D277" i="32"/>
  <c r="B272" i="32"/>
  <c r="C271" i="32"/>
  <c r="D270" i="32"/>
  <c r="E294" i="32"/>
  <c r="C293" i="32"/>
  <c r="A292" i="32"/>
  <c r="A288" i="32"/>
  <c r="E286" i="32"/>
  <c r="C285" i="32"/>
  <c r="E282" i="32"/>
  <c r="C281" i="32"/>
  <c r="A280" i="32"/>
  <c r="E278" i="32"/>
  <c r="C277" i="32"/>
  <c r="F274" i="32"/>
  <c r="F273" i="32"/>
  <c r="A272" i="32"/>
  <c r="B271" i="32"/>
  <c r="C270" i="32"/>
  <c r="C294" i="32"/>
  <c r="E291" i="32"/>
  <c r="C282" i="32"/>
  <c r="E279" i="32"/>
  <c r="D294" i="32"/>
  <c r="B293" i="32"/>
  <c r="F291" i="32"/>
  <c r="F287" i="32"/>
  <c r="D286" i="32"/>
  <c r="B285" i="32"/>
  <c r="I266" i="32" s="1"/>
  <c r="N269" i="32" s="1"/>
  <c r="O269" i="32" s="1"/>
  <c r="I25" i="1" s="1"/>
  <c r="D282" i="32"/>
  <c r="B281" i="32"/>
  <c r="F279" i="32"/>
  <c r="D278" i="32"/>
  <c r="B277" i="32"/>
  <c r="E274" i="32"/>
  <c r="E273" i="32"/>
  <c r="A271" i="32"/>
  <c r="B270" i="32"/>
  <c r="F269" i="32"/>
  <c r="A293" i="32"/>
  <c r="E287" i="32"/>
  <c r="C286" i="32"/>
  <c r="A285" i="32"/>
  <c r="A281" i="32"/>
  <c r="F293" i="32"/>
  <c r="B291" i="32"/>
  <c r="C287" i="32"/>
  <c r="E280" i="32"/>
  <c r="B278" i="32"/>
  <c r="B273" i="32"/>
  <c r="C272" i="32"/>
  <c r="E269" i="32"/>
  <c r="E281" i="32"/>
  <c r="A294" i="32"/>
  <c r="D287" i="32"/>
  <c r="F280" i="32"/>
  <c r="D272" i="32"/>
  <c r="E293" i="32"/>
  <c r="A291" i="32"/>
  <c r="B287" i="32"/>
  <c r="D280" i="32"/>
  <c r="A278" i="32"/>
  <c r="D274" i="32"/>
  <c r="A273" i="32"/>
  <c r="F270" i="32"/>
  <c r="D269" i="32"/>
  <c r="C292" i="32"/>
  <c r="D288" i="32"/>
  <c r="F285" i="32"/>
  <c r="F281" i="32"/>
  <c r="B279" i="32"/>
  <c r="F272" i="32"/>
  <c r="D271" i="32"/>
  <c r="B294" i="32"/>
  <c r="C288" i="32"/>
  <c r="F292" i="32"/>
  <c r="A287" i="32"/>
  <c r="C280" i="32"/>
  <c r="F277" i="32"/>
  <c r="C274" i="32"/>
  <c r="E270" i="32"/>
  <c r="C269" i="32"/>
  <c r="D291" i="32"/>
  <c r="E285" i="32"/>
  <c r="D273" i="32"/>
  <c r="E272" i="32"/>
  <c r="E292" i="32"/>
  <c r="F288" i="32"/>
  <c r="B286" i="32"/>
  <c r="B282" i="32"/>
  <c r="D279" i="32"/>
  <c r="E277" i="32"/>
  <c r="B274" i="32"/>
  <c r="F271" i="32"/>
  <c r="A270" i="32"/>
  <c r="B269" i="32"/>
  <c r="A279" i="32"/>
  <c r="C291" i="32"/>
  <c r="C278" i="32"/>
  <c r="C273" i="32"/>
  <c r="D292" i="32"/>
  <c r="E288" i="32"/>
  <c r="A286" i="32"/>
  <c r="A282" i="32"/>
  <c r="C279" i="32"/>
  <c r="A277" i="32"/>
  <c r="A274" i="32"/>
  <c r="E271" i="32"/>
  <c r="A269" i="32"/>
  <c r="T386" i="31"/>
  <c r="U378" i="31" s="1"/>
  <c r="N391" i="31" s="1"/>
  <c r="K379" i="31"/>
  <c r="K382" i="31"/>
  <c r="I377" i="31"/>
  <c r="S386" i="31"/>
  <c r="U377" i="31" s="1"/>
  <c r="N390" i="31" s="1"/>
  <c r="N373" i="31"/>
  <c r="T373" i="31"/>
  <c r="W378" i="31"/>
  <c r="O391" i="31" s="1"/>
  <c r="T382" i="31" s="1"/>
  <c r="W379" i="31"/>
  <c r="O392" i="31" s="1"/>
  <c r="W377" i="31"/>
  <c r="O390" i="31" s="1"/>
  <c r="T381" i="31" s="1"/>
  <c r="Q380" i="31"/>
  <c r="M378" i="31"/>
  <c r="P377" i="31"/>
  <c r="O376" i="31"/>
  <c r="Q382" i="31"/>
  <c r="Q381" i="31"/>
  <c r="P380" i="31"/>
  <c r="Q379" i="31"/>
  <c r="O377" i="31"/>
  <c r="N376" i="31"/>
  <c r="P382" i="31"/>
  <c r="P381" i="31"/>
  <c r="O380" i="31"/>
  <c r="P379" i="31"/>
  <c r="N377" i="31"/>
  <c r="M376" i="31"/>
  <c r="M381" i="31"/>
  <c r="N380" i="31"/>
  <c r="O378" i="31"/>
  <c r="N379" i="31"/>
  <c r="M380" i="31"/>
  <c r="N378" i="31"/>
  <c r="Q377" i="31"/>
  <c r="O382" i="31"/>
  <c r="M379" i="31"/>
  <c r="M377" i="31"/>
  <c r="O379" i="31"/>
  <c r="Q376" i="31"/>
  <c r="P376" i="31"/>
  <c r="O381" i="31"/>
  <c r="N382" i="31"/>
  <c r="N381" i="31"/>
  <c r="M382" i="31"/>
  <c r="Q378" i="31"/>
  <c r="P378" i="31"/>
  <c r="D190" i="37" l="1"/>
  <c r="B183" i="37"/>
  <c r="B188" i="37"/>
  <c r="B189" i="37"/>
  <c r="B190" i="37"/>
  <c r="B187" i="37"/>
  <c r="D182" i="37"/>
  <c r="Q13" i="8" s="1"/>
  <c r="D181" i="37"/>
  <c r="D41" i="8" s="1"/>
  <c r="D183" i="37"/>
  <c r="Q28" i="8" s="1"/>
  <c r="D180" i="37"/>
  <c r="D27" i="8" s="1"/>
  <c r="C189" i="37"/>
  <c r="C190" i="37"/>
  <c r="C188" i="37"/>
  <c r="C187" i="37"/>
  <c r="D189" i="37"/>
  <c r="D188" i="37"/>
  <c r="D187" i="37"/>
  <c r="C183" i="37"/>
  <c r="Q27" i="8" s="1"/>
  <c r="C181" i="37"/>
  <c r="D40" i="8" s="1"/>
  <c r="C182" i="37"/>
  <c r="Q12" i="8" s="1"/>
  <c r="C180" i="37"/>
  <c r="D26" i="8" s="1"/>
  <c r="E183" i="37"/>
  <c r="N46" i="9" s="1"/>
  <c r="B182" i="37"/>
  <c r="E182" i="37" s="1"/>
  <c r="N45" i="9" s="1"/>
  <c r="B181" i="37"/>
  <c r="E181" i="37" s="1"/>
  <c r="N44" i="9" s="1"/>
  <c r="B180" i="37"/>
  <c r="E180" i="37" s="1"/>
  <c r="N43" i="9" s="1"/>
  <c r="I27" i="16"/>
  <c r="J27" i="16" s="1"/>
  <c r="I27" i="34"/>
  <c r="J27" i="34" s="1"/>
  <c r="H269" i="32"/>
  <c r="N272" i="32" s="1"/>
  <c r="O272" i="32" s="1"/>
  <c r="J269" i="32"/>
  <c r="N273" i="32" s="1"/>
  <c r="O273" i="32" s="1"/>
  <c r="I28" i="1" s="1"/>
  <c r="K266" i="32"/>
  <c r="N271" i="32" s="1"/>
  <c r="O271" i="32" s="1"/>
  <c r="I27" i="1" s="1"/>
  <c r="H266" i="32"/>
  <c r="N268" i="32" s="1"/>
  <c r="J266" i="32"/>
  <c r="N270" i="32" s="1"/>
  <c r="O270" i="32" s="1"/>
  <c r="U386" i="31"/>
  <c r="U379" i="31" s="1"/>
  <c r="N392" i="31" s="1"/>
  <c r="T383" i="31" s="1"/>
  <c r="D195" i="37" l="1"/>
  <c r="Q9" i="36"/>
  <c r="T9" i="36" s="1"/>
  <c r="W9" i="36" s="1"/>
  <c r="D196" i="37"/>
  <c r="D24" i="36"/>
  <c r="G24" i="36" s="1"/>
  <c r="J24" i="36" s="1"/>
  <c r="D197" i="37"/>
  <c r="Q24" i="36"/>
  <c r="T24" i="36" s="1"/>
  <c r="W24" i="36" s="1"/>
  <c r="C194" i="37"/>
  <c r="D8" i="36"/>
  <c r="G8" i="36" s="1"/>
  <c r="C195" i="37"/>
  <c r="Q8" i="36"/>
  <c r="C197" i="37"/>
  <c r="Q23" i="36"/>
  <c r="D194" i="37"/>
  <c r="D9" i="36"/>
  <c r="G9" i="36" s="1"/>
  <c r="J9" i="36" s="1"/>
  <c r="C196" i="37"/>
  <c r="D23" i="36"/>
  <c r="B194" i="37"/>
  <c r="E187" i="37"/>
  <c r="N51" i="9" s="1"/>
  <c r="B197" i="37"/>
  <c r="E190" i="37"/>
  <c r="N54" i="9" s="1"/>
  <c r="B196" i="37"/>
  <c r="E189" i="37"/>
  <c r="N53" i="9" s="1"/>
  <c r="B195" i="37"/>
  <c r="E188" i="37"/>
  <c r="N52" i="9" s="1"/>
  <c r="I30" i="16"/>
  <c r="J30" i="16" s="1"/>
  <c r="I30" i="34"/>
  <c r="J30" i="34" s="1"/>
  <c r="I29" i="16"/>
  <c r="J29" i="16" s="1"/>
  <c r="I29" i="34"/>
  <c r="J29" i="34" s="1"/>
  <c r="I269" i="32"/>
  <c r="I272" i="32" s="1"/>
  <c r="O268" i="32"/>
  <c r="H272" i="32" s="1"/>
  <c r="K9" i="36" l="1"/>
  <c r="L9" i="36"/>
  <c r="Y9" i="36"/>
  <c r="X9" i="36"/>
  <c r="C203" i="37"/>
  <c r="D53" i="36"/>
  <c r="C201" i="37"/>
  <c r="D38" i="36"/>
  <c r="X24" i="36"/>
  <c r="Y24" i="36"/>
  <c r="D201" i="37"/>
  <c r="D39" i="36"/>
  <c r="G39" i="36" s="1"/>
  <c r="J39" i="36" s="1"/>
  <c r="D204" i="37"/>
  <c r="Q54" i="36"/>
  <c r="T54" i="36" s="1"/>
  <c r="W54" i="36" s="1"/>
  <c r="K24" i="36"/>
  <c r="L24" i="36"/>
  <c r="C204" i="37"/>
  <c r="Q53" i="36"/>
  <c r="D203" i="37"/>
  <c r="D54" i="36"/>
  <c r="G54" i="36" s="1"/>
  <c r="J54" i="36" s="1"/>
  <c r="C202" i="37"/>
  <c r="Q38" i="36"/>
  <c r="D202" i="37"/>
  <c r="Q39" i="36"/>
  <c r="T39" i="36" s="1"/>
  <c r="W39" i="36" s="1"/>
  <c r="B202" i="37"/>
  <c r="E195" i="37"/>
  <c r="N56" i="9" s="1"/>
  <c r="B203" i="37"/>
  <c r="E196" i="37"/>
  <c r="N57" i="9" s="1"/>
  <c r="B204" i="37"/>
  <c r="E197" i="37"/>
  <c r="N58" i="9" s="1"/>
  <c r="B201" i="37"/>
  <c r="E194" i="37"/>
  <c r="N55" i="9" s="1"/>
  <c r="H274" i="32"/>
  <c r="D209" i="37" l="1"/>
  <c r="Q69" i="36"/>
  <c r="T69" i="36" s="1"/>
  <c r="W69" i="36" s="1"/>
  <c r="C208" i="37"/>
  <c r="D68" i="36"/>
  <c r="Y54" i="36"/>
  <c r="X54" i="36"/>
  <c r="C209" i="37"/>
  <c r="Q68" i="36"/>
  <c r="D211" i="37"/>
  <c r="Q84" i="36"/>
  <c r="T84" i="36" s="1"/>
  <c r="W84" i="36" s="1"/>
  <c r="C210" i="37"/>
  <c r="D83" i="36"/>
  <c r="K54" i="36"/>
  <c r="L54" i="36"/>
  <c r="L39" i="36"/>
  <c r="K39" i="36"/>
  <c r="D210" i="37"/>
  <c r="D84" i="36"/>
  <c r="G84" i="36" s="1"/>
  <c r="J84" i="36" s="1"/>
  <c r="D208" i="37"/>
  <c r="D69" i="36"/>
  <c r="G69" i="36" s="1"/>
  <c r="J69" i="36" s="1"/>
  <c r="C211" i="37"/>
  <c r="Q83" i="36"/>
  <c r="Y39" i="36"/>
  <c r="X39" i="36"/>
  <c r="B211" i="37"/>
  <c r="E204" i="37"/>
  <c r="N62" i="9" s="1"/>
  <c r="B208" i="37"/>
  <c r="E201" i="37"/>
  <c r="N59" i="9" s="1"/>
  <c r="B210" i="37"/>
  <c r="E203" i="37"/>
  <c r="N61" i="9" s="1"/>
  <c r="B209" i="37"/>
  <c r="E202" i="37"/>
  <c r="N60" i="9" s="1"/>
  <c r="H94" i="16"/>
  <c r="I101" i="16"/>
  <c r="E9" i="9"/>
  <c r="D19" i="33" s="1"/>
  <c r="C216" i="37" l="1"/>
  <c r="Q128" i="36" s="1"/>
  <c r="Q98" i="36"/>
  <c r="X84" i="36"/>
  <c r="Y84" i="36"/>
  <c r="C218" i="37"/>
  <c r="Q143" i="36" s="1"/>
  <c r="Q113" i="36"/>
  <c r="K69" i="36"/>
  <c r="L69" i="36"/>
  <c r="D215" i="37"/>
  <c r="D129" i="36" s="1"/>
  <c r="G129" i="36" s="1"/>
  <c r="J129" i="36" s="1"/>
  <c r="D99" i="36"/>
  <c r="G99" i="36" s="1"/>
  <c r="J99" i="36" s="1"/>
  <c r="C217" i="37"/>
  <c r="D143" i="36" s="1"/>
  <c r="D113" i="36"/>
  <c r="C215" i="37"/>
  <c r="D128" i="36" s="1"/>
  <c r="D98" i="36"/>
  <c r="L84" i="36"/>
  <c r="K84" i="36"/>
  <c r="Y69" i="36"/>
  <c r="X69" i="36"/>
  <c r="D217" i="37"/>
  <c r="D144" i="36" s="1"/>
  <c r="G144" i="36" s="1"/>
  <c r="J144" i="36" s="1"/>
  <c r="D114" i="36"/>
  <c r="G114" i="36" s="1"/>
  <c r="J114" i="36" s="1"/>
  <c r="D218" i="37"/>
  <c r="Q144" i="36" s="1"/>
  <c r="T144" i="36" s="1"/>
  <c r="W144" i="36" s="1"/>
  <c r="Q114" i="36"/>
  <c r="T114" i="36" s="1"/>
  <c r="W114" i="36" s="1"/>
  <c r="D216" i="37"/>
  <c r="Q129" i="36" s="1"/>
  <c r="T129" i="36" s="1"/>
  <c r="W129" i="36" s="1"/>
  <c r="Q99" i="36"/>
  <c r="T99" i="36" s="1"/>
  <c r="W99" i="36" s="1"/>
  <c r="B216" i="37"/>
  <c r="E216" i="37" s="1"/>
  <c r="N68" i="9" s="1"/>
  <c r="E209" i="37"/>
  <c r="N64" i="9" s="1"/>
  <c r="B217" i="37"/>
  <c r="E217" i="37" s="1"/>
  <c r="N69" i="9" s="1"/>
  <c r="E210" i="37"/>
  <c r="N65" i="9" s="1"/>
  <c r="B215" i="37"/>
  <c r="E215" i="37" s="1"/>
  <c r="N67" i="9" s="1"/>
  <c r="E208" i="37"/>
  <c r="N63" i="9" s="1"/>
  <c r="B218" i="37"/>
  <c r="E218" i="37" s="1"/>
  <c r="N70" i="9" s="1"/>
  <c r="E211" i="37"/>
  <c r="N66" i="9" s="1"/>
  <c r="E37" i="16"/>
  <c r="D35" i="1"/>
  <c r="K129" i="36" l="1"/>
  <c r="L129" i="36"/>
  <c r="X99" i="36"/>
  <c r="Y99" i="36"/>
  <c r="X129" i="36"/>
  <c r="Y129" i="36"/>
  <c r="Y114" i="36"/>
  <c r="X114" i="36"/>
  <c r="X144" i="36"/>
  <c r="Y144" i="36"/>
  <c r="L114" i="36"/>
  <c r="K114" i="36"/>
  <c r="K144" i="36"/>
  <c r="L144" i="36"/>
  <c r="K99" i="36"/>
  <c r="L99" i="36"/>
  <c r="D15" i="1"/>
  <c r="D16" i="1" l="1"/>
  <c r="D17" i="1" l="1"/>
  <c r="D8" i="1"/>
  <c r="A8" i="1"/>
  <c r="A9" i="16" s="1"/>
  <c r="H50" i="16"/>
  <c r="H41" i="16"/>
  <c r="E9" i="16" l="1"/>
  <c r="E9" i="34"/>
  <c r="C26" i="1"/>
  <c r="C38" i="16"/>
  <c r="E36" i="1"/>
  <c r="F38" i="16" s="1"/>
  <c r="D36" i="1"/>
  <c r="E38" i="16" s="1"/>
  <c r="C36" i="1"/>
  <c r="B36" i="1"/>
  <c r="E50" i="16"/>
  <c r="E41" i="16"/>
  <c r="E48" i="1"/>
  <c r="F50" i="16" s="1"/>
  <c r="E41" i="1"/>
  <c r="E39" i="1"/>
  <c r="F41" i="16" s="1"/>
  <c r="E11" i="9"/>
  <c r="D17" i="33" s="1"/>
  <c r="M21" i="1" l="1"/>
  <c r="L27" i="9"/>
  <c r="L28" i="9"/>
  <c r="R21" i="1" l="1"/>
  <c r="H49" i="9" l="1"/>
  <c r="F48" i="1" s="1"/>
  <c r="G50" i="16" s="1"/>
  <c r="H40" i="9"/>
  <c r="F39" i="1" s="1"/>
  <c r="G41" i="16" s="1"/>
  <c r="C43" i="16"/>
  <c r="E35" i="1"/>
  <c r="F37" i="16" s="1"/>
  <c r="E34" i="1"/>
  <c r="F36" i="16" s="1"/>
  <c r="D33" i="10" l="1"/>
  <c r="J33" i="10"/>
  <c r="A10" i="3" l="1"/>
  <c r="A9" i="3"/>
  <c r="A10" i="1"/>
  <c r="A11" i="16" s="1"/>
  <c r="A9" i="1"/>
  <c r="A10" i="16" s="1"/>
  <c r="M43" i="9" l="1"/>
  <c r="M44" i="9"/>
  <c r="M45" i="9"/>
  <c r="M46" i="9"/>
  <c r="M42" i="9"/>
  <c r="A179" i="37" s="1"/>
  <c r="B179" i="37" l="1"/>
  <c r="E179" i="37" s="1"/>
  <c r="N42" i="9" s="1"/>
  <c r="D179" i="37"/>
  <c r="D13" i="8" s="1"/>
  <c r="C179" i="37"/>
  <c r="D12" i="8" s="1"/>
  <c r="M20" i="1"/>
  <c r="B74" i="16"/>
  <c r="A74" i="16"/>
  <c r="N20" i="1" l="1"/>
  <c r="B80" i="1"/>
  <c r="B82" i="16" s="1"/>
  <c r="B81" i="1"/>
  <c r="B83" i="16" s="1"/>
  <c r="B73" i="1"/>
  <c r="B76" i="16" s="1"/>
  <c r="B74" i="1"/>
  <c r="B72" i="1"/>
  <c r="B75" i="16" s="1"/>
  <c r="Q24" i="8"/>
  <c r="Q9" i="8"/>
  <c r="D37" i="8"/>
  <c r="K10" i="10"/>
  <c r="K11" i="10"/>
  <c r="K12" i="10"/>
  <c r="K13" i="10"/>
  <c r="K14" i="10"/>
  <c r="K9" i="10"/>
  <c r="E14" i="10"/>
  <c r="D15" i="10"/>
  <c r="B77" i="16" l="1"/>
  <c r="B77" i="34"/>
  <c r="L46" i="8"/>
  <c r="I41" i="8"/>
  <c r="B41" i="8"/>
  <c r="I40" i="8"/>
  <c r="E40" i="8"/>
  <c r="B40" i="8"/>
  <c r="I39" i="8"/>
  <c r="G39" i="8"/>
  <c r="J39" i="8" s="1"/>
  <c r="B39" i="8"/>
  <c r="I38" i="8"/>
  <c r="E38" i="8"/>
  <c r="G38" i="8" s="1"/>
  <c r="J38" i="8" s="1"/>
  <c r="B38" i="8"/>
  <c r="I37" i="8"/>
  <c r="E37" i="8"/>
  <c r="G37" i="8" s="1"/>
  <c r="B37" i="8"/>
  <c r="I36" i="8"/>
  <c r="E36" i="8"/>
  <c r="B36" i="8"/>
  <c r="D23" i="8"/>
  <c r="D9" i="8"/>
  <c r="J38" i="10"/>
  <c r="J37" i="10"/>
  <c r="J36" i="10"/>
  <c r="J35" i="10"/>
  <c r="J34" i="10"/>
  <c r="J30" i="10"/>
  <c r="J29" i="10"/>
  <c r="J28" i="10"/>
  <c r="J27" i="10"/>
  <c r="J26" i="10"/>
  <c r="J25" i="10"/>
  <c r="J22" i="10"/>
  <c r="J21" i="10"/>
  <c r="J20" i="10"/>
  <c r="J19" i="10"/>
  <c r="J18" i="10"/>
  <c r="J17" i="10"/>
  <c r="J14" i="10"/>
  <c r="J13" i="10"/>
  <c r="J12" i="10"/>
  <c r="J11" i="10"/>
  <c r="J10" i="10"/>
  <c r="J9" i="10"/>
  <c r="D38" i="10"/>
  <c r="D35" i="10"/>
  <c r="D34" i="10"/>
  <c r="D37" i="10"/>
  <c r="D36" i="10"/>
  <c r="D30" i="10"/>
  <c r="D29" i="10"/>
  <c r="D28" i="10"/>
  <c r="D27" i="10"/>
  <c r="D26" i="10"/>
  <c r="D25" i="10"/>
  <c r="D17" i="10"/>
  <c r="D22" i="10"/>
  <c r="D21" i="10"/>
  <c r="D20" i="10"/>
  <c r="D19" i="10"/>
  <c r="D18" i="10"/>
  <c r="D10" i="10"/>
  <c r="D11" i="10"/>
  <c r="D12" i="10"/>
  <c r="D13" i="10"/>
  <c r="D14" i="10"/>
  <c r="D9" i="10"/>
  <c r="T68" i="36" l="1"/>
  <c r="W68" i="36" s="1"/>
  <c r="G53" i="36"/>
  <c r="J53" i="36" s="1"/>
  <c r="T8" i="36"/>
  <c r="W8" i="36" s="1"/>
  <c r="T53" i="36"/>
  <c r="W53" i="36" s="1"/>
  <c r="G128" i="36"/>
  <c r="J128" i="36" s="1"/>
  <c r="G143" i="36"/>
  <c r="J143" i="36" s="1"/>
  <c r="T38" i="36"/>
  <c r="W38" i="36" s="1"/>
  <c r="G113" i="36"/>
  <c r="J113" i="36" s="1"/>
  <c r="G38" i="36"/>
  <c r="J38" i="36" s="1"/>
  <c r="T113" i="36"/>
  <c r="W113" i="36" s="1"/>
  <c r="G23" i="36"/>
  <c r="J23" i="36" s="1"/>
  <c r="T128" i="36"/>
  <c r="W128" i="36" s="1"/>
  <c r="T98" i="36"/>
  <c r="W98" i="36" s="1"/>
  <c r="T83" i="36"/>
  <c r="W83" i="36" s="1"/>
  <c r="G68" i="36"/>
  <c r="J68" i="36" s="1"/>
  <c r="T23" i="36"/>
  <c r="W23" i="36" s="1"/>
  <c r="T143" i="36"/>
  <c r="W143" i="36" s="1"/>
  <c r="G98" i="36"/>
  <c r="J98" i="36" s="1"/>
  <c r="G83" i="36"/>
  <c r="J83" i="36" s="1"/>
  <c r="J8" i="36"/>
  <c r="J110" i="36"/>
  <c r="W109" i="36"/>
  <c r="J94" i="36"/>
  <c r="J140" i="36"/>
  <c r="W110" i="36"/>
  <c r="J95" i="36"/>
  <c r="J65" i="36"/>
  <c r="J49" i="36"/>
  <c r="J20" i="36"/>
  <c r="J50" i="36"/>
  <c r="J35" i="36"/>
  <c r="W79" i="36"/>
  <c r="W140" i="36"/>
  <c r="J125" i="36"/>
  <c r="J124" i="36"/>
  <c r="W65" i="36"/>
  <c r="W20" i="36"/>
  <c r="J4" i="36"/>
  <c r="J80" i="36"/>
  <c r="W35" i="36"/>
  <c r="W139" i="36"/>
  <c r="W64" i="36"/>
  <c r="W19" i="36"/>
  <c r="W4" i="36"/>
  <c r="W125" i="36"/>
  <c r="W34" i="36"/>
  <c r="J5" i="36"/>
  <c r="J19" i="36"/>
  <c r="J139" i="36"/>
  <c r="J64" i="36"/>
  <c r="J79" i="36"/>
  <c r="W94" i="36"/>
  <c r="W80" i="36"/>
  <c r="W95" i="36"/>
  <c r="W49" i="36"/>
  <c r="J109" i="36"/>
  <c r="W124" i="36"/>
  <c r="J34" i="36"/>
  <c r="W50" i="36"/>
  <c r="W5" i="36"/>
  <c r="F45" i="1"/>
  <c r="L38" i="8"/>
  <c r="K38" i="8"/>
  <c r="K39" i="8"/>
  <c r="L39" i="8"/>
  <c r="L79" i="36" l="1"/>
  <c r="K79" i="36"/>
  <c r="L65" i="36"/>
  <c r="K65" i="36"/>
  <c r="L83" i="36"/>
  <c r="K83" i="36"/>
  <c r="L23" i="36"/>
  <c r="K23" i="36"/>
  <c r="X8" i="36"/>
  <c r="Y8" i="36"/>
  <c r="L125" i="36"/>
  <c r="K125" i="36"/>
  <c r="K98" i="36"/>
  <c r="L98" i="36"/>
  <c r="X113" i="36"/>
  <c r="Y113" i="36"/>
  <c r="L53" i="36"/>
  <c r="K53" i="36"/>
  <c r="L124" i="36"/>
  <c r="K124" i="36"/>
  <c r="X124" i="36"/>
  <c r="Y124" i="36"/>
  <c r="Y139" i="36"/>
  <c r="X139" i="36"/>
  <c r="X140" i="36"/>
  <c r="Y140" i="36"/>
  <c r="Y110" i="36"/>
  <c r="X110" i="36"/>
  <c r="Y143" i="36"/>
  <c r="X143" i="36"/>
  <c r="L38" i="36"/>
  <c r="K38" i="36"/>
  <c r="Y68" i="36"/>
  <c r="X68" i="36"/>
  <c r="L95" i="36"/>
  <c r="K95" i="36"/>
  <c r="L109" i="36"/>
  <c r="K109" i="36"/>
  <c r="L19" i="36"/>
  <c r="K19" i="36"/>
  <c r="Y35" i="36"/>
  <c r="X35" i="36"/>
  <c r="Y79" i="36"/>
  <c r="X79" i="36"/>
  <c r="K140" i="36"/>
  <c r="L140" i="36"/>
  <c r="Y23" i="36"/>
  <c r="X23" i="36"/>
  <c r="L113" i="36"/>
  <c r="K113" i="36"/>
  <c r="Y50" i="36"/>
  <c r="X50" i="36"/>
  <c r="K64" i="36"/>
  <c r="L64" i="36"/>
  <c r="Y49" i="36"/>
  <c r="X49" i="36"/>
  <c r="K5" i="36"/>
  <c r="L5" i="36"/>
  <c r="K80" i="36"/>
  <c r="L80" i="36"/>
  <c r="L35" i="36"/>
  <c r="K35" i="36"/>
  <c r="L94" i="36"/>
  <c r="K94" i="36"/>
  <c r="L68" i="36"/>
  <c r="K68" i="36"/>
  <c r="X38" i="36"/>
  <c r="Y38" i="36"/>
  <c r="Y64" i="36"/>
  <c r="X64" i="36"/>
  <c r="Y95" i="36"/>
  <c r="X95" i="36"/>
  <c r="L4" i="36"/>
  <c r="K4" i="36"/>
  <c r="L50" i="36"/>
  <c r="K50" i="36"/>
  <c r="Y109" i="36"/>
  <c r="X109" i="36"/>
  <c r="Y83" i="36"/>
  <c r="X83" i="36"/>
  <c r="K143" i="36"/>
  <c r="L143" i="36"/>
  <c r="Y19" i="36"/>
  <c r="X19" i="36"/>
  <c r="Y34" i="36"/>
  <c r="X34" i="36"/>
  <c r="Y80" i="36"/>
  <c r="X80" i="36"/>
  <c r="Y125" i="36"/>
  <c r="X125" i="36"/>
  <c r="X20" i="36"/>
  <c r="Y20" i="36"/>
  <c r="L20" i="36"/>
  <c r="K20" i="36"/>
  <c r="K110" i="36"/>
  <c r="L110" i="36"/>
  <c r="Y98" i="36"/>
  <c r="X98" i="36"/>
  <c r="L128" i="36"/>
  <c r="K128" i="36"/>
  <c r="K130" i="36" s="1"/>
  <c r="K131" i="36" s="1"/>
  <c r="L34" i="36"/>
  <c r="K34" i="36"/>
  <c r="K139" i="36"/>
  <c r="L139" i="36"/>
  <c r="Y5" i="36"/>
  <c r="X5" i="36"/>
  <c r="Y94" i="36"/>
  <c r="X94" i="36"/>
  <c r="Y4" i="36"/>
  <c r="X4" i="36"/>
  <c r="Y65" i="36"/>
  <c r="X65" i="36"/>
  <c r="L49" i="36"/>
  <c r="K49" i="36"/>
  <c r="L8" i="36"/>
  <c r="K8" i="36"/>
  <c r="Y128" i="36"/>
  <c r="X128" i="36"/>
  <c r="X130" i="36" s="1"/>
  <c r="X131" i="36" s="1"/>
  <c r="X53" i="36"/>
  <c r="Y53" i="36"/>
  <c r="G45" i="1"/>
  <c r="H47" i="34" s="1"/>
  <c r="G47" i="34"/>
  <c r="J37" i="8"/>
  <c r="K37" i="8" s="1"/>
  <c r="B79" i="1"/>
  <c r="X40" i="36" l="1"/>
  <c r="X41" i="36" s="1"/>
  <c r="K70" i="36"/>
  <c r="K71" i="36" s="1"/>
  <c r="L145" i="36"/>
  <c r="K100" i="36"/>
  <c r="K101" i="36" s="1"/>
  <c r="X115" i="36"/>
  <c r="X116" i="36" s="1"/>
  <c r="Y115" i="36"/>
  <c r="K55" i="36"/>
  <c r="K56" i="36" s="1"/>
  <c r="L55" i="36"/>
  <c r="K40" i="36"/>
  <c r="K41" i="36" s="1"/>
  <c r="B81" i="16"/>
  <c r="B81" i="34"/>
  <c r="X145" i="36"/>
  <c r="X146" i="36" s="1"/>
  <c r="K145" i="36"/>
  <c r="K146" i="36" s="1"/>
  <c r="L100" i="36"/>
  <c r="Y145" i="36"/>
  <c r="X10" i="36"/>
  <c r="X11" i="36" s="1"/>
  <c r="L70" i="36"/>
  <c r="Y10" i="36"/>
  <c r="X85" i="36"/>
  <c r="X86" i="36" s="1"/>
  <c r="X55" i="36"/>
  <c r="X56" i="36" s="1"/>
  <c r="K25" i="36"/>
  <c r="K26" i="36" s="1"/>
  <c r="Y55" i="36"/>
  <c r="L40" i="36"/>
  <c r="L25" i="36"/>
  <c r="X70" i="36"/>
  <c r="X71" i="36" s="1"/>
  <c r="K115" i="36"/>
  <c r="K116" i="36" s="1"/>
  <c r="Y130" i="36"/>
  <c r="X132" i="36" s="1"/>
  <c r="Y70" i="36"/>
  <c r="L115" i="36"/>
  <c r="L85" i="36"/>
  <c r="X100" i="36"/>
  <c r="X101" i="36" s="1"/>
  <c r="X25" i="36"/>
  <c r="X26" i="36" s="1"/>
  <c r="Y40" i="36"/>
  <c r="X42" i="36" s="1"/>
  <c r="Y100" i="36"/>
  <c r="Y25" i="36"/>
  <c r="Y85" i="36"/>
  <c r="L130" i="36"/>
  <c r="K132" i="36" s="1"/>
  <c r="K10" i="36"/>
  <c r="K11" i="36" s="1"/>
  <c r="K85" i="36"/>
  <c r="K86" i="36" s="1"/>
  <c r="L10" i="36"/>
  <c r="H45" i="1"/>
  <c r="I47" i="34" s="1"/>
  <c r="L37" i="8"/>
  <c r="K102" i="36" l="1"/>
  <c r="K103" i="36" s="1"/>
  <c r="K104" i="36" s="1"/>
  <c r="K106" i="36" s="1"/>
  <c r="K72" i="36"/>
  <c r="K73" i="36" s="1"/>
  <c r="K74" i="36" s="1"/>
  <c r="K76" i="36" s="1"/>
  <c r="K147" i="36"/>
  <c r="K148" i="36" s="1"/>
  <c r="K149" i="36" s="1"/>
  <c r="K151" i="36" s="1"/>
  <c r="X117" i="36"/>
  <c r="X118" i="36" s="1"/>
  <c r="X119" i="36" s="1"/>
  <c r="X121" i="36" s="1"/>
  <c r="K57" i="36"/>
  <c r="K58" i="36" s="1"/>
  <c r="K59" i="36" s="1"/>
  <c r="K61" i="36" s="1"/>
  <c r="K42" i="36"/>
  <c r="K43" i="36" s="1"/>
  <c r="K44" i="36" s="1"/>
  <c r="K46" i="36" s="1"/>
  <c r="X12" i="36"/>
  <c r="X13" i="36" s="1"/>
  <c r="X14" i="36" s="1"/>
  <c r="X16" i="36" s="1"/>
  <c r="X57" i="36"/>
  <c r="X58" i="36" s="1"/>
  <c r="X59" i="36" s="1"/>
  <c r="X61" i="36" s="1"/>
  <c r="K27" i="36"/>
  <c r="K28" i="36" s="1"/>
  <c r="K29" i="36" s="1"/>
  <c r="K31" i="36" s="1"/>
  <c r="X147" i="36"/>
  <c r="X148" i="36" s="1"/>
  <c r="X149" i="36" s="1"/>
  <c r="X151" i="36" s="1"/>
  <c r="X43" i="36"/>
  <c r="X44" i="36" s="1"/>
  <c r="X46" i="36" s="1"/>
  <c r="K87" i="36"/>
  <c r="X133" i="36"/>
  <c r="X134" i="36" s="1"/>
  <c r="X136" i="36" s="1"/>
  <c r="X87" i="36"/>
  <c r="K12" i="36"/>
  <c r="X27" i="36"/>
  <c r="K117" i="36"/>
  <c r="K133" i="36"/>
  <c r="K134" i="36" s="1"/>
  <c r="K136" i="36" s="1"/>
  <c r="X102" i="36"/>
  <c r="X72" i="36"/>
  <c r="V28" i="8"/>
  <c r="V27" i="8"/>
  <c r="V26" i="8"/>
  <c r="V25" i="8"/>
  <c r="V24" i="8"/>
  <c r="V23" i="8"/>
  <c r="V13" i="8"/>
  <c r="V12" i="8"/>
  <c r="V11" i="8"/>
  <c r="V10" i="8"/>
  <c r="V9" i="8"/>
  <c r="V8" i="8"/>
  <c r="I27" i="8"/>
  <c r="I26" i="8"/>
  <c r="I25" i="8"/>
  <c r="I24" i="8"/>
  <c r="I23" i="8"/>
  <c r="I22" i="8"/>
  <c r="I13" i="8"/>
  <c r="I12" i="8"/>
  <c r="I11" i="8"/>
  <c r="I10" i="8"/>
  <c r="I9" i="8"/>
  <c r="I8" i="8"/>
  <c r="Y34" i="8"/>
  <c r="Y19" i="8"/>
  <c r="L32" i="8"/>
  <c r="O13" i="8"/>
  <c r="O12" i="8"/>
  <c r="O11" i="8"/>
  <c r="O10" i="8"/>
  <c r="O9" i="8"/>
  <c r="O8" i="8"/>
  <c r="O28" i="8"/>
  <c r="O27" i="8"/>
  <c r="O26" i="8"/>
  <c r="O25" i="8"/>
  <c r="O24" i="8"/>
  <c r="O23" i="8"/>
  <c r="B27" i="8"/>
  <c r="B26" i="8"/>
  <c r="B25" i="8"/>
  <c r="B24" i="8"/>
  <c r="B23" i="8"/>
  <c r="B22" i="8"/>
  <c r="B9" i="8"/>
  <c r="B10" i="8"/>
  <c r="B11" i="8"/>
  <c r="B12" i="8"/>
  <c r="B13" i="8"/>
  <c r="B8" i="8"/>
  <c r="L18" i="8"/>
  <c r="K105" i="36" l="1"/>
  <c r="L105" i="36" s="1"/>
  <c r="K75" i="36"/>
  <c r="L75" i="36" s="1"/>
  <c r="K150" i="36"/>
  <c r="L150" i="36" s="1"/>
  <c r="K60" i="36"/>
  <c r="L60" i="36" s="1"/>
  <c r="X150" i="36"/>
  <c r="Y150" i="36" s="1"/>
  <c r="X15" i="36"/>
  <c r="Y15" i="36" s="1"/>
  <c r="K135" i="36"/>
  <c r="L135" i="36" s="1"/>
  <c r="X45" i="36"/>
  <c r="Y45" i="36" s="1"/>
  <c r="X103" i="36"/>
  <c r="X104" i="36" s="1"/>
  <c r="X106" i="36" s="1"/>
  <c r="X60" i="36"/>
  <c r="Y60" i="36" s="1"/>
  <c r="X88" i="36"/>
  <c r="X89" i="36" s="1"/>
  <c r="X91" i="36" s="1"/>
  <c r="X135" i="36"/>
  <c r="Y135" i="36" s="1"/>
  <c r="K45" i="36"/>
  <c r="L45" i="36" s="1"/>
  <c r="K118" i="36"/>
  <c r="K119" i="36" s="1"/>
  <c r="K121" i="36" s="1"/>
  <c r="K88" i="36"/>
  <c r="K89" i="36" s="1"/>
  <c r="K91" i="36" s="1"/>
  <c r="K30" i="36"/>
  <c r="L30" i="36" s="1"/>
  <c r="X28" i="36"/>
  <c r="X29" i="36" s="1"/>
  <c r="X31" i="36" s="1"/>
  <c r="X120" i="36"/>
  <c r="Y120" i="36" s="1"/>
  <c r="X73" i="36"/>
  <c r="X74" i="36" s="1"/>
  <c r="X76" i="36" s="1"/>
  <c r="K13" i="36"/>
  <c r="K14" i="36" s="1"/>
  <c r="K16" i="36" s="1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Y46" i="9"/>
  <c r="Y43" i="9"/>
  <c r="Y44" i="9"/>
  <c r="Y45" i="9"/>
  <c r="Y42" i="9"/>
  <c r="Z36" i="9"/>
  <c r="K90" i="36" l="1"/>
  <c r="L90" i="36" s="1"/>
  <c r="X90" i="36"/>
  <c r="Y90" i="36" s="1"/>
  <c r="K15" i="36"/>
  <c r="L15" i="36" s="1"/>
  <c r="X30" i="36"/>
  <c r="Y30" i="36" s="1"/>
  <c r="X105" i="36"/>
  <c r="Y105" i="36" s="1"/>
  <c r="X75" i="36"/>
  <c r="Y75" i="36" s="1"/>
  <c r="K120" i="36"/>
  <c r="L120" i="36" s="1"/>
  <c r="AF44" i="9"/>
  <c r="AD45" i="9"/>
  <c r="AE45" i="9" s="1"/>
  <c r="AF43" i="9"/>
  <c r="AD44" i="9"/>
  <c r="AE44" i="9" s="1"/>
  <c r="AD46" i="9"/>
  <c r="AE46" i="9" s="1"/>
  <c r="AF45" i="9"/>
  <c r="AD43" i="9"/>
  <c r="AE43" i="9" s="1"/>
  <c r="AD42" i="9"/>
  <c r="AE42" i="9" s="1"/>
  <c r="AF46" i="9"/>
  <c r="F43" i="16" l="1"/>
  <c r="A1" i="16"/>
  <c r="D22" i="8" l="1"/>
  <c r="D36" i="8"/>
  <c r="G36" i="8" s="1"/>
  <c r="J36" i="8" s="1"/>
  <c r="Q8" i="8"/>
  <c r="Q23" i="8"/>
  <c r="D8" i="8"/>
  <c r="G8" i="8" s="1"/>
  <c r="C51" i="9"/>
  <c r="C52" i="34" s="1"/>
  <c r="B48" i="9"/>
  <c r="B47" i="1" l="1"/>
  <c r="B49" i="16"/>
  <c r="D69" i="9"/>
  <c r="C50" i="1"/>
  <c r="C52" i="16"/>
  <c r="D68" i="9"/>
  <c r="K36" i="8"/>
  <c r="L36" i="8"/>
  <c r="D70" i="9"/>
  <c r="D67" i="9"/>
  <c r="D55" i="9"/>
  <c r="D59" i="9"/>
  <c r="D63" i="9"/>
  <c r="D58" i="9"/>
  <c r="D62" i="9"/>
  <c r="D66" i="9"/>
  <c r="D57" i="9"/>
  <c r="D61" i="9"/>
  <c r="D65" i="9"/>
  <c r="D56" i="9"/>
  <c r="D60" i="9"/>
  <c r="D64" i="9"/>
  <c r="F69" i="1" l="1"/>
  <c r="G69" i="1" s="1"/>
  <c r="H71" i="34" s="1"/>
  <c r="G47" i="16"/>
  <c r="F50" i="1"/>
  <c r="H47" i="16"/>
  <c r="B39" i="9"/>
  <c r="C36" i="9"/>
  <c r="D33" i="9"/>
  <c r="C35" i="9"/>
  <c r="G52" i="34" l="1"/>
  <c r="G50" i="1"/>
  <c r="H52" i="34" s="1"/>
  <c r="G71" i="16"/>
  <c r="G71" i="34"/>
  <c r="F62" i="1"/>
  <c r="F66" i="1"/>
  <c r="F63" i="1"/>
  <c r="F68" i="1"/>
  <c r="F54" i="1"/>
  <c r="G56" i="34" s="1"/>
  <c r="F57" i="1"/>
  <c r="F64" i="1"/>
  <c r="G66" i="34" s="1"/>
  <c r="F61" i="1"/>
  <c r="G63" i="16" s="1"/>
  <c r="F67" i="1"/>
  <c r="G67" i="1" s="1"/>
  <c r="H69" i="34" s="1"/>
  <c r="F65" i="1"/>
  <c r="F53" i="1"/>
  <c r="G53" i="1" s="1"/>
  <c r="H55" i="34" s="1"/>
  <c r="F52" i="1"/>
  <c r="F51" i="1"/>
  <c r="H69" i="1"/>
  <c r="I71" i="34" s="1"/>
  <c r="G52" i="16"/>
  <c r="F59" i="1"/>
  <c r="F56" i="1"/>
  <c r="F60" i="1"/>
  <c r="F58" i="1"/>
  <c r="G60" i="34" s="1"/>
  <c r="F55" i="1"/>
  <c r="H71" i="16"/>
  <c r="G40" i="8"/>
  <c r="J40" i="8" s="1"/>
  <c r="G41" i="8"/>
  <c r="J41" i="8" s="1"/>
  <c r="C34" i="1"/>
  <c r="C36" i="16"/>
  <c r="B38" i="1"/>
  <c r="B40" i="16"/>
  <c r="C35" i="1"/>
  <c r="C37" i="16"/>
  <c r="D34" i="1"/>
  <c r="E36" i="16"/>
  <c r="D32" i="1"/>
  <c r="E34" i="16"/>
  <c r="I47" i="16"/>
  <c r="B32" i="9"/>
  <c r="B33" i="16" s="1"/>
  <c r="B31" i="9"/>
  <c r="B30" i="1" s="1"/>
  <c r="B32" i="16" s="1"/>
  <c r="B23" i="9"/>
  <c r="B23" i="1" s="1"/>
  <c r="B19" i="9"/>
  <c r="B19" i="1" s="1"/>
  <c r="G64" i="1" l="1"/>
  <c r="H66" i="34" s="1"/>
  <c r="H50" i="1"/>
  <c r="I52" i="16" s="1"/>
  <c r="G63" i="34"/>
  <c r="G54" i="1"/>
  <c r="H54" i="1" s="1"/>
  <c r="I56" i="34" s="1"/>
  <c r="G61" i="1"/>
  <c r="H63" i="34" s="1"/>
  <c r="G68" i="1"/>
  <c r="H70" i="34" s="1"/>
  <c r="G70" i="34"/>
  <c r="G63" i="1"/>
  <c r="H65" i="34" s="1"/>
  <c r="G65" i="16"/>
  <c r="G65" i="34"/>
  <c r="G64" i="34"/>
  <c r="G64" i="16"/>
  <c r="G62" i="1"/>
  <c r="H64" i="34" s="1"/>
  <c r="G68" i="34"/>
  <c r="G66" i="1"/>
  <c r="H68" i="34" s="1"/>
  <c r="G68" i="16"/>
  <c r="G65" i="1"/>
  <c r="H67" i="34" s="1"/>
  <c r="G67" i="16"/>
  <c r="G67" i="34"/>
  <c r="G59" i="16"/>
  <c r="G57" i="1"/>
  <c r="H59" i="34" s="1"/>
  <c r="G59" i="34"/>
  <c r="G69" i="16"/>
  <c r="G69" i="34"/>
  <c r="G51" i="1"/>
  <c r="H53" i="34" s="1"/>
  <c r="G53" i="34"/>
  <c r="G53" i="16"/>
  <c r="G52" i="1"/>
  <c r="H54" i="34" s="1"/>
  <c r="G54" i="16"/>
  <c r="G54" i="34"/>
  <c r="H53" i="1"/>
  <c r="I55" i="34" s="1"/>
  <c r="G55" i="34"/>
  <c r="G55" i="16"/>
  <c r="H55" i="16"/>
  <c r="I71" i="16"/>
  <c r="G59" i="1"/>
  <c r="H61" i="34" s="1"/>
  <c r="G61" i="34"/>
  <c r="G55" i="1"/>
  <c r="H57" i="34" s="1"/>
  <c r="G57" i="34"/>
  <c r="H67" i="1"/>
  <c r="I69" i="34" s="1"/>
  <c r="G60" i="1"/>
  <c r="H62" i="34" s="1"/>
  <c r="G62" i="34"/>
  <c r="G56" i="1"/>
  <c r="H58" i="34" s="1"/>
  <c r="G58" i="34"/>
  <c r="G58" i="1"/>
  <c r="H58" i="1" s="1"/>
  <c r="I60" i="34" s="1"/>
  <c r="H69" i="16"/>
  <c r="G62" i="16"/>
  <c r="G61" i="16"/>
  <c r="G60" i="16"/>
  <c r="G58" i="16"/>
  <c r="G57" i="16"/>
  <c r="G66" i="16"/>
  <c r="G70" i="16"/>
  <c r="G56" i="16"/>
  <c r="F44" i="1"/>
  <c r="F43" i="1"/>
  <c r="F42" i="1"/>
  <c r="F41" i="1"/>
  <c r="K40" i="8"/>
  <c r="L40" i="8"/>
  <c r="L41" i="8"/>
  <c r="K41" i="8"/>
  <c r="B31" i="1"/>
  <c r="H61" i="1" l="1"/>
  <c r="I63" i="34" s="1"/>
  <c r="H64" i="1"/>
  <c r="I66" i="34" s="1"/>
  <c r="H66" i="16"/>
  <c r="H57" i="1"/>
  <c r="I59" i="34" s="1"/>
  <c r="H66" i="1"/>
  <c r="I68" i="34" s="1"/>
  <c r="I52" i="34"/>
  <c r="H63" i="16"/>
  <c r="H64" i="16"/>
  <c r="H63" i="1"/>
  <c r="I65" i="34" s="1"/>
  <c r="H68" i="1"/>
  <c r="I70" i="34" s="1"/>
  <c r="H65" i="16"/>
  <c r="H56" i="34"/>
  <c r="H56" i="16"/>
  <c r="H70" i="16"/>
  <c r="H68" i="16"/>
  <c r="H62" i="1"/>
  <c r="I64" i="34" s="1"/>
  <c r="H53" i="16"/>
  <c r="H67" i="16"/>
  <c r="H59" i="16"/>
  <c r="H52" i="1"/>
  <c r="I54" i="34" s="1"/>
  <c r="H65" i="1"/>
  <c r="I55" i="16"/>
  <c r="H51" i="1"/>
  <c r="I53" i="34" s="1"/>
  <c r="H54" i="16"/>
  <c r="H60" i="1"/>
  <c r="I62" i="34" s="1"/>
  <c r="H61" i="16"/>
  <c r="H55" i="1"/>
  <c r="I57" i="34" s="1"/>
  <c r="I69" i="16"/>
  <c r="G41" i="1"/>
  <c r="H43" i="34" s="1"/>
  <c r="G43" i="34"/>
  <c r="G44" i="1"/>
  <c r="H46" i="34" s="1"/>
  <c r="G46" i="34"/>
  <c r="H58" i="16"/>
  <c r="H60" i="16"/>
  <c r="H60" i="34"/>
  <c r="G42" i="1"/>
  <c r="H44" i="34" s="1"/>
  <c r="G44" i="34"/>
  <c r="G43" i="1"/>
  <c r="H45" i="34" s="1"/>
  <c r="G45" i="34"/>
  <c r="H56" i="1"/>
  <c r="I58" i="34" s="1"/>
  <c r="H59" i="1"/>
  <c r="I61" i="34" s="1"/>
  <c r="I56" i="16"/>
  <c r="G46" i="16"/>
  <c r="G45" i="16"/>
  <c r="G44" i="16"/>
  <c r="H57" i="16"/>
  <c r="H62" i="16"/>
  <c r="G43" i="16"/>
  <c r="J56" i="1"/>
  <c r="O58" i="34" s="1"/>
  <c r="M58" i="34" s="1"/>
  <c r="L58" i="34" s="1"/>
  <c r="J51" i="1"/>
  <c r="J59" i="1"/>
  <c r="O61" i="34" s="1"/>
  <c r="M61" i="34" s="1"/>
  <c r="L61" i="34" s="1"/>
  <c r="L42" i="8"/>
  <c r="K42" i="8"/>
  <c r="K43" i="8" s="1"/>
  <c r="D9" i="15"/>
  <c r="D10" i="15"/>
  <c r="D11" i="15"/>
  <c r="D12" i="15"/>
  <c r="D13" i="15"/>
  <c r="D14" i="15"/>
  <c r="D15" i="15"/>
  <c r="O53" i="34" l="1"/>
  <c r="M53" i="34" s="1"/>
  <c r="L53" i="34" s="1"/>
  <c r="O53" i="16"/>
  <c r="M53" i="16" s="1"/>
  <c r="I63" i="16"/>
  <c r="I66" i="16"/>
  <c r="I59" i="16"/>
  <c r="H41" i="1"/>
  <c r="I43" i="34" s="1"/>
  <c r="I68" i="16"/>
  <c r="I70" i="16"/>
  <c r="I65" i="16"/>
  <c r="I54" i="16"/>
  <c r="I64" i="16"/>
  <c r="I67" i="34"/>
  <c r="I67" i="16"/>
  <c r="I53" i="16"/>
  <c r="I62" i="16"/>
  <c r="I57" i="16"/>
  <c r="H44" i="1"/>
  <c r="I46" i="34" s="1"/>
  <c r="H43" i="1"/>
  <c r="I45" i="34" s="1"/>
  <c r="H42" i="1"/>
  <c r="I44" i="34" s="1"/>
  <c r="J69" i="1"/>
  <c r="J61" i="1"/>
  <c r="J60" i="1"/>
  <c r="J57" i="1"/>
  <c r="J54" i="1"/>
  <c r="J52" i="1"/>
  <c r="K51" i="1"/>
  <c r="N51" i="1" s="1"/>
  <c r="K56" i="1"/>
  <c r="N56" i="1" s="1"/>
  <c r="K59" i="1"/>
  <c r="N59" i="1" s="1"/>
  <c r="I60" i="16"/>
  <c r="I58" i="16"/>
  <c r="I61" i="16"/>
  <c r="H44" i="16"/>
  <c r="H45" i="16"/>
  <c r="H46" i="16"/>
  <c r="H43" i="16"/>
  <c r="K44" i="8"/>
  <c r="K45" i="8" s="1"/>
  <c r="K46" i="8" s="1"/>
  <c r="K47" i="8" s="1"/>
  <c r="J43" i="1" s="1"/>
  <c r="C30" i="16"/>
  <c r="C29" i="16"/>
  <c r="C28" i="16"/>
  <c r="C27" i="16"/>
  <c r="I43" i="16" l="1"/>
  <c r="K54" i="1"/>
  <c r="N54" i="1" s="1"/>
  <c r="O56" i="34"/>
  <c r="M56" i="34" s="1"/>
  <c r="L56" i="34" s="1"/>
  <c r="I46" i="16"/>
  <c r="I45" i="16"/>
  <c r="O71" i="16"/>
  <c r="M71" i="16" s="1"/>
  <c r="O71" i="34"/>
  <c r="M71" i="34" s="1"/>
  <c r="L71" i="34" s="1"/>
  <c r="K52" i="1"/>
  <c r="N52" i="1" s="1"/>
  <c r="O54" i="34"/>
  <c r="M54" i="34" s="1"/>
  <c r="L54" i="34" s="1"/>
  <c r="K57" i="1"/>
  <c r="N57" i="1" s="1"/>
  <c r="O59" i="34"/>
  <c r="M59" i="34" s="1"/>
  <c r="L59" i="34" s="1"/>
  <c r="K60" i="1"/>
  <c r="N60" i="1" s="1"/>
  <c r="O62" i="34"/>
  <c r="M62" i="34" s="1"/>
  <c r="L62" i="34" s="1"/>
  <c r="I44" i="16"/>
  <c r="K61" i="1"/>
  <c r="N61" i="1" s="1"/>
  <c r="O63" i="34"/>
  <c r="M63" i="34" s="1"/>
  <c r="L63" i="34" s="1"/>
  <c r="K69" i="1"/>
  <c r="N69" i="1" s="1"/>
  <c r="J68" i="1"/>
  <c r="J67" i="1"/>
  <c r="J66" i="1"/>
  <c r="O68" i="16" s="1"/>
  <c r="M68" i="16" s="1"/>
  <c r="L68" i="16" s="1"/>
  <c r="J65" i="1"/>
  <c r="J64" i="1"/>
  <c r="J63" i="1"/>
  <c r="J62" i="1"/>
  <c r="J58" i="1"/>
  <c r="J55" i="1"/>
  <c r="J53" i="1"/>
  <c r="O56" i="16"/>
  <c r="M56" i="16" s="1"/>
  <c r="L56" i="16" s="1"/>
  <c r="O61" i="16"/>
  <c r="M61" i="16" s="1"/>
  <c r="L61" i="16" s="1"/>
  <c r="O58" i="16"/>
  <c r="M58" i="16" s="1"/>
  <c r="L58" i="16" s="1"/>
  <c r="O62" i="16"/>
  <c r="M62" i="16" s="1"/>
  <c r="L62" i="16" s="1"/>
  <c r="O54" i="16"/>
  <c r="M54" i="16" s="1"/>
  <c r="L54" i="16" s="1"/>
  <c r="O59" i="16"/>
  <c r="M59" i="16" s="1"/>
  <c r="L59" i="16" s="1"/>
  <c r="O63" i="16"/>
  <c r="M63" i="16" s="1"/>
  <c r="L63" i="16" s="1"/>
  <c r="D59" i="15"/>
  <c r="D58" i="15"/>
  <c r="D57" i="15"/>
  <c r="D56" i="15"/>
  <c r="D55" i="15"/>
  <c r="D54" i="15"/>
  <c r="D53" i="15"/>
  <c r="D70" i="15"/>
  <c r="D69" i="15"/>
  <c r="D68" i="15"/>
  <c r="D67" i="15"/>
  <c r="D66" i="15"/>
  <c r="D65" i="15"/>
  <c r="D64" i="15"/>
  <c r="D81" i="15"/>
  <c r="D80" i="15"/>
  <c r="D79" i="15"/>
  <c r="D78" i="15"/>
  <c r="D77" i="15"/>
  <c r="D76" i="15"/>
  <c r="D75" i="15"/>
  <c r="D92" i="15"/>
  <c r="D91" i="15"/>
  <c r="D90" i="15"/>
  <c r="D89" i="15"/>
  <c r="D88" i="15"/>
  <c r="D87" i="15"/>
  <c r="D86" i="15"/>
  <c r="D103" i="15"/>
  <c r="D102" i="15"/>
  <c r="D101" i="15"/>
  <c r="D100" i="15"/>
  <c r="D99" i="15"/>
  <c r="D98" i="15"/>
  <c r="D97" i="15"/>
  <c r="D37" i="15"/>
  <c r="D36" i="15"/>
  <c r="D35" i="15"/>
  <c r="D34" i="15"/>
  <c r="D33" i="15"/>
  <c r="D32" i="15"/>
  <c r="D31" i="15"/>
  <c r="K28" i="1"/>
  <c r="K25" i="1"/>
  <c r="N25" i="1" s="1"/>
  <c r="C27" i="1"/>
  <c r="C28" i="1"/>
  <c r="C25" i="1"/>
  <c r="D12" i="1"/>
  <c r="K62" i="1" l="1"/>
  <c r="N62" i="1" s="1"/>
  <c r="O64" i="34"/>
  <c r="M64" i="34" s="1"/>
  <c r="L64" i="34" s="1"/>
  <c r="K66" i="1"/>
  <c r="N66" i="1" s="1"/>
  <c r="O68" i="34"/>
  <c r="M68" i="34" s="1"/>
  <c r="L68" i="34" s="1"/>
  <c r="K58" i="1"/>
  <c r="N58" i="1" s="1"/>
  <c r="O60" i="34"/>
  <c r="M60" i="34" s="1"/>
  <c r="L60" i="34" s="1"/>
  <c r="K63" i="1"/>
  <c r="N63" i="1" s="1"/>
  <c r="O65" i="34"/>
  <c r="M65" i="34" s="1"/>
  <c r="L65" i="34" s="1"/>
  <c r="K64" i="1"/>
  <c r="N64" i="1" s="1"/>
  <c r="O66" i="34"/>
  <c r="M66" i="34" s="1"/>
  <c r="L66" i="34" s="1"/>
  <c r="K43" i="1"/>
  <c r="N43" i="1" s="1"/>
  <c r="O45" i="34"/>
  <c r="M45" i="34" s="1"/>
  <c r="L45" i="34" s="1"/>
  <c r="K65" i="1"/>
  <c r="N65" i="1" s="1"/>
  <c r="O67" i="34"/>
  <c r="M67" i="34" s="1"/>
  <c r="L67" i="34" s="1"/>
  <c r="K53" i="1"/>
  <c r="N53" i="1" s="1"/>
  <c r="O55" i="34"/>
  <c r="M55" i="34" s="1"/>
  <c r="L55" i="34" s="1"/>
  <c r="K67" i="1"/>
  <c r="N67" i="1" s="1"/>
  <c r="O69" i="34"/>
  <c r="M69" i="34" s="1"/>
  <c r="L69" i="34" s="1"/>
  <c r="K55" i="1"/>
  <c r="N55" i="1" s="1"/>
  <c r="O57" i="34"/>
  <c r="M57" i="34" s="1"/>
  <c r="L57" i="34" s="1"/>
  <c r="K68" i="1"/>
  <c r="N68" i="1" s="1"/>
  <c r="O70" i="34"/>
  <c r="M70" i="34" s="1"/>
  <c r="L70" i="34" s="1"/>
  <c r="L53" i="16"/>
  <c r="L71" i="16"/>
  <c r="O70" i="16"/>
  <c r="M70" i="16" s="1"/>
  <c r="L70" i="16" s="1"/>
  <c r="O69" i="16"/>
  <c r="M69" i="16" s="1"/>
  <c r="L69" i="16" s="1"/>
  <c r="O64" i="16"/>
  <c r="M64" i="16" s="1"/>
  <c r="L64" i="16" s="1"/>
  <c r="O67" i="16"/>
  <c r="M67" i="16" s="1"/>
  <c r="L67" i="16" s="1"/>
  <c r="O66" i="16"/>
  <c r="M66" i="16" s="1"/>
  <c r="L66" i="16" s="1"/>
  <c r="O60" i="16"/>
  <c r="M60" i="16" s="1"/>
  <c r="L60" i="16" s="1"/>
  <c r="O65" i="16"/>
  <c r="M65" i="16" s="1"/>
  <c r="L65" i="16" s="1"/>
  <c r="O55" i="16"/>
  <c r="M55" i="16" s="1"/>
  <c r="L55" i="16" s="1"/>
  <c r="O57" i="16"/>
  <c r="M57" i="16" s="1"/>
  <c r="L57" i="16" s="1"/>
  <c r="K30" i="16"/>
  <c r="K27" i="16"/>
  <c r="O45" i="16"/>
  <c r="M45" i="16" s="1"/>
  <c r="L45" i="16" s="1"/>
  <c r="R27" i="8" l="1"/>
  <c r="R25" i="8"/>
  <c r="R24" i="8"/>
  <c r="R23" i="8"/>
  <c r="R12" i="8"/>
  <c r="R10" i="8"/>
  <c r="R9" i="8"/>
  <c r="R8" i="8"/>
  <c r="T8" i="8" s="1"/>
  <c r="T24" i="8" l="1"/>
  <c r="T9" i="8"/>
  <c r="E26" i="8" l="1"/>
  <c r="E12" i="8" l="1"/>
  <c r="AC9" i="8"/>
  <c r="AB9" i="8"/>
  <c r="AB11" i="8"/>
  <c r="AC11" i="8"/>
  <c r="AD11" i="8"/>
  <c r="AE11" i="8"/>
  <c r="AB12" i="8"/>
  <c r="AC12" i="8"/>
  <c r="AD12" i="8"/>
  <c r="AE12" i="8"/>
  <c r="AB13" i="8"/>
  <c r="AC13" i="8"/>
  <c r="AD13" i="8"/>
  <c r="AE13" i="8"/>
  <c r="AB14" i="8"/>
  <c r="AC14" i="8"/>
  <c r="AD14" i="8"/>
  <c r="AE14" i="8"/>
  <c r="AB15" i="8"/>
  <c r="AC15" i="8"/>
  <c r="AD15" i="8"/>
  <c r="AE15" i="8"/>
  <c r="AB16" i="8"/>
  <c r="AC16" i="8"/>
  <c r="AD16" i="8"/>
  <c r="AE16" i="8"/>
  <c r="AA11" i="8"/>
  <c r="AA12" i="8"/>
  <c r="AA13" i="8"/>
  <c r="AA15" i="8"/>
  <c r="AA16" i="8"/>
  <c r="D26" i="15"/>
  <c r="D25" i="15"/>
  <c r="D24" i="15"/>
  <c r="D23" i="15"/>
  <c r="D22" i="15"/>
  <c r="D21" i="15"/>
  <c r="D20" i="15"/>
  <c r="T23" i="8"/>
  <c r="K26" i="1"/>
  <c r="N26" i="1" s="1"/>
  <c r="K27" i="1" l="1"/>
  <c r="W24" i="8"/>
  <c r="W9" i="8"/>
  <c r="W23" i="8"/>
  <c r="W8" i="8"/>
  <c r="G12" i="8"/>
  <c r="T28" i="8"/>
  <c r="T13" i="8"/>
  <c r="G27" i="8"/>
  <c r="G13" i="8"/>
  <c r="D9" i="1"/>
  <c r="E10" i="16" l="1"/>
  <c r="E10" i="34"/>
  <c r="K29" i="16"/>
  <c r="T27" i="8"/>
  <c r="T12" i="8"/>
  <c r="G26" i="8"/>
  <c r="Y8" i="8"/>
  <c r="X8" i="8"/>
  <c r="X23" i="8"/>
  <c r="Y23" i="8"/>
  <c r="Y24" i="8"/>
  <c r="X24" i="8"/>
  <c r="Y9" i="8"/>
  <c r="X9" i="8"/>
  <c r="T25" i="8" l="1"/>
  <c r="W25" i="8" s="1"/>
  <c r="X25" i="8" s="1"/>
  <c r="T26" i="8"/>
  <c r="W26" i="8" s="1"/>
  <c r="Y26" i="8" s="1"/>
  <c r="J50" i="1" l="1"/>
  <c r="O52" i="34" s="1"/>
  <c r="M52" i="34" s="1"/>
  <c r="L52" i="34" s="1"/>
  <c r="Y25" i="8"/>
  <c r="X26" i="8"/>
  <c r="W27" i="8"/>
  <c r="W28" i="8"/>
  <c r="K50" i="1" l="1"/>
  <c r="N50" i="1" s="1"/>
  <c r="M50" i="1" s="1"/>
  <c r="X28" i="8"/>
  <c r="Y28" i="8"/>
  <c r="Y27" i="8"/>
  <c r="X27" i="8"/>
  <c r="O52" i="16" l="1"/>
  <c r="M52" i="16" s="1"/>
  <c r="L52" i="16" s="1"/>
  <c r="Y30" i="8"/>
  <c r="X30" i="8"/>
  <c r="X31" i="8" s="1"/>
  <c r="X32" i="8" l="1"/>
  <c r="X33" i="8" s="1"/>
  <c r="X34" i="8" s="1"/>
  <c r="J45" i="1" l="1"/>
  <c r="O47" i="34" s="1"/>
  <c r="M47" i="34" s="1"/>
  <c r="L47" i="34" s="1"/>
  <c r="X35" i="8"/>
  <c r="O47" i="16" l="1"/>
  <c r="M47" i="16" s="1"/>
  <c r="L47" i="16" s="1"/>
  <c r="K45" i="1"/>
  <c r="N45" i="1" s="1"/>
  <c r="D90" i="1" l="1"/>
  <c r="D21" i="1"/>
  <c r="E22" i="16" s="1"/>
  <c r="D20" i="1"/>
  <c r="E21" i="16" s="1"/>
  <c r="D10" i="1"/>
  <c r="D11" i="1"/>
  <c r="D6" i="1"/>
  <c r="E6" i="16" s="1"/>
  <c r="D5" i="1"/>
  <c r="E5" i="16" s="1"/>
  <c r="E4" i="16"/>
  <c r="E8" i="8"/>
  <c r="E9" i="8"/>
  <c r="F90" i="1"/>
  <c r="B87" i="1"/>
  <c r="B90" i="16" s="1"/>
  <c r="E24" i="8"/>
  <c r="E23" i="8"/>
  <c r="E22" i="8"/>
  <c r="E10" i="8"/>
  <c r="E12" i="16" l="1"/>
  <c r="E12" i="34"/>
  <c r="E11" i="16"/>
  <c r="E11" i="34"/>
  <c r="G9" i="8"/>
  <c r="J9" i="8" s="1"/>
  <c r="L9" i="8" s="1"/>
  <c r="G23" i="8"/>
  <c r="J23" i="8" s="1"/>
  <c r="L23" i="8" s="1"/>
  <c r="J8" i="8"/>
  <c r="L8" i="8" s="1"/>
  <c r="G22" i="8"/>
  <c r="J22" i="8" s="1"/>
  <c r="K23" i="8" l="1"/>
  <c r="K9" i="8"/>
  <c r="K8" i="8"/>
  <c r="T11" i="8"/>
  <c r="W11" i="8" s="1"/>
  <c r="K22" i="8"/>
  <c r="L22" i="8"/>
  <c r="G11" i="8" l="1"/>
  <c r="J11" i="8" s="1"/>
  <c r="K11" i="8" s="1"/>
  <c r="G25" i="8"/>
  <c r="J25" i="8" s="1"/>
  <c r="K25" i="8" s="1"/>
  <c r="Y11" i="8"/>
  <c r="X11" i="8"/>
  <c r="G10" i="8"/>
  <c r="J10" i="8" s="1"/>
  <c r="K10" i="8" s="1"/>
  <c r="G24" i="8"/>
  <c r="J24" i="8" s="1"/>
  <c r="L25" i="8" l="1"/>
  <c r="L11" i="8"/>
  <c r="T10" i="8"/>
  <c r="W10" i="8" s="1"/>
  <c r="L10" i="8"/>
  <c r="K24" i="8"/>
  <c r="L24" i="8"/>
  <c r="J12" i="8" l="1"/>
  <c r="J13" i="8"/>
  <c r="Y10" i="8"/>
  <c r="X10" i="8"/>
  <c r="J26" i="8"/>
  <c r="J27" i="8"/>
  <c r="W13" i="8"/>
  <c r="W12" i="8"/>
  <c r="X13" i="8" l="1"/>
  <c r="Y13" i="8"/>
  <c r="K26" i="8"/>
  <c r="L26" i="8"/>
  <c r="K13" i="8"/>
  <c r="L13" i="8"/>
  <c r="Y12" i="8"/>
  <c r="X12" i="8"/>
  <c r="K27" i="8"/>
  <c r="L27" i="8"/>
  <c r="K12" i="8"/>
  <c r="L12" i="8"/>
  <c r="K14" i="8" l="1"/>
  <c r="K15" i="8" s="1"/>
  <c r="L14" i="8"/>
  <c r="Y15" i="8"/>
  <c r="K28" i="8"/>
  <c r="X15" i="8"/>
  <c r="L28" i="8"/>
  <c r="K16" i="8" l="1"/>
  <c r="K29" i="8"/>
  <c r="K17" i="8" l="1"/>
  <c r="K18" i="8" s="1"/>
  <c r="K19" i="8" s="1"/>
  <c r="J41" i="1" s="1"/>
  <c r="O43" i="16" s="1"/>
  <c r="M43" i="16" s="1"/>
  <c r="K30" i="8"/>
  <c r="K31" i="8" s="1"/>
  <c r="K41" i="1" l="1"/>
  <c r="N41" i="1" s="1"/>
  <c r="O43" i="34"/>
  <c r="M43" i="34" s="1"/>
  <c r="L43" i="34" s="1"/>
  <c r="L43" i="16"/>
  <c r="K32" i="8"/>
  <c r="K33" i="8" l="1"/>
  <c r="J42" i="1" s="1"/>
  <c r="X16" i="8"/>
  <c r="K42" i="1" l="1"/>
  <c r="N42" i="1" s="1"/>
  <c r="O44" i="34"/>
  <c r="M44" i="34" s="1"/>
  <c r="L44" i="34" s="1"/>
  <c r="X17" i="8"/>
  <c r="X18" i="8" s="1"/>
  <c r="X19" i="8" s="1"/>
  <c r="X20" i="8" s="1"/>
  <c r="J44" i="1" s="1"/>
  <c r="K44" i="1" l="1"/>
  <c r="N44" i="1" s="1"/>
  <c r="M41" i="1" s="1"/>
  <c r="M70" i="1" s="1"/>
  <c r="O46" i="34"/>
  <c r="M46" i="34" s="1"/>
  <c r="L46" i="34" s="1"/>
  <c r="O44" i="16"/>
  <c r="O46" i="16"/>
  <c r="M46" i="16" s="1"/>
  <c r="L46" i="16" s="1"/>
  <c r="N28" i="1"/>
  <c r="P19" i="1"/>
  <c r="P27" i="1" s="1"/>
  <c r="M44" i="16" l="1"/>
  <c r="L44" i="16" s="1"/>
  <c r="N27" i="1"/>
  <c r="V19" i="1"/>
  <c r="B77" i="9" s="1"/>
  <c r="B75" i="1" s="1"/>
  <c r="Q27" i="1"/>
  <c r="B78" i="16" l="1"/>
  <c r="B78" i="34"/>
  <c r="M25" i="1"/>
  <c r="J88" i="1" s="1"/>
  <c r="H1" i="33" s="1"/>
  <c r="B103" i="1" l="1"/>
  <c r="B85" i="9" s="1"/>
  <c r="AA14" i="8" s="1"/>
  <c r="B99" i="1"/>
  <c r="H2" i="9"/>
  <c r="A2" i="1" s="1"/>
  <c r="A2" i="16" s="1"/>
  <c r="B84" i="1" l="1"/>
  <c r="B86" i="16" s="1"/>
  <c r="A2" i="34"/>
  <c r="B86" i="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C3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J28" authorId="0" shapeId="0" xr:uid="{00000000-0006-0000-0100-000001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275B9C3C-19A1-4E26-8BD6-801D3690E5FD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<sst xmlns="http://schemas.openxmlformats.org/spreadsheetml/2006/main" count="3712" uniqueCount="491">
  <si>
    <t>No.</t>
  </si>
  <si>
    <t>Tanggal</t>
  </si>
  <si>
    <t>Revisi</t>
  </si>
  <si>
    <t>Oleh</t>
  </si>
  <si>
    <t>Awal</t>
  </si>
  <si>
    <t>Akhir</t>
  </si>
  <si>
    <t>Perbaikan rumus koreksi relatif</t>
  </si>
  <si>
    <t>DONE</t>
  </si>
  <si>
    <t>Venna</t>
  </si>
  <si>
    <t>17 Oktober 2021</t>
  </si>
  <si>
    <t>Penambahan kolom tanggal penerimaan alat</t>
  </si>
  <si>
    <t>Done</t>
  </si>
  <si>
    <t>Arya</t>
  </si>
  <si>
    <t>Penulisan tegangan beserta ktps</t>
  </si>
  <si>
    <t>Update scoring keselamatan listrik &amp; uji kinerja</t>
  </si>
  <si>
    <t>28.1.2022</t>
  </si>
  <si>
    <t>-</t>
  </si>
  <si>
    <t>Penambahan gelar pa huda</t>
  </si>
  <si>
    <t>4.2.2022</t>
  </si>
  <si>
    <t>Rumus Koreksi</t>
  </si>
  <si>
    <t>Perbaikan rumus koreksi</t>
  </si>
  <si>
    <t>13.7.2022</t>
  </si>
  <si>
    <t>Update sertifikat</t>
  </si>
  <si>
    <t>Rev 5: 13.7.2022</t>
  </si>
  <si>
    <t>LEMBAR KERJA KALIBRASI ELEKTROENCEPHALOGRAPH</t>
  </si>
  <si>
    <t>Merek</t>
  </si>
  <si>
    <t>:</t>
  </si>
  <si>
    <t>................................................................</t>
  </si>
  <si>
    <t>Model/Tipe</t>
  </si>
  <si>
    <t>No. Seri</t>
  </si>
  <si>
    <t>Resolusi</t>
  </si>
  <si>
    <r>
      <t>............. Hz……………...</t>
    </r>
    <r>
      <rPr>
        <sz val="11"/>
        <rFont val="Calibri"/>
        <family val="2"/>
      </rPr>
      <t>µv</t>
    </r>
  </si>
  <si>
    <t>Tanggal Penerimaan Alat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</si>
  <si>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</si>
  <si>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</si>
  <si>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</si>
  <si>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</si>
  <si>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</si>
  <si>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</si>
  <si>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</si>
  <si>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</si>
  <si>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</si>
  <si>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</si>
  <si>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</si>
  <si>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</si>
  <si>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</si>
  <si>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</si>
  <si>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</si>
  <si>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</si>
  <si>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</si>
  <si>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</si>
  <si>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</si>
  <si>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</si>
  <si>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</si>
  <si>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</si>
  <si>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</si>
  <si>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</si>
  <si>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</si>
  <si>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</si>
  <si>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</si>
  <si>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</si>
  <si>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Resistensi Pembumian Protektif (kabel dapat dilepas)*</t>
  </si>
  <si>
    <t>Ω</t>
  </si>
  <si>
    <t xml:space="preserve">≤ 0.2 </t>
  </si>
  <si>
    <t>Resistensi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</si>
  <si>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</si>
  <si>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</si>
  <si>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</si>
  <si>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</si>
  <si>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</si>
  <si>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</si>
  <si>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</si>
  <si>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</si>
  <si>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 / **</t>
  </si>
  <si>
    <t>pilih salah satu</t>
  </si>
  <si>
    <t>IV.</t>
  </si>
  <si>
    <t>Pengujian Kinerja</t>
  </si>
  <si>
    <t>a. Kualitas Elektroda</t>
  </si>
  <si>
    <t xml:space="preserve"> </t>
  </si>
  <si>
    <t>Setting Alat</t>
  </si>
  <si>
    <t>Hasil Pengamatan
(coret salah satu)</t>
  </si>
  <si>
    <t>Toleransi</t>
  </si>
  <si>
    <t>Impedansi</t>
  </si>
  <si>
    <r>
      <t>Threshold 
≤ ….. K</t>
    </r>
    <r>
      <rPr>
        <sz val="12"/>
        <rFont val="Calibri"/>
        <family val="2"/>
      </rPr>
      <t>Ω</t>
    </r>
  </si>
  <si>
    <t>Baik / Tidak baik</t>
  </si>
  <si>
    <t>nilai impedansi antar elektrode mendekati sama (nilai 0,..)</t>
  </si>
  <si>
    <t>Noise</t>
  </si>
  <si>
    <t>nilai impedansi antar elektrode mendekati sama</t>
  </si>
  <si>
    <t>Kalibrasi Internal Amplitudo</t>
  </si>
  <si>
    <t>50 µv</t>
  </si>
  <si>
    <t>± 10  %</t>
  </si>
  <si>
    <t>b. Kalibrasi Frekuensi</t>
  </si>
  <si>
    <t>Set Standar
(Sinusoida)</t>
  </si>
  <si>
    <t xml:space="preserve">Setting Montage Alat </t>
  </si>
  <si>
    <t>Hasil Pengukuran (Hz)</t>
  </si>
  <si>
    <t>I</t>
  </si>
  <si>
    <t>II</t>
  </si>
  <si>
    <t>III</t>
  </si>
  <si>
    <t>IV</t>
  </si>
  <si>
    <t>V</t>
  </si>
  <si>
    <t>Frekuensi (Hz)</t>
  </si>
  <si>
    <t>100 µv, 0.1 Hz</t>
  </si>
  <si>
    <t>100 µv, 2 Hz</t>
  </si>
  <si>
    <t>100 µv, 5 Hz</t>
  </si>
  <si>
    <t>100 µv, 50 Hz</t>
  </si>
  <si>
    <t>100 µv, 60 Hz</t>
  </si>
  <si>
    <t>c. Kalibrasi Amplitudo</t>
  </si>
  <si>
    <t>Set Standar
(Square)</t>
  </si>
  <si>
    <t>Setting Montage Alat</t>
  </si>
  <si>
    <t>Hasil Pengukuran (µV)</t>
  </si>
  <si>
    <t>Amplitudo (µv)</t>
  </si>
  <si>
    <t>10 µv, 5 Hz</t>
  </si>
  <si>
    <t>Fp2 (+) &amp; Fp1 (-)</t>
  </si>
  <si>
    <t>30 µv, 5 Hz</t>
  </si>
  <si>
    <t>50 µv, 5 Hz</t>
  </si>
  <si>
    <t>F8 (+) &amp; F7 (-)</t>
  </si>
  <si>
    <t>T4 (+) &amp; T3 (-)</t>
  </si>
  <si>
    <t>T6 (+) &amp; T5 (-)</t>
  </si>
  <si>
    <t>O2 (+) &amp; O1 (-)</t>
  </si>
  <si>
    <t>**  Pada pengujian kinerja amplitudo, jumlah titik pengukuran harus lebih / sama dengan tiga (HIJAU)</t>
  </si>
  <si>
    <t>*** Pada pengujian kinerja frekuensi, jumlah titik pengukuran harus lebih / sama dengan empat dan seluruh parameter kinerja masuk dalam batas toleransi (HIJAU)</t>
  </si>
  <si>
    <t>VIII.</t>
  </si>
  <si>
    <t>Keterangan  :</t>
  </si>
  <si>
    <t>.........................................................................................................................................................................................................</t>
  </si>
  <si>
    <t>IX.</t>
  </si>
  <si>
    <t>Alat Yang Digunakan :</t>
  </si>
  <si>
    <t>□</t>
  </si>
  <si>
    <t>EEG Simulator_Merek : NETECH_Model : 330_SN : 31487 / 31488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</si>
  <si>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</si>
  <si>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</si>
  <si>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</si>
  <si>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</si>
  <si>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</si>
  <si>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</si>
  <si>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X.</t>
  </si>
  <si>
    <t>Petugas Kalibrasi</t>
  </si>
  <si>
    <t>..........................................</t>
  </si>
  <si>
    <t>INPUT DATA KALIBRASI ELEKTROENCEPHALOGRAPH</t>
  </si>
  <si>
    <t>1 / VIII - 22 / E - 008.27 DL</t>
  </si>
  <si>
    <t>NIHON KOHDEN</t>
  </si>
  <si>
    <t>NEUROFAX</t>
  </si>
  <si>
    <t>20827</t>
  </si>
  <si>
    <t xml:space="preserve">Resolusi </t>
  </si>
  <si>
    <t>Hz</t>
  </si>
  <si>
    <t>µv</t>
  </si>
  <si>
    <t>Tanggal Kalibrasi</t>
  </si>
  <si>
    <t>Tempat Kalibrasi</t>
  </si>
  <si>
    <t>Ruang EEG</t>
  </si>
  <si>
    <t>Metode Kerja</t>
  </si>
  <si>
    <t>MK 021-18</t>
  </si>
  <si>
    <t>Pembacaan Standar</t>
  </si>
  <si>
    <t>Baik</t>
  </si>
  <si>
    <t xml:space="preserve"> Ambang Batas </t>
  </si>
  <si>
    <t>≤ 0.2</t>
  </si>
  <si>
    <t>Resistensi Pembumian Protektif (kabel dapat dilepas)</t>
  </si>
  <si>
    <t>Yang Diijinkan</t>
  </si>
  <si>
    <t>Resistensi Pembumian Protektif (kabel tidak dapat dilepas)</t>
  </si>
  <si>
    <t>Resistensi Isolasi</t>
  </si>
  <si>
    <t>OL</t>
  </si>
  <si>
    <t>G</t>
  </si>
  <si>
    <t>Arus bocor peralatan untuk peralatan elektromedik kelas I</t>
  </si>
  <si>
    <t>Resistansi Pembumian Protektif (kabel dapat dilepas)</t>
  </si>
  <si>
    <t>Arus bocor peralatan untuk peralatan elektromedik kelas II</t>
  </si>
  <si>
    <t>Kelas I</t>
  </si>
  <si>
    <t>Input NC</t>
  </si>
  <si>
    <t>Hasil Pengamatan</t>
  </si>
  <si>
    <t xml:space="preserve">
</t>
  </si>
  <si>
    <t>Threshold</t>
  </si>
  <si>
    <t>Tidak Baik</t>
  </si>
  <si>
    <t>Amplitudo</t>
  </si>
  <si>
    <t>Rata - rata</t>
  </si>
  <si>
    <t>Rata - Rata Terkoreksi</t>
  </si>
  <si>
    <t>STDEV</t>
  </si>
  <si>
    <t xml:space="preserve"> Pembacaan Pada Standar (T)</t>
  </si>
  <si>
    <t>Fp2 - Fp1</t>
  </si>
  <si>
    <t>F8 - F7</t>
  </si>
  <si>
    <t>T4 - T3</t>
  </si>
  <si>
    <t>T6 - T5</t>
  </si>
  <si>
    <t>O2 - O1</t>
  </si>
  <si>
    <t>V.</t>
  </si>
  <si>
    <t xml:space="preserve">Keterangan </t>
  </si>
  <si>
    <t>Ketidakpastian pengukuran dilaporkan pada tingkat kepercayaan 95 % dengan faktor cakupan k = 2</t>
  </si>
  <si>
    <t>2. Hasil pengukuran keselamatan listrik tertelusur ke Satuan Internasional (SI) melalui PT. KALIMAN (LK-032-IDN)</t>
  </si>
  <si>
    <t>2. Hasil pengukuran keselamatan listrik tertelusur ke Satuan Internasional (SI) melalui CALTEK PTE LTD (LA-2003-0292-C)</t>
  </si>
  <si>
    <t>Hasil kalibrasi Frekuensi dan Amplitudo tertelusur ke Satuan Internasional melalui CALTEK PTE LTD</t>
  </si>
  <si>
    <t>Tidak terdapat grounding</t>
  </si>
  <si>
    <t>VI.</t>
  </si>
  <si>
    <t>Alat Yang Digunakan</t>
  </si>
  <si>
    <t>EEG Simulator, Merek : NETECH, Model : 330, SN : 31488</t>
  </si>
  <si>
    <t>Electrical Safety Analyzer, Merek : Fluke, Model : ESA 615, SN : 4670010</t>
  </si>
  <si>
    <t>Thermohygrobarometer, Merek : EXTECH, Model : SD700, SN : A.100615</t>
  </si>
  <si>
    <t>VII.</t>
  </si>
  <si>
    <t>Kesimpulan</t>
  </si>
  <si>
    <t>Gusti Arya Dinata</t>
  </si>
  <si>
    <t>Tanggal Pembuatan Laporan</t>
  </si>
  <si>
    <t>7/8/2022</t>
  </si>
  <si>
    <t>Nomor Sertifikat : 20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</si>
  <si>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</si>
  <si>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20 /</t>
  </si>
  <si>
    <t>Alat yang dikalibrasi melebihi batas toleransi dan dinyatakan TIDAK LAIK PAKAI, dimana hasil atau skor akhir dibawah 70 % berdasarkan Keputusan Direktur Jenderal Pelayanan Kesehatan No : HK.02.02/V/0412/2020</t>
  </si>
  <si>
    <t>LOOKUP(A2,M103:M104,N103:N104)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</si>
  <si>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</si>
  <si>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</si>
  <si>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</si>
  <si>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</si>
  <si>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</si>
  <si>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</si>
  <si>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</si>
  <si>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</si>
  <si>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</si>
  <si>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</si>
  <si>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</si>
  <si>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</si>
  <si>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</si>
  <si>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</si>
  <si>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</si>
  <si>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</si>
  <si>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</si>
  <si>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</si>
  <si>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</si>
  <si>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</si>
  <si>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</si>
  <si>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</si>
  <si>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</si>
  <si>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KL.UB - 021-18 / REV : 0</t>
  </si>
  <si>
    <t>UNCERTAINTY BUDGET</t>
  </si>
  <si>
    <t>FREKUENSI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</si>
  <si>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</si>
  <si>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</si>
  <si>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</si>
  <si>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</si>
  <si>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</si>
  <si>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</si>
  <si>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</si>
  <si>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</si>
  <si>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</si>
  <si>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</si>
  <si>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</si>
  <si>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</si>
  <si>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</si>
  <si>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U95    STD</t>
  </si>
  <si>
    <t xml:space="preserve">1. Repeatability </t>
  </si>
  <si>
    <t>normal</t>
  </si>
  <si>
    <t>Setting Panjang</t>
  </si>
  <si>
    <t>Tahun</t>
  </si>
  <si>
    <t>Frekuensi</t>
  </si>
  <si>
    <t xml:space="preserve">2. Daya baca </t>
  </si>
  <si>
    <t>rect.</t>
  </si>
  <si>
    <t>( mm )</t>
  </si>
  <si>
    <t>Correction</t>
  </si>
  <si>
    <t>Drift</t>
  </si>
  <si>
    <t>U95</t>
  </si>
  <si>
    <t>Rata2 Terkoreksi</t>
  </si>
  <si>
    <t>3. Drift standar Caliper</t>
  </si>
  <si>
    <t>4. Sertifikat Caliper</t>
  </si>
  <si>
    <t>4. Drift standar EEG Sim</t>
  </si>
  <si>
    <t>5. Sertifikat EEG Sim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</si>
  <si>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</si>
  <si>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</si>
  <si>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</si>
  <si>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</si>
  <si>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</si>
  <si>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FP1-FP2</t>
  </si>
  <si>
    <t>Faktor cakupan</t>
  </si>
  <si>
    <t>k</t>
  </si>
  <si>
    <t>Ketidakpastian bentangan, U = k.Uc</t>
  </si>
  <si>
    <t>U = k. Uc</t>
  </si>
  <si>
    <t>%</t>
  </si>
  <si>
    <t>F8-F7</t>
  </si>
  <si>
    <t>AMPLITUDO</t>
  </si>
  <si>
    <t>FP2 - FP1</t>
  </si>
  <si>
    <t>Resistance</t>
  </si>
  <si>
    <t>Main-PE</t>
  </si>
  <si>
    <t>HASIL KALIBRASI ELEKTROENCEPHALOGRAPH</t>
  </si>
  <si>
    <t xml:space="preserve">2. Kelembaban </t>
  </si>
  <si>
    <t>Score (%)</t>
  </si>
  <si>
    <t>Terkoreksi</t>
  </si>
  <si>
    <t>Tidak terdapat grounding di ruangan</t>
  </si>
  <si>
    <t>Alat tidak boleh digunakan pada instalasi tanpa dilengkapi grounding</t>
  </si>
  <si>
    <t xml:space="preserve"> Ambang Batas Yang Diijinkan</t>
  </si>
  <si>
    <t>Resistansi pembumian protektif</t>
  </si>
  <si>
    <t>TOLERANSI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</si>
  <si>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</si>
  <si>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</si>
  <si>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</si>
  <si>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</si>
  <si>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</si>
  <si>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</si>
  <si>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Setting Standar</t>
  </si>
  <si>
    <t>Koreksi
(Hz)</t>
  </si>
  <si>
    <t>Koreksi Relatif 
(%)</t>
  </si>
  <si>
    <t>Toleransi
(%)</t>
  </si>
  <si>
    <t>Ketidakpastian Pengukuran (%)</t>
  </si>
  <si>
    <t>[ |C|+|U| ] (%)</t>
  </si>
  <si>
    <t>Koreksi
(µV)</t>
  </si>
  <si>
    <t/>
  </si>
  <si>
    <t>TOTAL SKOR</t>
  </si>
  <si>
    <t xml:space="preserve">Nama </t>
  </si>
  <si>
    <t>Paraf</t>
  </si>
  <si>
    <t>Dibuat Oleh :</t>
  </si>
  <si>
    <t>Diperiksa :</t>
  </si>
  <si>
    <t>Nomor Surat Keterangan : 20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</si>
  <si>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</si>
  <si>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</si>
  <si>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</si>
  <si>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</si>
  <si>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</si>
  <si>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</si>
  <si>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</si>
  <si>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</si>
  <si>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</si>
  <si>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Pemeriksaan Kondisi Fisik dan Fungsi Komponen Alat</t>
  </si>
  <si>
    <t xml:space="preserve">Pengukuran Keselamatan Listrik </t>
  </si>
  <si>
    <t>Ketidakpastian Pengukuran 
(%)</t>
  </si>
  <si>
    <t>Halaman 2 dari 3 halaman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</si>
  <si>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</si>
  <si>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</si>
  <si>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</si>
  <si>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</si>
  <si>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</si>
  <si>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</si>
  <si>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</si>
  <si>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3 dari 3 halaman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</si>
  <si>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</si>
  <si>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</si>
  <si>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</si>
  <si>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</si>
  <si>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</si>
  <si>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</si>
  <si>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</si>
  <si>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</si>
  <si>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</si>
  <si>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</si>
  <si>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</si>
  <si>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</si>
  <si>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</si>
  <si>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</si>
  <si>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</si>
  <si>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</si>
  <si>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</si>
  <si>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</si>
  <si>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</si>
  <si>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</si>
  <si>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</si>
  <si>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</si>
  <si>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</si>
  <si>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</si>
  <si>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</si>
  <si>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</si>
  <si>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</si>
  <si>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</si>
  <si>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</si>
  <si>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</si>
  <si>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</si>
  <si>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</si>
  <si>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</si>
  <si>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</si>
  <si>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</si>
  <si>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</si>
  <si>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</si>
  <si>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</si>
  <si>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</si>
  <si>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</si>
  <si>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</si>
  <si>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</si>
  <si>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</si>
  <si>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</si>
  <si>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</si>
  <si>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</si>
  <si>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</si>
  <si>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</si>
  <si>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</si>
  <si>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</si>
  <si>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</si>
  <si>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</si>
  <si>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</si>
  <si>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</si>
  <si>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</si>
  <si>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</si>
  <si>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</si>
  <si>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</si>
  <si>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</si>
  <si>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</si>
  <si>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</si>
  <si>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</si>
  <si>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</si>
  <si>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</si>
  <si>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</si>
  <si>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</si>
  <si>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</si>
  <si>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</si>
  <si>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</si>
  <si>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</si>
  <si>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</si>
  <si>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</si>
  <si>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</si>
  <si>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</si>
  <si>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</si>
  <si>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</si>
  <si>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</si>
  <si>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</si>
  <si>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</si>
  <si>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</si>
  <si>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</si>
  <si>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</si>
  <si>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</si>
  <si>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</si>
  <si>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</si>
  <si>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</si>
  <si>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</si>
  <si>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</si>
  <si>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</si>
  <si>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</si>
  <si>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</si>
  <si>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</si>
  <si>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</si>
  <si>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</si>
  <si>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</si>
  <si>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</si>
  <si>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</si>
  <si>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</si>
  <si>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</si>
  <si>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</si>
  <si>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</si>
  <si>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</si>
  <si>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</si>
  <si>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</si>
  <si>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</si>
  <si>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EEG Simulator</t>
  </si>
  <si>
    <t xml:space="preserve"> KOREKSI EEG SIMULATOR</t>
  </si>
  <si>
    <t>Setting Frekuensi</t>
  </si>
  <si>
    <t>Setting Sine</t>
  </si>
  <si>
    <t>( Hz )</t>
  </si>
  <si>
    <t>Digital Caliper</t>
  </si>
  <si>
    <t>CD-6"PSX (11011858)</t>
  </si>
  <si>
    <t>CD-6"PSX (11015608)</t>
  </si>
  <si>
    <t>CD-6"CSX (07414369) ***</t>
  </si>
  <si>
    <t>CD-6"CSX (07414785) ***</t>
  </si>
  <si>
    <t>CD-6"CSX (07414362) ***</t>
  </si>
  <si>
    <t>CD-6"CSX (07414353) ***</t>
  </si>
  <si>
    <t>KOSONG</t>
  </si>
  <si>
    <t>Koreksi Arus bocor Applied Part</t>
  </si>
  <si>
    <t>±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</si>
  <si>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</si>
  <si>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</si>
  <si>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</si>
  <si>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</si>
  <si>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</si>
  <si>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</si>
  <si>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</si>
  <si>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</si>
  <si>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</si>
  <si>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</si>
  <si>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 xml:space="preserve">Nama Ruang 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</si>
  <si>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</si>
  <si>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</si>
  <si>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</si>
  <si>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</si>
  <si>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</si>
  <si>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</si>
  <si>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</si>
  <si>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</si>
  <si>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</si>
  <si>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</si>
  <si>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</si>
  <si>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</si>
  <si>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</si>
  <si>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</si>
  <si>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</si>
  <si>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</si>
  <si>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</si>
  <si>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</si>
  <si>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</si>
  <si>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</si>
  <si>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</si>
  <si>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Resolusi Frekuensi</t>
  </si>
  <si>
    <t>Resolusi Amplitudo</t>
  </si>
  <si>
    <t>EEG</t>
  </si>
  <si>
    <t>2 Agustus 2022</t>
  </si>
  <si>
    <t xml:space="preserve">Nomor Sertifikat / No. Surat Keterangan :  20 / ......  / ...... - ….. / E - ........ </t>
  </si>
  <si>
    <t>SERTIFIKAT</t>
  </si>
  <si>
    <t>SINE WAVE (µv)</t>
  </si>
  <si>
    <t>SQUARE WAVE (µv)</t>
  </si>
  <si>
    <t>TRIANGLE WAVE (µv)</t>
  </si>
  <si>
    <t>(µv)</t>
  </si>
  <si>
    <t>SINE WAVE (Hz)</t>
  </si>
  <si>
    <t>EEG Sim 31487</t>
  </si>
  <si>
    <t>EEG Sim 31488</t>
  </si>
  <si>
    <t>EEG Simulator, Merek : NETECH, Model : 330, SN : 31487</t>
  </si>
  <si>
    <t>Ampitude (µv)</t>
  </si>
  <si>
    <t>Rata-Rata 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</si>
</sst>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\±\ 0.0"/>
    <numFmt numFmtId="170" formatCode="0.000\ &quot;Ω&quot;"/>
    <numFmt numFmtId="171" formatCode="0.0\ &quot;µA&quot;"/>
    <numFmt numFmtId="172" formatCode="\≤\ 0\ \µ\A"/>
    <numFmt numFmtId="173" formatCode="\≤\ 0\ "/>
    <numFmt numFmtId="174" formatCode="\≤\ 0.0"/>
    <numFmt numFmtId="175" formatCode="\≤\ 0.0\ \Ω"/>
    <numFmt numFmtId="176" formatCode="\&gt;\ 0"/>
    <numFmt numFmtId="177" formatCode="\&gt;\ 0\ &quot;MΩ&quot;"/>
    <numFmt numFmtId="178" formatCode="0.0\ &quot;MΩ&quot;"/>
    <numFmt numFmtId="179" formatCode="\±\ 0"/>
    <numFmt numFmtId="180" formatCode="[$-421]dd\ mmmm\ yyyy;@"/>
    <numFmt numFmtId="181" formatCode="\≤\ 0\ &quot;KΩ&quot;"/>
    <numFmt numFmtId="182" formatCode="0\ &quot;BPM&quot;"/>
    <numFmt numFmtId="183" formatCode="[$-C09]d\ mmmm\ yyyy;@"/>
    <numFmt numFmtId="184" formatCode="0.00\ &quot;Hz&quot;"/>
    <numFmt numFmtId="185" formatCode="0.00\ &quot;µv&quot;"/>
    <numFmt numFmtId="186" formatCode="\±\ 0.00"/>
  </numFmts>
  <fonts count="9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6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9"/>
      <name val="Calibri"/>
      <family val="2"/>
      <scheme val="minor"/>
    </font>
    <font>
      <sz val="10"/>
      <color theme="0"/>
      <name val="Times New Roman"/>
      <family val="1"/>
    </font>
    <font>
      <i/>
      <sz val="10"/>
      <color theme="0"/>
      <name val="Arial"/>
      <family val="2"/>
    </font>
    <font>
      <sz val="10"/>
      <color theme="1"/>
      <name val="Arial"/>
      <family val="2"/>
    </font>
    <font>
      <sz val="12"/>
      <color rgb="FFFF000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8"/>
      <name val="Arial"/>
      <family val="2"/>
    </font>
    <font>
      <sz val="11"/>
      <color theme="0" tint="-0.249977111117893"/>
      <name val="Arial"/>
      <family val="2"/>
    </font>
    <font>
      <b/>
      <sz val="10"/>
      <name val="Calibri"/>
      <family val="2"/>
    </font>
    <font>
      <b/>
      <sz val="14"/>
      <name val="Arial"/>
      <family val="2"/>
    </font>
    <font>
      <sz val="11"/>
      <color theme="1"/>
      <name val="Times New Roman"/>
      <family val="1"/>
    </font>
    <font>
      <sz val="10"/>
      <color theme="0" tint="-0.249977111117893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4">
    <xf numFmtId="0" fontId="0" fillId="0" borderId="0" xfId="0"/>
    <xf numFmtId="0" fontId="4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1" fontId="4" fillId="0" borderId="2" xfId="0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1" fontId="4" fillId="0" borderId="6" xfId="0" applyNumberFormat="1" applyFont="1" applyBorder="1" applyAlignment="1">
      <alignment horizontal="center"/>
    </xf>
    <xf numFmtId="11" fontId="4" fillId="0" borderId="7" xfId="0" applyNumberFormat="1" applyFont="1" applyBorder="1" applyAlignment="1">
      <alignment horizontal="center"/>
    </xf>
    <xf numFmtId="0" fontId="4" fillId="0" borderId="6" xfId="0" applyFont="1" applyBorder="1"/>
    <xf numFmtId="2" fontId="4" fillId="0" borderId="6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0" fontId="9" fillId="0" borderId="0" xfId="0" applyFont="1"/>
    <xf numFmtId="2" fontId="9" fillId="0" borderId="0" xfId="0" applyNumberFormat="1" applyFont="1"/>
    <xf numFmtId="0" fontId="8" fillId="0" borderId="4" xfId="0" applyFont="1" applyBorder="1"/>
    <xf numFmtId="0" fontId="10" fillId="0" borderId="5" xfId="0" applyFont="1" applyBorder="1"/>
    <xf numFmtId="2" fontId="10" fillId="0" borderId="5" xfId="0" applyNumberFormat="1" applyFont="1" applyBorder="1"/>
    <xf numFmtId="167" fontId="6" fillId="0" borderId="4" xfId="0" applyNumberFormat="1" applyFont="1" applyBorder="1" applyAlignment="1">
      <alignment horizontal="center"/>
    </xf>
    <xf numFmtId="0" fontId="6" fillId="0" borderId="7" xfId="0" applyFont="1" applyBorder="1"/>
    <xf numFmtId="0" fontId="10" fillId="0" borderId="0" xfId="0" applyFont="1"/>
    <xf numFmtId="2" fontId="10" fillId="0" borderId="0" xfId="0" applyNumberFormat="1" applyFont="1"/>
    <xf numFmtId="0" fontId="6" fillId="0" borderId="3" xfId="0" applyFont="1" applyBorder="1"/>
    <xf numFmtId="0" fontId="10" fillId="0" borderId="8" xfId="0" applyFont="1" applyBorder="1"/>
    <xf numFmtId="2" fontId="10" fillId="0" borderId="8" xfId="0" applyNumberFormat="1" applyFont="1" applyBorder="1"/>
    <xf numFmtId="164" fontId="10" fillId="0" borderId="9" xfId="0" applyNumberFormat="1" applyFont="1" applyBorder="1"/>
    <xf numFmtId="11" fontId="6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2" fontId="4" fillId="0" borderId="10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1" fontId="4" fillId="0" borderId="16" xfId="0" applyNumberFormat="1" applyFont="1" applyBorder="1" applyAlignment="1">
      <alignment horizontal="center"/>
    </xf>
    <xf numFmtId="0" fontId="4" fillId="0" borderId="15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4" xfId="0" applyFont="1" applyBorder="1"/>
    <xf numFmtId="0" fontId="6" fillId="0" borderId="23" xfId="0" applyFont="1" applyBorder="1"/>
    <xf numFmtId="0" fontId="6" fillId="0" borderId="22" xfId="0" applyFont="1" applyBorder="1"/>
    <xf numFmtId="0" fontId="2" fillId="0" borderId="0" xfId="0" applyFont="1"/>
    <xf numFmtId="164" fontId="10" fillId="0" borderId="23" xfId="0" applyNumberFormat="1" applyFont="1" applyBorder="1"/>
    <xf numFmtId="2" fontId="10" fillId="0" borderId="1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2" fillId="0" borderId="20" xfId="0" applyFont="1" applyBorder="1"/>
    <xf numFmtId="0" fontId="8" fillId="0" borderId="21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11" fillId="0" borderId="5" xfId="0" applyFont="1" applyBorder="1"/>
    <xf numFmtId="0" fontId="12" fillId="0" borderId="0" xfId="0" applyFont="1"/>
    <xf numFmtId="11" fontId="4" fillId="0" borderId="25" xfId="0" applyNumberFormat="1" applyFont="1" applyBorder="1" applyAlignment="1">
      <alignment horizontal="center"/>
    </xf>
    <xf numFmtId="0" fontId="6" fillId="0" borderId="5" xfId="0" applyFont="1" applyBorder="1"/>
    <xf numFmtId="164" fontId="7" fillId="0" borderId="4" xfId="0" applyNumberFormat="1" applyFont="1" applyBorder="1" applyAlignment="1">
      <alignment horizontal="center"/>
    </xf>
    <xf numFmtId="0" fontId="6" fillId="0" borderId="8" xfId="0" applyFont="1" applyBorder="1"/>
    <xf numFmtId="2" fontId="10" fillId="0" borderId="0" xfId="0" applyNumberFormat="1" applyFont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2" fontId="1" fillId="0" borderId="6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64" fontId="10" fillId="0" borderId="0" xfId="0" applyNumberFormat="1" applyFont="1"/>
    <xf numFmtId="0" fontId="0" fillId="0" borderId="41" xfId="0" applyBorder="1"/>
    <xf numFmtId="0" fontId="0" fillId="0" borderId="4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6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6" fillId="0" borderId="0" xfId="2" applyFont="1" applyAlignment="1">
      <alignment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8" fontId="1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4" fillId="0" borderId="6" xfId="0" applyFont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0" borderId="0" xfId="2" applyFont="1"/>
    <xf numFmtId="0" fontId="31" fillId="0" borderId="0" xfId="2" applyFont="1" applyAlignment="1">
      <alignment horizontal="right"/>
    </xf>
    <xf numFmtId="0" fontId="31" fillId="0" borderId="0" xfId="0" applyFont="1"/>
    <xf numFmtId="0" fontId="32" fillId="0" borderId="0" xfId="2" applyFont="1"/>
    <xf numFmtId="0" fontId="32" fillId="0" borderId="0" xfId="2" applyFont="1" applyAlignment="1">
      <alignment horizontal="center"/>
    </xf>
    <xf numFmtId="0" fontId="31" fillId="0" borderId="0" xfId="0" applyFont="1" applyAlignment="1">
      <alignment horizontal="right"/>
    </xf>
    <xf numFmtId="0" fontId="31" fillId="0" borderId="4" xfId="2" applyFont="1" applyBorder="1"/>
    <xf numFmtId="0" fontId="31" fillId="0" borderId="5" xfId="2" applyFont="1" applyBorder="1"/>
    <xf numFmtId="0" fontId="31" fillId="0" borderId="7" xfId="2" applyFont="1" applyBorder="1"/>
    <xf numFmtId="0" fontId="31" fillId="0" borderId="6" xfId="2" quotePrefix="1" applyFont="1" applyBorder="1" applyAlignment="1">
      <alignment horizontal="center"/>
    </xf>
    <xf numFmtId="0" fontId="31" fillId="0" borderId="0" xfId="2" quotePrefix="1" applyFont="1" applyAlignment="1">
      <alignment horizontal="center"/>
    </xf>
    <xf numFmtId="0" fontId="1" fillId="0" borderId="0" xfId="2"/>
    <xf numFmtId="0" fontId="34" fillId="0" borderId="0" xfId="2" applyFont="1" applyAlignment="1">
      <alignment horizontal="center"/>
    </xf>
    <xf numFmtId="0" fontId="31" fillId="0" borderId="0" xfId="2" applyFont="1" applyAlignment="1">
      <alignment horizontal="right" vertical="center"/>
    </xf>
    <xf numFmtId="166" fontId="31" fillId="0" borderId="0" xfId="2" applyNumberFormat="1" applyFont="1" applyAlignment="1">
      <alignment horizontal="left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2" fillId="0" borderId="12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64" fontId="31" fillId="0" borderId="6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2" fillId="0" borderId="0" xfId="2" applyFont="1" applyAlignment="1">
      <alignment vertical="center"/>
    </xf>
    <xf numFmtId="0" fontId="31" fillId="0" borderId="0" xfId="2" applyFont="1" applyAlignment="1">
      <alignment vertical="center"/>
    </xf>
    <xf numFmtId="0" fontId="1" fillId="0" borderId="0" xfId="2" applyAlignment="1">
      <alignment vertical="center"/>
    </xf>
    <xf numFmtId="0" fontId="3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1" fillId="2" borderId="0" xfId="0" applyFont="1" applyFill="1" applyAlignment="1">
      <alignment horizontal="left" vertical="center"/>
    </xf>
    <xf numFmtId="0" fontId="31" fillId="2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2" fontId="31" fillId="0" borderId="10" xfId="0" applyNumberFormat="1" applyFont="1" applyBorder="1" applyAlignment="1">
      <alignment horizontal="center" vertical="center"/>
    </xf>
    <xf numFmtId="164" fontId="31" fillId="0" borderId="10" xfId="0" applyNumberFormat="1" applyFont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1" fillId="0" borderId="4" xfId="2" applyFont="1" applyBorder="1" applyAlignment="1">
      <alignment vertical="center"/>
    </xf>
    <xf numFmtId="0" fontId="31" fillId="0" borderId="5" xfId="2" applyFont="1" applyBorder="1" applyAlignment="1">
      <alignment vertical="center"/>
    </xf>
    <xf numFmtId="0" fontId="35" fillId="0" borderId="0" xfId="2" applyFont="1" applyAlignment="1">
      <alignment horizontal="right"/>
    </xf>
    <xf numFmtId="0" fontId="5" fillId="0" borderId="0" xfId="0" applyFont="1" applyAlignment="1">
      <alignment horizontal="right"/>
    </xf>
    <xf numFmtId="0" fontId="31" fillId="4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2" fontId="31" fillId="0" borderId="0" xfId="0" applyNumberFormat="1" applyFont="1" applyAlignment="1" applyProtection="1">
      <alignment horizontal="center" vertical="center"/>
      <protection locked="0"/>
    </xf>
    <xf numFmtId="0" fontId="31" fillId="0" borderId="0" xfId="2" applyFont="1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25" fillId="0" borderId="0" xfId="1" applyFont="1" applyAlignment="1" applyProtection="1">
      <alignment horizontal="left"/>
      <protection locked="0"/>
    </xf>
    <xf numFmtId="0" fontId="31" fillId="2" borderId="0" xfId="0" applyFont="1" applyFill="1" applyAlignment="1">
      <alignment horizontal="center" vertical="center"/>
    </xf>
    <xf numFmtId="0" fontId="25" fillId="0" borderId="0" xfId="1" applyFont="1" applyProtection="1">
      <protection locked="0"/>
    </xf>
    <xf numFmtId="0" fontId="4" fillId="0" borderId="6" xfId="1" applyFont="1" applyBorder="1" applyAlignment="1">
      <alignment horizontal="center"/>
    </xf>
    <xf numFmtId="0" fontId="8" fillId="0" borderId="6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0" fontId="14" fillId="0" borderId="34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8" fillId="0" borderId="37" xfId="1" applyFont="1" applyBorder="1"/>
    <xf numFmtId="0" fontId="8" fillId="0" borderId="38" xfId="1" applyFont="1" applyBorder="1"/>
    <xf numFmtId="0" fontId="8" fillId="0" borderId="39" xfId="1" applyFont="1" applyBorder="1"/>
    <xf numFmtId="0" fontId="0" fillId="0" borderId="49" xfId="0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4" fillId="0" borderId="31" xfId="0" applyFont="1" applyBorder="1" applyAlignment="1">
      <alignment vertical="center"/>
    </xf>
    <xf numFmtId="2" fontId="1" fillId="0" borderId="1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3" xfId="0" applyFont="1" applyBorder="1"/>
    <xf numFmtId="0" fontId="0" fillId="0" borderId="7" xfId="0" applyBorder="1"/>
    <xf numFmtId="0" fontId="12" fillId="0" borderId="5" xfId="0" applyFont="1" applyBorder="1"/>
    <xf numFmtId="0" fontId="9" fillId="0" borderId="8" xfId="0" applyFont="1" applyBorder="1"/>
    <xf numFmtId="2" fontId="9" fillId="0" borderId="8" xfId="0" applyNumberFormat="1" applyFont="1" applyBorder="1"/>
    <xf numFmtId="0" fontId="0" fillId="0" borderId="9" xfId="0" applyBorder="1"/>
    <xf numFmtId="2" fontId="8" fillId="0" borderId="6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0" borderId="43" xfId="0" applyFont="1" applyBorder="1" applyAlignment="1">
      <alignment vertical="top"/>
    </xf>
    <xf numFmtId="0" fontId="8" fillId="0" borderId="16" xfId="0" applyFont="1" applyBorder="1" applyAlignment="1">
      <alignment horizontal="center"/>
    </xf>
    <xf numFmtId="0" fontId="0" fillId="0" borderId="16" xfId="0" applyBorder="1"/>
    <xf numFmtId="0" fontId="2" fillId="0" borderId="22" xfId="0" applyFont="1" applyBorder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166" fontId="31" fillId="0" borderId="0" xfId="0" applyNumberFormat="1" applyFont="1" applyAlignment="1">
      <alignment horizontal="left" vertical="center"/>
    </xf>
    <xf numFmtId="166" fontId="31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vertical="center"/>
    </xf>
    <xf numFmtId="166" fontId="31" fillId="0" borderId="0" xfId="2" applyNumberFormat="1" applyFont="1" applyAlignment="1">
      <alignment horizontal="center" vertical="center"/>
    </xf>
    <xf numFmtId="2" fontId="31" fillId="0" borderId="0" xfId="2" applyNumberFormat="1" applyFont="1" applyAlignment="1">
      <alignment horizontal="center" vertical="center"/>
    </xf>
    <xf numFmtId="0" fontId="31" fillId="0" borderId="6" xfId="0" quotePrefix="1" applyFont="1" applyBorder="1" applyAlignment="1">
      <alignment horizontal="center" vertical="center"/>
    </xf>
    <xf numFmtId="0" fontId="31" fillId="0" borderId="4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6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31" fillId="2" borderId="0" xfId="0" applyFont="1" applyFill="1" applyAlignment="1">
      <alignment horizontal="center" vertical="center" wrapText="1"/>
    </xf>
    <xf numFmtId="0" fontId="4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31" fillId="3" borderId="0" xfId="0" applyFont="1" applyFill="1" applyAlignment="1" applyProtection="1">
      <alignment vertical="center"/>
      <protection locked="0"/>
    </xf>
    <xf numFmtId="0" fontId="31" fillId="3" borderId="0" xfId="0" applyFont="1" applyFill="1" applyAlignment="1" applyProtection="1">
      <alignment horizontal="center" vertical="center"/>
      <protection locked="0"/>
    </xf>
    <xf numFmtId="0" fontId="31" fillId="3" borderId="0" xfId="2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horizontal="right"/>
      <protection locked="0"/>
    </xf>
    <xf numFmtId="0" fontId="32" fillId="3" borderId="0" xfId="2" applyFont="1" applyFill="1" applyAlignment="1" applyProtection="1">
      <alignment vertical="center"/>
      <protection locked="0"/>
    </xf>
    <xf numFmtId="0" fontId="50" fillId="0" borderId="0" xfId="0" applyFont="1"/>
    <xf numFmtId="165" fontId="1" fillId="0" borderId="6" xfId="0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7" fillId="3" borderId="0" xfId="0" applyFont="1" applyFill="1" applyAlignment="1" applyProtection="1">
      <alignment vertical="center"/>
      <protection locked="0"/>
    </xf>
    <xf numFmtId="164" fontId="32" fillId="0" borderId="0" xfId="0" applyNumberFormat="1" applyFont="1" applyAlignment="1">
      <alignment horizontal="left" vertical="center" wrapText="1"/>
    </xf>
    <xf numFmtId="9" fontId="31" fillId="0" borderId="0" xfId="0" applyNumberFormat="1" applyFont="1" applyAlignment="1">
      <alignment horizontal="center" vertical="center"/>
    </xf>
    <xf numFmtId="9" fontId="32" fillId="0" borderId="0" xfId="0" applyNumberFormat="1" applyFont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2" borderId="0" xfId="0" applyFont="1" applyFill="1" applyAlignment="1">
      <alignment vertical="center" wrapText="1"/>
    </xf>
    <xf numFmtId="0" fontId="29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0" fontId="4" fillId="9" borderId="0" xfId="5" applyFont="1" applyFill="1" applyAlignment="1" applyProtection="1">
      <alignment horizontal="left" vertical="center"/>
      <protection locked="0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63" fillId="0" borderId="15" xfId="0" applyFont="1" applyBorder="1" applyAlignment="1">
      <alignment horizontal="left"/>
    </xf>
    <xf numFmtId="0" fontId="63" fillId="0" borderId="6" xfId="0" applyFont="1" applyBorder="1" applyAlignment="1">
      <alignment horizontal="center"/>
    </xf>
    <xf numFmtId="2" fontId="63" fillId="0" borderId="6" xfId="0" applyNumberFormat="1" applyFont="1" applyBorder="1" applyAlignment="1">
      <alignment horizontal="center"/>
    </xf>
    <xf numFmtId="0" fontId="63" fillId="0" borderId="6" xfId="1" applyFont="1" applyBorder="1" applyAlignment="1">
      <alignment horizontal="center"/>
    </xf>
    <xf numFmtId="165" fontId="63" fillId="0" borderId="6" xfId="0" applyNumberFormat="1" applyFont="1" applyBorder="1" applyAlignment="1">
      <alignment horizontal="center"/>
    </xf>
    <xf numFmtId="11" fontId="63" fillId="0" borderId="6" xfId="0" applyNumberFormat="1" applyFont="1" applyBorder="1" applyAlignment="1">
      <alignment horizontal="center"/>
    </xf>
    <xf numFmtId="0" fontId="55" fillId="0" borderId="0" xfId="0" applyFont="1"/>
    <xf numFmtId="0" fontId="63" fillId="0" borderId="6" xfId="0" applyFont="1" applyBorder="1" applyAlignment="1">
      <alignment horizontal="left"/>
    </xf>
    <xf numFmtId="11" fontId="63" fillId="0" borderId="16" xfId="0" applyNumberFormat="1" applyFont="1" applyBorder="1" applyAlignment="1">
      <alignment horizontal="center"/>
    </xf>
    <xf numFmtId="0" fontId="55" fillId="0" borderId="6" xfId="1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0" fontId="63" fillId="0" borderId="15" xfId="0" applyFont="1" applyBorder="1"/>
    <xf numFmtId="164" fontId="63" fillId="0" borderId="6" xfId="0" applyNumberFormat="1" applyFont="1" applyBorder="1" applyAlignment="1">
      <alignment horizontal="center"/>
    </xf>
    <xf numFmtId="0" fontId="63" fillId="0" borderId="6" xfId="0" applyFont="1" applyBorder="1"/>
    <xf numFmtId="0" fontId="63" fillId="0" borderId="21" xfId="0" applyFont="1" applyBorder="1"/>
    <xf numFmtId="164" fontId="63" fillId="0" borderId="14" xfId="0" applyNumberFormat="1" applyFont="1" applyBorder="1" applyAlignment="1">
      <alignment horizontal="center"/>
    </xf>
    <xf numFmtId="2" fontId="63" fillId="0" borderId="8" xfId="0" applyNumberFormat="1" applyFont="1" applyBorder="1" applyAlignment="1">
      <alignment horizontal="center"/>
    </xf>
    <xf numFmtId="165" fontId="63" fillId="0" borderId="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6" fontId="1" fillId="0" borderId="1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65" fontId="55" fillId="0" borderId="0" xfId="0" applyNumberFormat="1" applyFont="1" applyAlignment="1">
      <alignment horizontal="center"/>
    </xf>
    <xf numFmtId="165" fontId="5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5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8" fillId="0" borderId="0" xfId="1" applyFont="1"/>
    <xf numFmtId="1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  <xf numFmtId="0" fontId="19" fillId="3" borderId="0" xfId="0" applyFont="1" applyFill="1" applyAlignment="1" applyProtection="1">
      <alignment horizontal="right" vertical="center"/>
      <protection locked="0"/>
    </xf>
    <xf numFmtId="0" fontId="40" fillId="0" borderId="0" xfId="0" applyFont="1" applyAlignment="1">
      <alignment vertical="center"/>
    </xf>
    <xf numFmtId="0" fontId="65" fillId="0" borderId="0" xfId="0" applyFont="1" applyAlignment="1">
      <alignment horizontal="left"/>
    </xf>
    <xf numFmtId="0" fontId="65" fillId="0" borderId="6" xfId="0" applyFont="1" applyBorder="1" applyAlignment="1">
      <alignment horizontal="center"/>
    </xf>
    <xf numFmtId="164" fontId="1" fillId="0" borderId="50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0" fillId="10" borderId="0" xfId="0" applyNumberFormat="1" applyFill="1" applyAlignment="1">
      <alignment horizontal="center"/>
    </xf>
    <xf numFmtId="0" fontId="31" fillId="0" borderId="6" xfId="0" applyFont="1" applyBorder="1" applyAlignment="1">
      <alignment vertical="center"/>
    </xf>
    <xf numFmtId="2" fontId="65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0" fontId="8" fillId="0" borderId="0" xfId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166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 vertical="center"/>
    </xf>
    <xf numFmtId="0" fontId="2" fillId="0" borderId="8" xfId="0" applyFont="1" applyBorder="1"/>
    <xf numFmtId="166" fontId="16" fillId="0" borderId="0" xfId="0" applyNumberFormat="1" applyFont="1" applyAlignment="1">
      <alignment horizontal="center" vertical="center"/>
    </xf>
    <xf numFmtId="0" fontId="2" fillId="0" borderId="41" xfId="0" applyFont="1" applyBorder="1"/>
    <xf numFmtId="165" fontId="10" fillId="0" borderId="42" xfId="0" applyNumberFormat="1" applyFont="1" applyBorder="1" applyAlignment="1">
      <alignment horizontal="center" vertical="center"/>
    </xf>
    <xf numFmtId="0" fontId="2" fillId="0" borderId="42" xfId="0" applyFont="1" applyBorder="1"/>
    <xf numFmtId="0" fontId="2" fillId="0" borderId="43" xfId="0" applyFont="1" applyBorder="1"/>
    <xf numFmtId="0" fontId="1" fillId="0" borderId="42" xfId="0" applyFont="1" applyBorder="1"/>
    <xf numFmtId="0" fontId="32" fillId="0" borderId="42" xfId="0" applyFont="1" applyBorder="1" applyAlignment="1">
      <alignment vertical="center"/>
    </xf>
    <xf numFmtId="0" fontId="0" fillId="0" borderId="42" xfId="0" applyBorder="1" applyAlignment="1">
      <alignment horizontal="center" vertical="center"/>
    </xf>
    <xf numFmtId="164" fontId="0" fillId="0" borderId="42" xfId="0" applyNumberFormat="1" applyBorder="1"/>
    <xf numFmtId="0" fontId="1" fillId="0" borderId="42" xfId="0" applyFont="1" applyBorder="1" applyAlignment="1">
      <alignment horizontal="left"/>
    </xf>
    <xf numFmtId="164" fontId="1" fillId="0" borderId="42" xfId="0" applyNumberFormat="1" applyFont="1" applyBorder="1"/>
    <xf numFmtId="0" fontId="2" fillId="0" borderId="31" xfId="0" applyFont="1" applyBorder="1"/>
    <xf numFmtId="169" fontId="31" fillId="3" borderId="0" xfId="0" applyNumberFormat="1" applyFont="1" applyFill="1" applyAlignment="1">
      <alignment horizontal="center" vertical="center"/>
    </xf>
    <xf numFmtId="2" fontId="65" fillId="0" borderId="6" xfId="0" applyNumberFormat="1" applyFont="1" applyBorder="1" applyAlignment="1">
      <alignment horizontal="center"/>
    </xf>
    <xf numFmtId="0" fontId="31" fillId="3" borderId="0" xfId="0" applyFont="1" applyFill="1" applyAlignment="1" applyProtection="1">
      <alignment horizontal="left" vertical="center"/>
      <protection locked="0"/>
    </xf>
    <xf numFmtId="166" fontId="42" fillId="3" borderId="6" xfId="2" applyNumberFormat="1" applyFont="1" applyFill="1" applyBorder="1" applyAlignment="1" applyProtection="1">
      <alignment horizontal="center" vertical="center"/>
      <protection locked="0"/>
    </xf>
    <xf numFmtId="166" fontId="42" fillId="3" borderId="4" xfId="0" applyNumberFormat="1" applyFont="1" applyFill="1" applyBorder="1" applyAlignment="1" applyProtection="1">
      <alignment horizontal="right" vertical="center"/>
      <protection locked="0"/>
    </xf>
    <xf numFmtId="164" fontId="42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1" fillId="11" borderId="0" xfId="0" applyFont="1" applyFill="1" applyAlignment="1" applyProtection="1">
      <alignment vertical="center"/>
      <protection locked="0"/>
    </xf>
    <xf numFmtId="0" fontId="66" fillId="3" borderId="0" xfId="0" applyFont="1" applyFill="1" applyAlignment="1" applyProtection="1">
      <alignment vertical="center"/>
      <protection locked="0"/>
    </xf>
    <xf numFmtId="0" fontId="49" fillId="0" borderId="0" xfId="2" applyFont="1"/>
    <xf numFmtId="166" fontId="25" fillId="3" borderId="0" xfId="2" applyNumberFormat="1" applyFont="1" applyFill="1" applyAlignment="1" applyProtection="1">
      <alignment horizontal="center" vertical="center"/>
      <protection locked="0"/>
    </xf>
    <xf numFmtId="0" fontId="69" fillId="3" borderId="0" xfId="0" applyFont="1" applyFill="1" applyAlignment="1">
      <alignment horizontal="center" vertical="center"/>
    </xf>
    <xf numFmtId="0" fontId="31" fillId="0" borderId="0" xfId="0" applyFont="1" applyAlignment="1" applyProtection="1">
      <alignment horizontal="left" vertical="center" wrapText="1"/>
      <protection locked="0"/>
    </xf>
    <xf numFmtId="0" fontId="31" fillId="3" borderId="6" xfId="0" applyFont="1" applyFill="1" applyBorder="1" applyAlignment="1">
      <alignment horizontal="center" vertical="center"/>
    </xf>
    <xf numFmtId="164" fontId="31" fillId="0" borderId="6" xfId="0" applyNumberFormat="1" applyFont="1" applyBorder="1" applyAlignment="1">
      <alignment vertical="center" wrapText="1"/>
    </xf>
    <xf numFmtId="2" fontId="31" fillId="0" borderId="6" xfId="0" applyNumberFormat="1" applyFont="1" applyBorder="1" applyAlignment="1">
      <alignment horizontal="center" vertical="center"/>
    </xf>
    <xf numFmtId="169" fontId="31" fillId="0" borderId="6" xfId="0" applyNumberFormat="1" applyFont="1" applyBorder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wrapText="1"/>
    </xf>
    <xf numFmtId="9" fontId="31" fillId="0" borderId="0" xfId="0" applyNumberFormat="1" applyFont="1" applyAlignment="1">
      <alignment vertical="center"/>
    </xf>
    <xf numFmtId="0" fontId="47" fillId="0" borderId="0" xfId="0" applyFont="1" applyAlignment="1">
      <alignment horizontal="center" vertical="center"/>
    </xf>
    <xf numFmtId="169" fontId="31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right"/>
    </xf>
    <xf numFmtId="0" fontId="3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9" fontId="31" fillId="3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2" applyFont="1" applyAlignment="1" applyProtection="1">
      <alignment horizontal="center"/>
      <protection locked="0"/>
    </xf>
    <xf numFmtId="1" fontId="44" fillId="0" borderId="0" xfId="2" applyNumberFormat="1" applyFont="1" applyAlignment="1" applyProtection="1">
      <alignment vertical="center"/>
      <protection locked="0"/>
    </xf>
    <xf numFmtId="0" fontId="44" fillId="0" borderId="0" xfId="2" applyFont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4" fontId="1" fillId="2" borderId="0" xfId="0" applyNumberFormat="1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172" fontId="31" fillId="0" borderId="6" xfId="0" applyNumberFormat="1" applyFont="1" applyBorder="1" applyAlignment="1">
      <alignment horizontal="center" vertical="center"/>
    </xf>
    <xf numFmtId="1" fontId="31" fillId="6" borderId="6" xfId="0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67" fontId="39" fillId="0" borderId="0" xfId="0" applyNumberFormat="1" applyFont="1" applyAlignment="1">
      <alignment vertical="center"/>
    </xf>
    <xf numFmtId="0" fontId="39" fillId="6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166" fontId="31" fillId="0" borderId="6" xfId="0" applyNumberFormat="1" applyFont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9" fontId="31" fillId="3" borderId="6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1" fillId="3" borderId="14" xfId="0" applyFont="1" applyFill="1" applyBorder="1" applyAlignment="1">
      <alignment vertical="center"/>
    </xf>
    <xf numFmtId="0" fontId="0" fillId="0" borderId="14" xfId="0" applyBorder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/>
    <xf numFmtId="0" fontId="0" fillId="3" borderId="0" xfId="0" applyFill="1"/>
    <xf numFmtId="0" fontId="21" fillId="0" borderId="0" xfId="0" applyFont="1"/>
    <xf numFmtId="0" fontId="17" fillId="0" borderId="4" xfId="0" applyFont="1" applyBorder="1"/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/>
    <xf numFmtId="0" fontId="17" fillId="0" borderId="7" xfId="0" applyFont="1" applyBorder="1"/>
    <xf numFmtId="0" fontId="17" fillId="0" borderId="6" xfId="0" applyFont="1" applyBorder="1" applyAlignment="1">
      <alignment horizontal="center" vertical="center"/>
    </xf>
    <xf numFmtId="0" fontId="17" fillId="0" borderId="0" xfId="0" applyFont="1"/>
    <xf numFmtId="0" fontId="73" fillId="0" borderId="4" xfId="0" applyFont="1" applyBorder="1"/>
    <xf numFmtId="0" fontId="17" fillId="3" borderId="24" xfId="0" quotePrefix="1" applyFont="1" applyFill="1" applyBorder="1" applyAlignment="1">
      <alignment vertical="center"/>
    </xf>
    <xf numFmtId="0" fontId="17" fillId="0" borderId="23" xfId="0" applyFont="1" applyBorder="1"/>
    <xf numFmtId="0" fontId="17" fillId="0" borderId="10" xfId="0" applyFont="1" applyBorder="1"/>
    <xf numFmtId="0" fontId="0" fillId="0" borderId="10" xfId="0" applyBorder="1"/>
    <xf numFmtId="0" fontId="17" fillId="3" borderId="49" xfId="0" quotePrefix="1" applyFont="1" applyFill="1" applyBorder="1" applyAlignment="1">
      <alignment vertical="center"/>
    </xf>
    <xf numFmtId="0" fontId="17" fillId="0" borderId="8" xfId="0" applyFont="1" applyBorder="1"/>
    <xf numFmtId="0" fontId="32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29" fillId="4" borderId="0" xfId="0" applyFont="1" applyFill="1" applyAlignment="1">
      <alignment vertical="center"/>
    </xf>
    <xf numFmtId="0" fontId="24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vertical="center"/>
    </xf>
    <xf numFmtId="0" fontId="4" fillId="0" borderId="0" xfId="2" applyFont="1"/>
    <xf numFmtId="0" fontId="19" fillId="0" borderId="5" xfId="1" applyFont="1" applyBorder="1" applyAlignment="1">
      <alignment horizontal="right"/>
    </xf>
    <xf numFmtId="0" fontId="25" fillId="0" borderId="4" xfId="2" applyFont="1" applyBorder="1" applyAlignment="1">
      <alignment vertical="center"/>
    </xf>
    <xf numFmtId="0" fontId="6" fillId="0" borderId="0" xfId="1" applyFont="1"/>
    <xf numFmtId="0" fontId="6" fillId="0" borderId="0" xfId="2" applyFont="1"/>
    <xf numFmtId="166" fontId="31" fillId="8" borderId="12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6" fontId="31" fillId="8" borderId="6" xfId="0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5" fillId="0" borderId="0" xfId="2" applyFont="1"/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41" fillId="0" borderId="0" xfId="1" applyFont="1" applyAlignment="1">
      <alignment vertical="center"/>
    </xf>
    <xf numFmtId="0" fontId="62" fillId="0" borderId="0" xfId="1" applyFont="1"/>
    <xf numFmtId="0" fontId="4" fillId="9" borderId="0" xfId="5" applyFont="1" applyFill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31" fillId="0" borderId="0" xfId="0" applyFont="1" applyProtection="1">
      <protection locked="0"/>
    </xf>
    <xf numFmtId="0" fontId="32" fillId="0" borderId="6" xfId="2" applyFont="1" applyBorder="1" applyAlignment="1" applyProtection="1">
      <alignment horizontal="center" vertical="center"/>
      <protection locked="0"/>
    </xf>
    <xf numFmtId="0" fontId="24" fillId="0" borderId="0" xfId="2" applyFont="1" applyAlignment="1" applyProtection="1">
      <alignment horizontal="center" vertical="center"/>
      <protection locked="0"/>
    </xf>
    <xf numFmtId="2" fontId="31" fillId="0" borderId="0" xfId="2" applyNumberFormat="1" applyFont="1" applyAlignment="1" applyProtection="1">
      <alignment horizontal="left" vertical="center"/>
      <protection locked="0"/>
    </xf>
    <xf numFmtId="0" fontId="31" fillId="0" borderId="6" xfId="0" quotePrefix="1" applyFont="1" applyBorder="1" applyAlignment="1" applyProtection="1">
      <alignment horizontal="center" vertical="center"/>
      <protection locked="0"/>
    </xf>
    <xf numFmtId="0" fontId="31" fillId="0" borderId="4" xfId="2" applyFont="1" applyBorder="1" applyAlignment="1" applyProtection="1">
      <alignment vertical="center"/>
      <protection locked="0"/>
    </xf>
    <xf numFmtId="0" fontId="31" fillId="0" borderId="5" xfId="2" applyFont="1" applyBorder="1" applyAlignment="1" applyProtection="1">
      <alignment vertical="center"/>
      <protection locked="0"/>
    </xf>
    <xf numFmtId="0" fontId="31" fillId="0" borderId="7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31" fillId="0" borderId="6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vertical="center"/>
      <protection locked="0"/>
    </xf>
    <xf numFmtId="0" fontId="70" fillId="3" borderId="0" xfId="0" applyFont="1" applyFill="1" applyAlignment="1">
      <alignment horizontal="center" vertical="center"/>
    </xf>
    <xf numFmtId="9" fontId="32" fillId="0" borderId="6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10" fillId="0" borderId="9" xfId="0" applyNumberFormat="1" applyFont="1" applyBorder="1" applyAlignment="1">
      <alignment horizontal="left"/>
    </xf>
    <xf numFmtId="0" fontId="31" fillId="0" borderId="6" xfId="0" applyFont="1" applyBorder="1" applyAlignment="1">
      <alignment horizontal="center" vertical="center" wrapText="1"/>
    </xf>
    <xf numFmtId="0" fontId="30" fillId="0" borderId="0" xfId="2" applyFont="1"/>
    <xf numFmtId="0" fontId="37" fillId="0" borderId="0" xfId="2" applyFont="1"/>
    <xf numFmtId="0" fontId="31" fillId="0" borderId="6" xfId="0" applyFont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>
      <alignment horizontal="center" vertical="center"/>
    </xf>
    <xf numFmtId="0" fontId="0" fillId="0" borderId="28" xfId="0" applyBorder="1"/>
    <xf numFmtId="0" fontId="17" fillId="3" borderId="21" xfId="0" quotePrefix="1" applyFont="1" applyFill="1" applyBorder="1" applyAlignment="1">
      <alignment vertical="center"/>
    </xf>
    <xf numFmtId="0" fontId="0" fillId="0" borderId="1" xfId="0" applyBorder="1"/>
    <xf numFmtId="0" fontId="75" fillId="0" borderId="0" xfId="0" quotePrefix="1" applyFont="1" applyAlignment="1">
      <alignment vertical="center"/>
    </xf>
    <xf numFmtId="0" fontId="0" fillId="0" borderId="6" xfId="0" applyBorder="1"/>
    <xf numFmtId="2" fontId="0" fillId="3" borderId="0" xfId="0" applyNumberFormat="1" applyFill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0" fontId="31" fillId="0" borderId="5" xfId="0" applyFont="1" applyBorder="1" applyAlignment="1">
      <alignment horizontal="right" vertical="center"/>
    </xf>
    <xf numFmtId="0" fontId="31" fillId="0" borderId="7" xfId="0" applyFont="1" applyBorder="1" applyAlignment="1">
      <alignment horizontal="left" vertical="center"/>
    </xf>
    <xf numFmtId="180" fontId="0" fillId="0" borderId="6" xfId="0" applyNumberFormat="1" applyBorder="1" applyAlignment="1">
      <alignment horizontal="center" vertical="center"/>
    </xf>
    <xf numFmtId="1" fontId="31" fillId="6" borderId="7" xfId="0" applyNumberFormat="1" applyFont="1" applyFill="1" applyBorder="1" applyAlignment="1">
      <alignment horizontal="center" vertical="center"/>
    </xf>
    <xf numFmtId="0" fontId="32" fillId="6" borderId="6" xfId="2" applyFont="1" applyFill="1" applyBorder="1" applyAlignment="1">
      <alignment horizontal="center"/>
    </xf>
    <xf numFmtId="2" fontId="31" fillId="6" borderId="6" xfId="0" applyNumberFormat="1" applyFont="1" applyFill="1" applyBorder="1" applyAlignment="1">
      <alignment horizontal="center" vertical="center"/>
    </xf>
    <xf numFmtId="0" fontId="1" fillId="0" borderId="4" xfId="2" applyBorder="1" applyAlignment="1">
      <alignment vertical="center"/>
    </xf>
    <xf numFmtId="0" fontId="1" fillId="0" borderId="13" xfId="2" applyBorder="1" applyAlignment="1">
      <alignment vertical="center"/>
    </xf>
    <xf numFmtId="0" fontId="76" fillId="0" borderId="0" xfId="0" applyFont="1"/>
    <xf numFmtId="0" fontId="32" fillId="0" borderId="12" xfId="0" applyFont="1" applyBorder="1" applyAlignment="1" applyProtection="1">
      <alignment horizontal="center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32" fillId="0" borderId="6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0" fontId="32" fillId="3" borderId="0" xfId="0" applyFont="1" applyFill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vertical="center" wrapText="1"/>
      <protection locked="0"/>
    </xf>
    <xf numFmtId="0" fontId="32" fillId="0" borderId="0" xfId="0" quotePrefix="1" applyFont="1" applyAlignment="1" applyProtection="1">
      <alignment vertical="center"/>
      <protection locked="0"/>
    </xf>
    <xf numFmtId="0" fontId="31" fillId="0" borderId="0" xfId="0" quotePrefix="1" applyFont="1" applyAlignment="1" applyProtection="1">
      <alignment vertical="center"/>
      <protection locked="0"/>
    </xf>
    <xf numFmtId="2" fontId="2" fillId="0" borderId="6" xfId="0" applyNumberFormat="1" applyFont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41" fillId="2" borderId="5" xfId="0" applyFont="1" applyFill="1" applyBorder="1" applyAlignment="1" applyProtection="1">
      <alignment horizontal="center" vertical="center"/>
      <protection locked="0"/>
    </xf>
    <xf numFmtId="0" fontId="41" fillId="2" borderId="7" xfId="0" applyFont="1" applyFill="1" applyBorder="1" applyAlignment="1" applyProtection="1">
      <alignment vertical="center"/>
      <protection locked="0"/>
    </xf>
    <xf numFmtId="2" fontId="31" fillId="0" borderId="6" xfId="0" applyNumberFormat="1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37" fillId="3" borderId="0" xfId="0" applyFont="1" applyFill="1" applyAlignment="1" applyProtection="1">
      <alignment horizontal="right" vertical="center"/>
      <protection locked="0"/>
    </xf>
    <xf numFmtId="0" fontId="32" fillId="3" borderId="0" xfId="0" applyFont="1" applyFill="1" applyAlignment="1" applyProtection="1">
      <alignment horizontal="center" vertical="center"/>
      <protection locked="0"/>
    </xf>
    <xf numFmtId="0" fontId="32" fillId="3" borderId="0" xfId="2" applyFont="1" applyFill="1" applyAlignment="1" applyProtection="1">
      <alignment horizontal="center" vertical="center"/>
      <protection locked="0"/>
    </xf>
    <xf numFmtId="164" fontId="25" fillId="0" borderId="0" xfId="0" applyNumberFormat="1" applyFont="1" applyAlignment="1" applyProtection="1">
      <alignment vertical="center"/>
      <protection locked="0"/>
    </xf>
    <xf numFmtId="176" fontId="31" fillId="0" borderId="5" xfId="0" applyNumberFormat="1" applyFont="1" applyBorder="1" applyAlignment="1">
      <alignment horizontal="right" vertical="center"/>
    </xf>
    <xf numFmtId="174" fontId="31" fillId="0" borderId="5" xfId="0" applyNumberFormat="1" applyFont="1" applyBorder="1" applyAlignment="1">
      <alignment horizontal="right" vertical="center"/>
    </xf>
    <xf numFmtId="173" fontId="31" fillId="0" borderId="5" xfId="0" applyNumberFormat="1" applyFont="1" applyBorder="1" applyAlignment="1">
      <alignment horizontal="right" vertical="center"/>
    </xf>
    <xf numFmtId="172" fontId="31" fillId="0" borderId="6" xfId="0" applyNumberFormat="1" applyFont="1" applyBorder="1" applyAlignment="1" applyProtection="1">
      <alignment horizontal="center" vertical="center"/>
      <protection locked="0"/>
    </xf>
    <xf numFmtId="2" fontId="42" fillId="3" borderId="0" xfId="0" applyNumberFormat="1" applyFont="1" applyFill="1" applyAlignment="1" applyProtection="1">
      <alignment vertical="center"/>
      <protection locked="0"/>
    </xf>
    <xf numFmtId="2" fontId="42" fillId="3" borderId="0" xfId="0" applyNumberFormat="1" applyFont="1" applyFill="1" applyAlignment="1" applyProtection="1">
      <alignment horizontal="left" vertical="center"/>
      <protection locked="0"/>
    </xf>
    <xf numFmtId="0" fontId="1" fillId="0" borderId="6" xfId="0" applyFont="1" applyBorder="1"/>
    <xf numFmtId="181" fontId="31" fillId="0" borderId="14" xfId="0" applyNumberFormat="1" applyFont="1" applyBorder="1" applyAlignment="1">
      <alignment horizontal="center" vertical="center" wrapText="1"/>
    </xf>
    <xf numFmtId="180" fontId="1" fillId="0" borderId="6" xfId="0" applyNumberFormat="1" applyFont="1" applyBorder="1" applyAlignment="1">
      <alignment horizontal="center" vertical="center"/>
    </xf>
    <xf numFmtId="2" fontId="14" fillId="0" borderId="6" xfId="0" quotePrefix="1" applyNumberFormat="1" applyFont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2" fontId="0" fillId="3" borderId="0" xfId="0" applyNumberFormat="1" applyFill="1"/>
    <xf numFmtId="2" fontId="0" fillId="0" borderId="6" xfId="0" applyNumberFormat="1" applyBorder="1" applyAlignment="1">
      <alignment horizontal="center" vertical="center"/>
    </xf>
    <xf numFmtId="2" fontId="0" fillId="0" borderId="6" xfId="0" applyNumberFormat="1" applyBorder="1"/>
    <xf numFmtId="2" fontId="0" fillId="0" borderId="6" xfId="0" quotePrefix="1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1" fillId="0" borderId="6" xfId="0" quotePrefix="1" applyNumberFormat="1" applyFont="1" applyBorder="1" applyAlignment="1">
      <alignment horizontal="center" vertical="center"/>
    </xf>
    <xf numFmtId="164" fontId="0" fillId="0" borderId="6" xfId="0" quotePrefix="1" applyNumberFormat="1" applyBorder="1" applyAlignment="1">
      <alignment horizontal="center" vertical="center"/>
    </xf>
    <xf numFmtId="2" fontId="0" fillId="3" borderId="20" xfId="0" applyNumberFormat="1" applyFill="1" applyBorder="1"/>
    <xf numFmtId="2" fontId="0" fillId="0" borderId="22" xfId="0" applyNumberFormat="1" applyBorder="1"/>
    <xf numFmtId="2" fontId="0" fillId="0" borderId="14" xfId="0" applyNumberFormat="1" applyBorder="1" applyAlignment="1">
      <alignment horizontal="center" vertical="center"/>
    </xf>
    <xf numFmtId="2" fontId="43" fillId="3" borderId="20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4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0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43" fillId="3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20" fillId="0" borderId="6" xfId="0" quotePrefix="1" applyNumberFormat="1" applyFont="1" applyBorder="1" applyAlignment="1">
      <alignment horizontal="center" vertical="center"/>
    </xf>
    <xf numFmtId="2" fontId="1" fillId="0" borderId="20" xfId="0" applyNumberFormat="1" applyFont="1" applyBorder="1"/>
    <xf numFmtId="2" fontId="1" fillId="0" borderId="0" xfId="0" applyNumberFormat="1" applyFont="1"/>
    <xf numFmtId="2" fontId="2" fillId="8" borderId="6" xfId="0" applyNumberFormat="1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1" fillId="0" borderId="6" xfId="0" applyNumberFormat="1" applyFont="1" applyBorder="1"/>
    <xf numFmtId="2" fontId="14" fillId="8" borderId="6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/>
    <xf numFmtId="2" fontId="52" fillId="3" borderId="6" xfId="0" applyNumberFormat="1" applyFont="1" applyFill="1" applyBorder="1" applyAlignment="1">
      <alignment horizontal="center" vertical="center"/>
    </xf>
    <xf numFmtId="2" fontId="16" fillId="3" borderId="6" xfId="0" applyNumberFormat="1" applyFont="1" applyFill="1" applyBorder="1" applyAlignment="1">
      <alignment horizontal="center" vertical="center" wrapText="1"/>
    </xf>
    <xf numFmtId="2" fontId="16" fillId="3" borderId="0" xfId="0" applyNumberFormat="1" applyFont="1" applyFill="1" applyAlignment="1">
      <alignment horizontal="center" vertical="center"/>
    </xf>
    <xf numFmtId="164" fontId="16" fillId="3" borderId="6" xfId="0" applyNumberFormat="1" applyFont="1" applyFill="1" applyBorder="1" applyAlignment="1">
      <alignment horizontal="center" vertical="center"/>
    </xf>
    <xf numFmtId="1" fontId="14" fillId="3" borderId="6" xfId="0" applyNumberFormat="1" applyFont="1" applyFill="1" applyBorder="1" applyAlignment="1">
      <alignment horizontal="center" vertical="center"/>
    </xf>
    <xf numFmtId="2" fontId="1" fillId="7" borderId="52" xfId="0" applyNumberFormat="1" applyFont="1" applyFill="1" applyBorder="1" applyAlignment="1">
      <alignment horizontal="center" vertical="center" wrapText="1"/>
    </xf>
    <xf numFmtId="2" fontId="4" fillId="3" borderId="36" xfId="0" applyNumberFormat="1" applyFont="1" applyFill="1" applyBorder="1" applyAlignment="1">
      <alignment horizontal="center" vertical="center"/>
    </xf>
    <xf numFmtId="164" fontId="4" fillId="3" borderId="54" xfId="0" applyNumberFormat="1" applyFont="1" applyFill="1" applyBorder="1" applyAlignment="1">
      <alignment horizontal="center" vertical="center"/>
    </xf>
    <xf numFmtId="164" fontId="16" fillId="3" borderId="6" xfId="0" applyNumberFormat="1" applyFont="1" applyFill="1" applyBorder="1" applyAlignment="1">
      <alignment horizontal="center" vertical="center" wrapText="1"/>
    </xf>
    <xf numFmtId="2" fontId="16" fillId="3" borderId="0" xfId="0" applyNumberFormat="1" applyFont="1" applyFill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 wrapText="1"/>
    </xf>
    <xf numFmtId="164" fontId="4" fillId="3" borderId="34" xfId="0" applyNumberFormat="1" applyFont="1" applyFill="1" applyBorder="1" applyAlignment="1">
      <alignment horizontal="center" vertical="center"/>
    </xf>
    <xf numFmtId="2" fontId="54" fillId="3" borderId="0" xfId="0" applyNumberFormat="1" applyFont="1" applyFill="1" applyAlignment="1">
      <alignment vertical="center"/>
    </xf>
    <xf numFmtId="2" fontId="1" fillId="3" borderId="0" xfId="0" applyNumberFormat="1" applyFont="1" applyFill="1" applyAlignment="1">
      <alignment horizontal="right" vertical="center"/>
    </xf>
    <xf numFmtId="2" fontId="1" fillId="7" borderId="47" xfId="0" applyNumberFormat="1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/>
    </xf>
    <xf numFmtId="164" fontId="4" fillId="3" borderId="2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2" fontId="6" fillId="3" borderId="15" xfId="1" applyNumberFormat="1" applyFont="1" applyFill="1" applyBorder="1" applyAlignment="1">
      <alignment horizontal="center" vertical="center"/>
    </xf>
    <xf numFmtId="2" fontId="60" fillId="0" borderId="16" xfId="0" applyNumberFormat="1" applyFont="1" applyBorder="1" applyAlignment="1">
      <alignment vertical="center"/>
    </xf>
    <xf numFmtId="2" fontId="78" fillId="3" borderId="18" xfId="0" applyNumberFormat="1" applyFont="1" applyFill="1" applyBorder="1" applyAlignment="1">
      <alignment horizontal="center" vertical="center"/>
    </xf>
    <xf numFmtId="164" fontId="79" fillId="3" borderId="19" xfId="0" applyNumberFormat="1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/>
    </xf>
    <xf numFmtId="2" fontId="60" fillId="0" borderId="18" xfId="0" applyNumberFormat="1" applyFont="1" applyBorder="1" applyAlignment="1">
      <alignment horizontal="center" vertical="center"/>
    </xf>
    <xf numFmtId="2" fontId="60" fillId="0" borderId="19" xfId="0" applyNumberFormat="1" applyFont="1" applyBorder="1" applyAlignment="1">
      <alignment horizontal="center" vertical="center"/>
    </xf>
    <xf numFmtId="2" fontId="80" fillId="3" borderId="0" xfId="0" applyNumberFormat="1" applyFont="1" applyFill="1" applyAlignment="1">
      <alignment horizontal="center" vertical="center" wrapText="1"/>
    </xf>
    <xf numFmtId="2" fontId="81" fillId="3" borderId="0" xfId="0" applyNumberFormat="1" applyFont="1" applyFill="1" applyAlignment="1">
      <alignment horizontal="center" vertical="center"/>
    </xf>
    <xf numFmtId="2" fontId="82" fillId="3" borderId="22" xfId="0" applyNumberFormat="1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2" fontId="80" fillId="3" borderId="0" xfId="0" applyNumberFormat="1" applyFont="1" applyFill="1"/>
    <xf numFmtId="2" fontId="80" fillId="3" borderId="22" xfId="0" applyNumberFormat="1" applyFont="1" applyFill="1" applyBorder="1"/>
    <xf numFmtId="2" fontId="80" fillId="3" borderId="0" xfId="0" applyNumberFormat="1" applyFont="1" applyFill="1" applyAlignment="1">
      <alignment horizontal="center" vertical="center"/>
    </xf>
    <xf numFmtId="2" fontId="0" fillId="3" borderId="22" xfId="0" applyNumberFormat="1" applyFill="1" applyBorder="1"/>
    <xf numFmtId="2" fontId="9" fillId="3" borderId="0" xfId="0" applyNumberFormat="1" applyFont="1" applyFill="1"/>
    <xf numFmtId="2" fontId="9" fillId="3" borderId="22" xfId="0" applyNumberFormat="1" applyFont="1" applyFill="1" applyBorder="1"/>
    <xf numFmtId="2" fontId="16" fillId="3" borderId="22" xfId="0" applyNumberFormat="1" applyFont="1" applyFill="1" applyBorder="1" applyAlignment="1">
      <alignment horizontal="center" vertical="center"/>
    </xf>
    <xf numFmtId="2" fontId="56" fillId="3" borderId="0" xfId="0" applyNumberFormat="1" applyFont="1" applyFill="1" applyAlignment="1">
      <alignment horizontal="center" vertical="center"/>
    </xf>
    <xf numFmtId="2" fontId="21" fillId="8" borderId="6" xfId="0" applyNumberFormat="1" applyFont="1" applyFill="1" applyBorder="1" applyAlignment="1">
      <alignment horizontal="center" vertical="center"/>
    </xf>
    <xf numFmtId="2" fontId="21" fillId="8" borderId="6" xfId="0" applyNumberFormat="1" applyFont="1" applyFill="1" applyBorder="1" applyAlignment="1">
      <alignment vertical="center"/>
    </xf>
    <xf numFmtId="1" fontId="21" fillId="8" borderId="6" xfId="0" applyNumberFormat="1" applyFont="1" applyFill="1" applyBorder="1" applyAlignment="1">
      <alignment vertical="center"/>
    </xf>
    <xf numFmtId="1" fontId="21" fillId="8" borderId="6" xfId="0" applyNumberFormat="1" applyFont="1" applyFill="1" applyBorder="1" applyAlignment="1">
      <alignment horizontal="center" vertical="center"/>
    </xf>
    <xf numFmtId="1" fontId="21" fillId="8" borderId="16" xfId="0" applyNumberFormat="1" applyFont="1" applyFill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 vertical="center"/>
    </xf>
    <xf numFmtId="2" fontId="17" fillId="0" borderId="4" xfId="0" applyNumberFormat="1" applyFont="1" applyBorder="1"/>
    <xf numFmtId="2" fontId="17" fillId="0" borderId="5" xfId="0" applyNumberFormat="1" applyFont="1" applyBorder="1"/>
    <xf numFmtId="2" fontId="17" fillId="0" borderId="23" xfId="0" applyNumberFormat="1" applyFont="1" applyBorder="1"/>
    <xf numFmtId="1" fontId="21" fillId="8" borderId="6" xfId="0" applyNumberFormat="1" applyFont="1" applyFill="1" applyBorder="1" applyAlignment="1">
      <alignment horizontal="right" vertical="center"/>
    </xf>
    <xf numFmtId="2" fontId="17" fillId="0" borderId="0" xfId="0" applyNumberFormat="1" applyFont="1"/>
    <xf numFmtId="2" fontId="17" fillId="0" borderId="22" xfId="0" applyNumberFormat="1" applyFont="1" applyBorder="1"/>
    <xf numFmtId="2" fontId="17" fillId="7" borderId="44" xfId="0" applyNumberFormat="1" applyFont="1" applyFill="1" applyBorder="1"/>
    <xf numFmtId="2" fontId="17" fillId="7" borderId="27" xfId="0" applyNumberFormat="1" applyFont="1" applyFill="1" applyBorder="1"/>
    <xf numFmtId="2" fontId="17" fillId="7" borderId="45" xfId="0" applyNumberFormat="1" applyFont="1" applyFill="1" applyBorder="1"/>
    <xf numFmtId="2" fontId="21" fillId="8" borderId="15" xfId="0" applyNumberFormat="1" applyFont="1" applyFill="1" applyBorder="1"/>
    <xf numFmtId="2" fontId="21" fillId="8" borderId="46" xfId="0" applyNumberFormat="1" applyFont="1" applyFill="1" applyBorder="1"/>
    <xf numFmtId="2" fontId="21" fillId="8" borderId="14" xfId="0" applyNumberFormat="1" applyFont="1" applyFill="1" applyBorder="1" applyAlignment="1">
      <alignment horizontal="center" vertical="center"/>
    </xf>
    <xf numFmtId="2" fontId="21" fillId="8" borderId="14" xfId="0" applyNumberFormat="1" applyFont="1" applyFill="1" applyBorder="1" applyAlignment="1">
      <alignment vertical="center"/>
    </xf>
    <xf numFmtId="1" fontId="21" fillId="8" borderId="14" xfId="0" applyNumberFormat="1" applyFont="1" applyFill="1" applyBorder="1" applyAlignment="1">
      <alignment vertical="center"/>
    </xf>
    <xf numFmtId="1" fontId="21" fillId="8" borderId="14" xfId="0" applyNumberFormat="1" applyFont="1" applyFill="1" applyBorder="1" applyAlignment="1">
      <alignment horizontal="center" vertical="center"/>
    </xf>
    <xf numFmtId="1" fontId="21" fillId="8" borderId="34" xfId="0" applyNumberFormat="1" applyFont="1" applyFill="1" applyBorder="1" applyAlignment="1">
      <alignment horizontal="center" vertical="center"/>
    </xf>
    <xf numFmtId="2" fontId="83" fillId="7" borderId="38" xfId="0" quotePrefix="1" applyNumberFormat="1" applyFont="1" applyFill="1" applyBorder="1" applyAlignment="1">
      <alignment vertical="center"/>
    </xf>
    <xf numFmtId="2" fontId="83" fillId="7" borderId="51" xfId="0" quotePrefix="1" applyNumberFormat="1" applyFont="1" applyFill="1" applyBorder="1" applyAlignment="1">
      <alignment vertical="center"/>
    </xf>
    <xf numFmtId="1" fontId="17" fillId="0" borderId="46" xfId="0" applyNumberFormat="1" applyFont="1" applyBorder="1" applyAlignment="1">
      <alignment horizontal="center" vertical="center"/>
    </xf>
    <xf numFmtId="2" fontId="17" fillId="0" borderId="13" xfId="0" applyNumberFormat="1" applyFont="1" applyBorder="1"/>
    <xf numFmtId="2" fontId="17" fillId="0" borderId="8" xfId="0" applyNumberFormat="1" applyFont="1" applyBorder="1"/>
    <xf numFmtId="2" fontId="17" fillId="0" borderId="58" xfId="0" applyNumberFormat="1" applyFont="1" applyBorder="1"/>
    <xf numFmtId="2" fontId="83" fillId="7" borderId="57" xfId="0" applyNumberFormat="1" applyFont="1" applyFill="1" applyBorder="1"/>
    <xf numFmtId="2" fontId="31" fillId="2" borderId="0" xfId="0" applyNumberFormat="1" applyFont="1" applyFill="1" applyAlignment="1" applyProtection="1">
      <alignment horizontal="left" vertical="center"/>
      <protection locked="0"/>
    </xf>
    <xf numFmtId="0" fontId="4" fillId="3" borderId="4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2" fillId="13" borderId="15" xfId="0" applyNumberFormat="1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2" fontId="14" fillId="7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" fillId="7" borderId="6" xfId="0" applyNumberFormat="1" applyFont="1" applyFill="1" applyBorder="1" applyAlignment="1">
      <alignment horizontal="center" vertical="center"/>
    </xf>
    <xf numFmtId="2" fontId="1" fillId="13" borderId="6" xfId="0" applyNumberFormat="1" applyFont="1" applyFill="1" applyBorder="1" applyAlignment="1">
      <alignment horizontal="center"/>
    </xf>
    <xf numFmtId="2" fontId="1" fillId="7" borderId="6" xfId="0" applyNumberFormat="1" applyFont="1" applyFill="1" applyBorder="1" applyAlignment="1">
      <alignment vertical="center"/>
    </xf>
    <xf numFmtId="2" fontId="1" fillId="7" borderId="6" xfId="0" quotePrefix="1" applyNumberFormat="1" applyFont="1" applyFill="1" applyBorder="1" applyAlignment="1">
      <alignment horizontal="center" vertical="center"/>
    </xf>
    <xf numFmtId="2" fontId="0" fillId="7" borderId="6" xfId="0" applyNumberFormat="1" applyFill="1" applyBorder="1"/>
    <xf numFmtId="2" fontId="2" fillId="13" borderId="17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2" fontId="1" fillId="7" borderId="6" xfId="0" quotePrefix="1" applyNumberFormat="1" applyFont="1" applyFill="1" applyBorder="1" applyAlignment="1">
      <alignment horizontal="center"/>
    </xf>
    <xf numFmtId="2" fontId="0" fillId="0" borderId="20" xfId="0" applyNumberFormat="1" applyBorder="1"/>
    <xf numFmtId="2" fontId="0" fillId="0" borderId="38" xfId="0" applyNumberFormat="1" applyBorder="1"/>
    <xf numFmtId="2" fontId="4" fillId="0" borderId="0" xfId="0" applyNumberFormat="1" applyFont="1"/>
    <xf numFmtId="2" fontId="0" fillId="3" borderId="20" xfId="0" applyNumberFormat="1" applyFill="1" applyBorder="1" applyAlignment="1">
      <alignment horizontal="center" vertical="center"/>
    </xf>
    <xf numFmtId="2" fontId="1" fillId="3" borderId="0" xfId="0" quotePrefix="1" applyNumberFormat="1" applyFont="1" applyFill="1" applyAlignment="1">
      <alignment horizontal="center"/>
    </xf>
    <xf numFmtId="2" fontId="14" fillId="7" borderId="6" xfId="0" quotePrefix="1" applyNumberFormat="1" applyFont="1" applyFill="1" applyBorder="1" applyAlignment="1">
      <alignment horizontal="center" vertical="center"/>
    </xf>
    <xf numFmtId="2" fontId="14" fillId="13" borderId="6" xfId="0" applyNumberFormat="1" applyFont="1" applyFill="1" applyBorder="1" applyAlignment="1">
      <alignment horizontal="center" vertical="center"/>
    </xf>
    <xf numFmtId="2" fontId="1" fillId="7" borderId="6" xfId="0" applyNumberFormat="1" applyFont="1" applyFill="1" applyBorder="1" applyAlignment="1">
      <alignment horizontal="center"/>
    </xf>
    <xf numFmtId="2" fontId="0" fillId="0" borderId="42" xfId="0" applyNumberFormat="1" applyBorder="1"/>
    <xf numFmtId="2" fontId="0" fillId="0" borderId="2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7" borderId="6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2" fontId="4" fillId="5" borderId="44" xfId="0" applyNumberFormat="1" applyFont="1" applyFill="1" applyBorder="1"/>
    <xf numFmtId="2" fontId="58" fillId="13" borderId="6" xfId="0" applyNumberFormat="1" applyFont="1" applyFill="1" applyBorder="1" applyAlignment="1">
      <alignment horizontal="center" vertical="center"/>
    </xf>
    <xf numFmtId="2" fontId="9" fillId="6" borderId="15" xfId="0" applyNumberFormat="1" applyFont="1" applyFill="1" applyBorder="1" applyAlignment="1">
      <alignment horizontal="center" vertical="center"/>
    </xf>
    <xf numFmtId="2" fontId="9" fillId="6" borderId="16" xfId="0" applyNumberFormat="1" applyFont="1" applyFill="1" applyBorder="1" applyAlignment="1">
      <alignment horizontal="center" vertical="center"/>
    </xf>
    <xf numFmtId="2" fontId="4" fillId="13" borderId="6" xfId="0" applyNumberFormat="1" applyFont="1" applyFill="1" applyBorder="1" applyAlignment="1">
      <alignment horizontal="center" vertical="center"/>
    </xf>
    <xf numFmtId="2" fontId="4" fillId="13" borderId="16" xfId="0" applyNumberFormat="1" applyFont="1" applyFill="1" applyBorder="1" applyAlignment="1">
      <alignment horizontal="center" vertical="center"/>
    </xf>
    <xf numFmtId="2" fontId="9" fillId="6" borderId="15" xfId="0" applyNumberFormat="1" applyFont="1" applyFill="1" applyBorder="1" applyAlignment="1">
      <alignment horizontal="center"/>
    </xf>
    <xf numFmtId="2" fontId="9" fillId="6" borderId="16" xfId="0" applyNumberFormat="1" applyFont="1" applyFill="1" applyBorder="1" applyAlignment="1">
      <alignment horizontal="center"/>
    </xf>
    <xf numFmtId="2" fontId="4" fillId="13" borderId="6" xfId="0" applyNumberFormat="1" applyFont="1" applyFill="1" applyBorder="1" applyAlignment="1">
      <alignment horizontal="center"/>
    </xf>
    <xf numFmtId="2" fontId="4" fillId="13" borderId="16" xfId="0" applyNumberFormat="1" applyFont="1" applyFill="1" applyBorder="1" applyAlignment="1">
      <alignment horizontal="center"/>
    </xf>
    <xf numFmtId="2" fontId="2" fillId="6" borderId="16" xfId="0" applyNumberFormat="1" applyFont="1" applyFill="1" applyBorder="1" applyAlignment="1">
      <alignment horizontal="center"/>
    </xf>
    <xf numFmtId="2" fontId="9" fillId="6" borderId="17" xfId="0" applyNumberFormat="1" applyFont="1" applyFill="1" applyBorder="1" applyAlignment="1">
      <alignment horizontal="center" vertical="center"/>
    </xf>
    <xf numFmtId="2" fontId="2" fillId="6" borderId="19" xfId="0" applyNumberFormat="1" applyFont="1" applyFill="1" applyBorder="1" applyAlignment="1">
      <alignment horizontal="center"/>
    </xf>
    <xf numFmtId="2" fontId="4" fillId="13" borderId="18" xfId="0" applyNumberFormat="1" applyFont="1" applyFill="1" applyBorder="1" applyAlignment="1">
      <alignment horizontal="center" vertical="center"/>
    </xf>
    <xf numFmtId="2" fontId="4" fillId="13" borderId="18" xfId="0" applyNumberFormat="1" applyFont="1" applyFill="1" applyBorder="1" applyAlignment="1">
      <alignment horizontal="center"/>
    </xf>
    <xf numFmtId="2" fontId="4" fillId="13" borderId="19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27" xfId="0" applyNumberFormat="1" applyFont="1" applyBorder="1"/>
    <xf numFmtId="2" fontId="4" fillId="3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/>
    </xf>
    <xf numFmtId="2" fontId="4" fillId="3" borderId="25" xfId="0" applyNumberFormat="1" applyFont="1" applyFill="1" applyBorder="1" applyAlignment="1">
      <alignment horizontal="center"/>
    </xf>
    <xf numFmtId="2" fontId="4" fillId="3" borderId="0" xfId="0" applyNumberFormat="1" applyFont="1" applyFill="1"/>
    <xf numFmtId="2" fontId="4" fillId="13" borderId="53" xfId="0" applyNumberFormat="1" applyFont="1" applyFill="1" applyBorder="1" applyAlignment="1">
      <alignment horizontal="center" vertical="center"/>
    </xf>
    <xf numFmtId="2" fontId="4" fillId="13" borderId="53" xfId="0" applyNumberFormat="1" applyFont="1" applyFill="1" applyBorder="1" applyAlignment="1">
      <alignment horizontal="center"/>
    </xf>
    <xf numFmtId="2" fontId="4" fillId="13" borderId="54" xfId="0" applyNumberFormat="1" applyFont="1" applyFill="1" applyBorder="1" applyAlignment="1">
      <alignment horizontal="center"/>
    </xf>
    <xf numFmtId="2" fontId="4" fillId="0" borderId="42" xfId="0" applyNumberFormat="1" applyFont="1" applyBorder="1"/>
    <xf numFmtId="2" fontId="59" fillId="6" borderId="16" xfId="0" applyNumberFormat="1" applyFont="1" applyFill="1" applyBorder="1" applyAlignment="1">
      <alignment horizontal="center" vertical="center"/>
    </xf>
    <xf numFmtId="2" fontId="4" fillId="13" borderId="19" xfId="0" applyNumberFormat="1" applyFont="1" applyFill="1" applyBorder="1" applyAlignment="1">
      <alignment horizontal="center" vertical="center"/>
    </xf>
    <xf numFmtId="2" fontId="4" fillId="3" borderId="48" xfId="0" applyNumberFormat="1" applyFont="1" applyFill="1" applyBorder="1" applyAlignment="1">
      <alignment horizontal="center" vertical="center"/>
    </xf>
    <xf numFmtId="2" fontId="4" fillId="13" borderId="54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20" xfId="0" applyNumberFormat="1" applyFont="1" applyFill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58" fillId="3" borderId="6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2" fontId="0" fillId="7" borderId="53" xfId="0" applyNumberFormat="1" applyFill="1" applyBorder="1"/>
    <xf numFmtId="2" fontId="0" fillId="7" borderId="54" xfId="0" applyNumberFormat="1" applyFill="1" applyBorder="1"/>
    <xf numFmtId="2" fontId="0" fillId="7" borderId="16" xfId="0" applyNumberFormat="1" applyFill="1" applyBorder="1"/>
    <xf numFmtId="2" fontId="4" fillId="3" borderId="20" xfId="0" applyNumberFormat="1" applyFont="1" applyFill="1" applyBorder="1"/>
    <xf numFmtId="2" fontId="0" fillId="7" borderId="18" xfId="0" applyNumberFormat="1" applyFill="1" applyBorder="1"/>
    <xf numFmtId="2" fontId="0" fillId="7" borderId="19" xfId="0" applyNumberFormat="1" applyFill="1" applyBorder="1"/>
    <xf numFmtId="2" fontId="16" fillId="3" borderId="0" xfId="0" applyNumberFormat="1" applyFont="1" applyFill="1" applyAlignment="1">
      <alignment vertical="center"/>
    </xf>
    <xf numFmtId="2" fontId="16" fillId="3" borderId="0" xfId="0" applyNumberFormat="1" applyFont="1" applyFill="1" applyAlignment="1">
      <alignment horizontal="center"/>
    </xf>
    <xf numFmtId="2" fontId="58" fillId="3" borderId="0" xfId="0" applyNumberFormat="1" applyFont="1" applyFill="1" applyAlignment="1">
      <alignment vertical="center"/>
    </xf>
    <xf numFmtId="2" fontId="16" fillId="3" borderId="6" xfId="0" applyNumberFormat="1" applyFont="1" applyFill="1" applyBorder="1" applyAlignment="1">
      <alignment horizontal="center" vertical="center"/>
    </xf>
    <xf numFmtId="2" fontId="16" fillId="3" borderId="6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13" borderId="6" xfId="0" applyNumberFormat="1" applyFont="1" applyFill="1" applyBorder="1" applyAlignment="1">
      <alignment vertical="center"/>
    </xf>
    <xf numFmtId="2" fontId="37" fillId="0" borderId="16" xfId="0" applyNumberFormat="1" applyFont="1" applyBorder="1" applyAlignment="1">
      <alignment horizontal="left" vertical="center"/>
    </xf>
    <xf numFmtId="2" fontId="4" fillId="13" borderId="6" xfId="0" applyNumberFormat="1" applyFont="1" applyFill="1" applyBorder="1" applyAlignment="1">
      <alignment horizontal="left" vertical="center"/>
    </xf>
    <xf numFmtId="166" fontId="31" fillId="0" borderId="0" xfId="2" applyNumberFormat="1" applyFont="1" applyAlignment="1" applyProtection="1">
      <alignment horizontal="left" vertical="center"/>
      <protection locked="0"/>
    </xf>
    <xf numFmtId="164" fontId="31" fillId="0" borderId="0" xfId="0" applyNumberFormat="1" applyFont="1" applyAlignment="1">
      <alignment vertical="center"/>
    </xf>
    <xf numFmtId="0" fontId="32" fillId="14" borderId="0" xfId="0" applyFont="1" applyFill="1"/>
    <xf numFmtId="0" fontId="31" fillId="14" borderId="0" xfId="0" applyFont="1" applyFill="1"/>
    <xf numFmtId="14" fontId="1" fillId="2" borderId="0" xfId="0" applyNumberFormat="1" applyFont="1" applyFill="1" applyAlignment="1" applyProtection="1">
      <alignment horizontal="right" vertical="center"/>
      <protection locked="0"/>
    </xf>
    <xf numFmtId="2" fontId="8" fillId="13" borderId="6" xfId="3" applyNumberFormat="1" applyFont="1" applyFill="1" applyBorder="1" applyAlignment="1">
      <alignment horizontal="center" vertical="center"/>
    </xf>
    <xf numFmtId="2" fontId="16" fillId="3" borderId="6" xfId="3" applyNumberFormat="1" applyFont="1" applyFill="1" applyBorder="1" applyAlignment="1">
      <alignment vertical="center"/>
    </xf>
    <xf numFmtId="2" fontId="16" fillId="3" borderId="42" xfId="3" applyNumberFormat="1" applyFont="1" applyFill="1" applyBorder="1" applyAlignment="1">
      <alignment horizontal="center" vertical="center"/>
    </xf>
    <xf numFmtId="2" fontId="16" fillId="3" borderId="6" xfId="3" applyNumberFormat="1" applyFont="1" applyFill="1" applyBorder="1" applyAlignment="1">
      <alignment horizontal="center" vertical="center"/>
    </xf>
    <xf numFmtId="2" fontId="16" fillId="3" borderId="42" xfId="3" applyNumberFormat="1" applyFont="1" applyFill="1" applyBorder="1" applyAlignment="1">
      <alignment horizontal="left" vertical="center" wrapText="1"/>
    </xf>
    <xf numFmtId="2" fontId="8" fillId="3" borderId="6" xfId="3" applyNumberFormat="1" applyFont="1" applyFill="1" applyBorder="1" applyAlignment="1">
      <alignment horizontal="center" vertical="center"/>
    </xf>
    <xf numFmtId="2" fontId="10" fillId="3" borderId="6" xfId="3" applyNumberFormat="1" applyFont="1" applyFill="1" applyBorder="1" applyAlignment="1">
      <alignment horizontal="center" vertical="center"/>
    </xf>
    <xf numFmtId="2" fontId="4" fillId="3" borderId="6" xfId="3" applyNumberFormat="1" applyFont="1" applyFill="1" applyBorder="1" applyAlignment="1">
      <alignment horizontal="center"/>
    </xf>
    <xf numFmtId="2" fontId="4" fillId="3" borderId="20" xfId="3" applyNumberFormat="1" applyFont="1" applyFill="1" applyBorder="1" applyAlignment="1">
      <alignment horizontal="center"/>
    </xf>
    <xf numFmtId="2" fontId="9" fillId="3" borderId="0" xfId="3" applyNumberFormat="1" applyFont="1" applyFill="1"/>
    <xf numFmtId="2" fontId="10" fillId="3" borderId="0" xfId="3" applyNumberFormat="1" applyFont="1" applyFill="1"/>
    <xf numFmtId="2" fontId="16" fillId="3" borderId="0" xfId="3" applyNumberFormat="1" applyFont="1" applyFill="1" applyAlignment="1">
      <alignment vertical="center"/>
    </xf>
    <xf numFmtId="2" fontId="10" fillId="3" borderId="0" xfId="3" applyNumberFormat="1" applyFont="1" applyFill="1" applyAlignment="1">
      <alignment horizontal="center"/>
    </xf>
    <xf numFmtId="2" fontId="4" fillId="3" borderId="27" xfId="0" applyNumberFormat="1" applyFont="1" applyFill="1" applyBorder="1"/>
    <xf numFmtId="2" fontId="4" fillId="3" borderId="27" xfId="3" applyNumberFormat="1" applyFont="1" applyFill="1" applyBorder="1" applyAlignment="1">
      <alignment horizontal="center"/>
    </xf>
    <xf numFmtId="2" fontId="0" fillId="0" borderId="27" xfId="0" applyNumberFormat="1" applyBorder="1"/>
    <xf numFmtId="2" fontId="0" fillId="0" borderId="45" xfId="0" applyNumberFormat="1" applyBorder="1"/>
    <xf numFmtId="2" fontId="6" fillId="3" borderId="15" xfId="3" applyNumberFormat="1" applyFont="1" applyFill="1" applyBorder="1" applyAlignment="1">
      <alignment horizontal="center" vertical="center"/>
    </xf>
    <xf numFmtId="2" fontId="6" fillId="3" borderId="6" xfId="3" applyNumberFormat="1" applyFont="1" applyFill="1" applyBorder="1" applyAlignment="1">
      <alignment horizontal="center" vertical="center"/>
    </xf>
    <xf numFmtId="2" fontId="8" fillId="0" borderId="6" xfId="3" applyNumberFormat="1" applyFont="1" applyBorder="1" applyAlignment="1">
      <alignment horizontal="center" vertical="center"/>
    </xf>
    <xf numFmtId="2" fontId="1" fillId="0" borderId="6" xfId="3" applyNumberFormat="1" applyBorder="1" applyAlignment="1">
      <alignment horizontal="center" vertical="center"/>
    </xf>
    <xf numFmtId="164" fontId="0" fillId="0" borderId="6" xfId="0" applyNumberFormat="1" applyBorder="1"/>
    <xf numFmtId="164" fontId="0" fillId="0" borderId="14" xfId="0" quotePrefix="1" applyNumberFormat="1" applyBorder="1" applyAlignment="1">
      <alignment horizontal="center" vertical="center"/>
    </xf>
    <xf numFmtId="2" fontId="10" fillId="8" borderId="6" xfId="3" applyNumberFormat="1" applyFont="1" applyFill="1" applyBorder="1"/>
    <xf numFmtId="2" fontId="10" fillId="8" borderId="6" xfId="3" applyNumberFormat="1" applyFont="1" applyFill="1" applyBorder="1" applyAlignment="1">
      <alignment horizontal="center" vertical="center"/>
    </xf>
    <xf numFmtId="2" fontId="6" fillId="8" borderId="6" xfId="3" applyNumberFormat="1" applyFont="1" applyFill="1" applyBorder="1" applyAlignment="1">
      <alignment horizontal="center" vertical="center"/>
    </xf>
    <xf numFmtId="2" fontId="1" fillId="8" borderId="6" xfId="3" applyNumberFormat="1" applyFill="1" applyBorder="1" applyAlignment="1">
      <alignment horizontal="center" vertical="center"/>
    </xf>
    <xf numFmtId="2" fontId="8" fillId="8" borderId="6" xfId="3" applyNumberFormat="1" applyFont="1" applyFill="1" applyBorder="1" applyAlignment="1">
      <alignment horizontal="center" vertical="center"/>
    </xf>
    <xf numFmtId="2" fontId="1" fillId="3" borderId="42" xfId="0" applyNumberFormat="1" applyFont="1" applyFill="1" applyBorder="1"/>
    <xf numFmtId="164" fontId="6" fillId="3" borderId="6" xfId="3" applyNumberFormat="1" applyFont="1" applyFill="1" applyBorder="1" applyAlignment="1">
      <alignment horizontal="center" vertical="center"/>
    </xf>
    <xf numFmtId="2" fontId="1" fillId="3" borderId="6" xfId="3" applyNumberFormat="1" applyFill="1" applyBorder="1" applyAlignment="1">
      <alignment horizontal="center" vertical="center"/>
    </xf>
    <xf numFmtId="164" fontId="1" fillId="3" borderId="6" xfId="3" applyNumberFormat="1" applyFill="1" applyBorder="1" applyAlignment="1">
      <alignment horizontal="center" vertical="center"/>
    </xf>
    <xf numFmtId="2" fontId="77" fillId="7" borderId="47" xfId="0" applyNumberFormat="1" applyFont="1" applyFill="1" applyBorder="1" applyAlignment="1">
      <alignment horizontal="center" vertical="center" wrapText="1"/>
    </xf>
    <xf numFmtId="2" fontId="77" fillId="7" borderId="6" xfId="0" applyNumberFormat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164" fontId="31" fillId="0" borderId="4" xfId="0" applyNumberFormat="1" applyFont="1" applyBorder="1" applyAlignment="1">
      <alignment horizontal="right" vertical="center"/>
    </xf>
    <xf numFmtId="166" fontId="31" fillId="0" borderId="4" xfId="0" applyNumberFormat="1" applyFont="1" applyBorder="1" applyAlignment="1">
      <alignment horizontal="right" vertical="center"/>
    </xf>
    <xf numFmtId="0" fontId="1" fillId="0" borderId="4" xfId="0" quotePrefix="1" applyFont="1" applyBorder="1" applyAlignment="1">
      <alignment horizontal="right" vertical="center"/>
    </xf>
    <xf numFmtId="0" fontId="31" fillId="0" borderId="7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6"/>
    <xf numFmtId="0" fontId="1" fillId="0" borderId="0" xfId="6" applyAlignment="1" applyProtection="1">
      <alignment wrapText="1"/>
      <protection hidden="1"/>
    </xf>
    <xf numFmtId="0" fontId="1" fillId="0" borderId="0" xfId="6" applyProtection="1">
      <protection locked="0"/>
    </xf>
    <xf numFmtId="0" fontId="87" fillId="0" borderId="0" xfId="6" applyFont="1" applyAlignment="1">
      <alignment horizontal="center" vertical="center" wrapText="1"/>
    </xf>
    <xf numFmtId="0" fontId="2" fillId="0" borderId="0" xfId="6" applyFont="1" applyProtection="1">
      <protection locked="0"/>
    </xf>
    <xf numFmtId="0" fontId="10" fillId="0" borderId="4" xfId="6" applyFont="1" applyBorder="1" applyAlignment="1">
      <alignment horizontal="left" vertical="top" wrapText="1"/>
    </xf>
    <xf numFmtId="0" fontId="10" fillId="0" borderId="7" xfId="6" applyFont="1" applyBorder="1" applyAlignment="1">
      <alignment horizontal="left" vertical="top" wrapText="1"/>
    </xf>
    <xf numFmtId="0" fontId="1" fillId="0" borderId="0" xfId="6" applyAlignment="1">
      <alignment horizontal="left" vertical="top"/>
    </xf>
    <xf numFmtId="0" fontId="10" fillId="0" borderId="7" xfId="6" applyFont="1" applyBorder="1" applyAlignment="1">
      <alignment horizontal="left" vertical="top"/>
    </xf>
    <xf numFmtId="0" fontId="10" fillId="0" borderId="0" xfId="6" applyFont="1" applyAlignment="1">
      <alignment vertical="center" wrapText="1"/>
    </xf>
    <xf numFmtId="0" fontId="10" fillId="0" borderId="0" xfId="6" applyFont="1" applyAlignment="1">
      <alignment horizontal="center" vertical="center" wrapText="1"/>
    </xf>
    <xf numFmtId="0" fontId="89" fillId="0" borderId="0" xfId="6" applyFont="1"/>
    <xf numFmtId="0" fontId="10" fillId="0" borderId="0" xfId="6" applyFont="1" applyAlignment="1" applyProtection="1">
      <alignment horizontal="left" vertical="center" wrapText="1"/>
      <protection locked="0"/>
    </xf>
    <xf numFmtId="0" fontId="10" fillId="0" borderId="0" xfId="6" applyFont="1" applyAlignment="1" applyProtection="1">
      <alignment horizontal="center" vertical="center" wrapText="1"/>
      <protection locked="0"/>
    </xf>
    <xf numFmtId="182" fontId="10" fillId="0" borderId="0" xfId="6" quotePrefix="1" applyNumberFormat="1" applyFont="1" applyAlignment="1" applyProtection="1">
      <alignment horizontal="left"/>
      <protection locked="0"/>
    </xf>
    <xf numFmtId="0" fontId="10" fillId="0" borderId="0" xfId="6" applyFont="1" applyProtection="1">
      <protection locked="0"/>
    </xf>
    <xf numFmtId="2" fontId="88" fillId="0" borderId="0" xfId="6" quotePrefix="1" applyNumberFormat="1" applyFont="1" applyProtection="1">
      <protection locked="0"/>
    </xf>
    <xf numFmtId="0" fontId="89" fillId="0" borderId="0" xfId="6" applyFont="1" applyProtection="1">
      <protection locked="0"/>
    </xf>
    <xf numFmtId="0" fontId="88" fillId="0" borderId="0" xfId="6" quotePrefix="1" applyFont="1" applyAlignment="1" applyProtection="1">
      <alignment horizontal="left"/>
      <protection locked="0"/>
    </xf>
    <xf numFmtId="0" fontId="10" fillId="0" borderId="4" xfId="6" applyFont="1" applyBorder="1" applyAlignment="1">
      <alignment vertical="top"/>
    </xf>
    <xf numFmtId="0" fontId="10" fillId="0" borderId="7" xfId="6" applyFont="1" applyBorder="1" applyAlignment="1" applyProtection="1">
      <alignment vertical="top" wrapText="1"/>
      <protection locked="0"/>
    </xf>
    <xf numFmtId="0" fontId="10" fillId="0" borderId="7" xfId="6" applyFont="1" applyBorder="1" applyAlignment="1" applyProtection="1">
      <alignment vertical="top"/>
      <protection locked="0"/>
    </xf>
    <xf numFmtId="0" fontId="24" fillId="0" borderId="0" xfId="6" applyFont="1" applyAlignment="1">
      <alignment vertical="top"/>
    </xf>
    <xf numFmtId="0" fontId="10" fillId="0" borderId="0" xfId="6" applyFont="1" applyAlignment="1" applyProtection="1">
      <alignment horizontal="center" vertical="top" wrapText="1"/>
      <protection locked="0"/>
    </xf>
    <xf numFmtId="0" fontId="87" fillId="0" borderId="0" xfId="6" applyFont="1" applyAlignment="1">
      <alignment wrapText="1"/>
    </xf>
    <xf numFmtId="0" fontId="84" fillId="0" borderId="0" xfId="6" applyFont="1" applyAlignment="1">
      <alignment horizontal="center"/>
    </xf>
    <xf numFmtId="0" fontId="51" fillId="0" borderId="0" xfId="6" applyFont="1"/>
    <xf numFmtId="0" fontId="10" fillId="0" borderId="0" xfId="6" applyFont="1" applyAlignment="1">
      <alignment horizontal="center" vertical="top" wrapText="1"/>
    </xf>
    <xf numFmtId="0" fontId="10" fillId="0" borderId="0" xfId="6" applyFont="1" applyAlignment="1">
      <alignment vertical="top" wrapText="1"/>
    </xf>
    <xf numFmtId="0" fontId="10" fillId="0" borderId="0" xfId="6" applyFont="1" applyAlignment="1">
      <alignment horizontal="justify" vertical="center" wrapText="1"/>
    </xf>
    <xf numFmtId="0" fontId="90" fillId="0" borderId="0" xfId="6" applyFont="1" applyAlignment="1">
      <alignment vertical="center"/>
    </xf>
    <xf numFmtId="0" fontId="1" fillId="0" borderId="41" xfId="6" applyBorder="1"/>
    <xf numFmtId="0" fontId="91" fillId="0" borderId="43" xfId="6" applyFont="1" applyBorder="1"/>
    <xf numFmtId="0" fontId="1" fillId="0" borderId="20" xfId="6" applyBorder="1"/>
    <xf numFmtId="0" fontId="1" fillId="0" borderId="22" xfId="6" applyBorder="1"/>
    <xf numFmtId="0" fontId="1" fillId="0" borderId="20" xfId="6" applyBorder="1" applyAlignment="1">
      <alignment wrapText="1"/>
    </xf>
    <xf numFmtId="0" fontId="1" fillId="0" borderId="22" xfId="6" applyBorder="1" applyAlignment="1">
      <alignment wrapText="1"/>
    </xf>
    <xf numFmtId="0" fontId="91" fillId="0" borderId="22" xfId="6" applyFont="1" applyBorder="1"/>
    <xf numFmtId="0" fontId="75" fillId="0" borderId="22" xfId="6" applyFont="1" applyBorder="1" applyAlignment="1">
      <alignment horizontal="left" wrapText="1"/>
    </xf>
    <xf numFmtId="0" fontId="1" fillId="0" borderId="0" xfId="6" applyAlignment="1">
      <alignment wrapText="1"/>
    </xf>
    <xf numFmtId="0" fontId="75" fillId="0" borderId="20" xfId="6" applyFont="1" applyBorder="1" applyAlignment="1">
      <alignment wrapText="1"/>
    </xf>
    <xf numFmtId="180" fontId="75" fillId="0" borderId="22" xfId="6" applyNumberFormat="1" applyFont="1" applyBorder="1" applyAlignment="1">
      <alignment horizontal="left"/>
    </xf>
    <xf numFmtId="180" fontId="1" fillId="0" borderId="22" xfId="6" applyNumberFormat="1" applyBorder="1"/>
    <xf numFmtId="0" fontId="92" fillId="0" borderId="22" xfId="6" applyFont="1" applyBorder="1" applyAlignment="1">
      <alignment horizontal="left" wrapText="1"/>
    </xf>
    <xf numFmtId="0" fontId="75" fillId="0" borderId="22" xfId="6" applyFont="1" applyBorder="1" applyAlignment="1">
      <alignment wrapText="1"/>
    </xf>
    <xf numFmtId="0" fontId="75" fillId="0" borderId="20" xfId="6" applyFont="1" applyBorder="1"/>
    <xf numFmtId="0" fontId="75" fillId="0" borderId="44" xfId="6" applyFont="1" applyBorder="1"/>
    <xf numFmtId="0" fontId="75" fillId="0" borderId="45" xfId="6" applyFont="1" applyBorder="1" applyAlignment="1">
      <alignment wrapText="1"/>
    </xf>
    <xf numFmtId="2" fontId="1" fillId="0" borderId="0" xfId="0" applyNumberFormat="1" applyFont="1" applyAlignment="1">
      <alignment horizontal="right" vertical="center"/>
    </xf>
    <xf numFmtId="2" fontId="10" fillId="0" borderId="0" xfId="6" applyNumberFormat="1" applyFont="1" applyAlignment="1">
      <alignment horizontal="left" vertical="center" wrapText="1"/>
    </xf>
    <xf numFmtId="184" fontId="31" fillId="0" borderId="0" xfId="0" applyNumberFormat="1" applyFont="1" applyAlignment="1">
      <alignment horizontal="left" vertical="center"/>
    </xf>
    <xf numFmtId="185" fontId="31" fillId="0" borderId="0" xfId="0" applyNumberFormat="1" applyFont="1" applyAlignment="1">
      <alignment horizontal="left" vertical="center"/>
    </xf>
    <xf numFmtId="0" fontId="31" fillId="3" borderId="0" xfId="0" quotePrefix="1" applyFont="1" applyFill="1" applyAlignment="1" applyProtection="1">
      <alignment vertical="center"/>
      <protection locked="0"/>
    </xf>
    <xf numFmtId="0" fontId="1" fillId="0" borderId="0" xfId="1"/>
    <xf numFmtId="0" fontId="1" fillId="0" borderId="0" xfId="1" applyProtection="1">
      <protection locked="0"/>
    </xf>
    <xf numFmtId="0" fontId="1" fillId="0" borderId="5" xfId="2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166" fontId="42" fillId="3" borderId="4" xfId="0" quotePrefix="1" applyNumberFormat="1" applyFont="1" applyFill="1" applyBorder="1" applyAlignment="1" applyProtection="1">
      <alignment horizontal="right" vertical="center"/>
      <protection locked="0"/>
    </xf>
    <xf numFmtId="2" fontId="42" fillId="12" borderId="12" xfId="0" applyNumberFormat="1" applyFont="1" applyFill="1" applyBorder="1" applyAlignment="1" applyProtection="1">
      <alignment horizontal="center" vertical="center"/>
      <protection locked="0"/>
    </xf>
    <xf numFmtId="2" fontId="42" fillId="12" borderId="6" xfId="0" applyNumberFormat="1" applyFont="1" applyFill="1" applyBorder="1" applyAlignment="1" applyProtection="1">
      <alignment horizontal="center" vertical="center"/>
      <protection locked="0"/>
    </xf>
    <xf numFmtId="0" fontId="42" fillId="12" borderId="6" xfId="0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2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2" fillId="0" borderId="0" xfId="2" applyFont="1" applyAlignment="1" applyProtection="1">
      <alignment horizontal="left" vertical="center"/>
      <protection locked="0"/>
    </xf>
    <xf numFmtId="0" fontId="42" fillId="0" borderId="0" xfId="0" applyFont="1" applyAlignment="1">
      <alignment horizontal="left" vertical="center"/>
    </xf>
    <xf numFmtId="166" fontId="42" fillId="0" borderId="4" xfId="0" applyNumberFormat="1" applyFont="1" applyBorder="1" applyAlignment="1">
      <alignment horizontal="right" vertical="center"/>
    </xf>
    <xf numFmtId="164" fontId="42" fillId="0" borderId="4" xfId="0" applyNumberFormat="1" applyFont="1" applyBorder="1" applyAlignment="1">
      <alignment horizontal="right" vertical="center"/>
    </xf>
    <xf numFmtId="0" fontId="42" fillId="0" borderId="6" xfId="0" applyFont="1" applyBorder="1" applyAlignment="1">
      <alignment horizontal="center" vertical="center" wrapText="1"/>
    </xf>
    <xf numFmtId="2" fontId="42" fillId="0" borderId="6" xfId="0" applyNumberFormat="1" applyFont="1" applyBorder="1" applyAlignment="1">
      <alignment horizontal="center" vertical="center"/>
    </xf>
    <xf numFmtId="0" fontId="42" fillId="0" borderId="7" xfId="0" applyFont="1" applyBorder="1" applyAlignment="1">
      <alignment vertical="center"/>
    </xf>
    <xf numFmtId="0" fontId="94" fillId="0" borderId="6" xfId="0" applyFont="1" applyBorder="1" applyAlignment="1" applyProtection="1">
      <alignment horizontal="center" vertical="center"/>
      <protection locked="0"/>
    </xf>
    <xf numFmtId="0" fontId="32" fillId="0" borderId="6" xfId="0" applyFont="1" applyBorder="1" applyAlignment="1" applyProtection="1">
      <alignment horizontal="center" vertical="center" wrapText="1"/>
      <protection locked="0"/>
    </xf>
    <xf numFmtId="164" fontId="31" fillId="0" borderId="6" xfId="0" applyNumberFormat="1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14" fillId="0" borderId="36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2" fontId="6" fillId="3" borderId="0" xfId="3" applyNumberFormat="1" applyFont="1" applyFill="1" applyAlignment="1">
      <alignment horizontal="center" vertical="center"/>
    </xf>
    <xf numFmtId="164" fontId="6" fillId="3" borderId="0" xfId="3" applyNumberFormat="1" applyFont="1" applyFill="1" applyAlignment="1">
      <alignment horizontal="center" vertical="center"/>
    </xf>
    <xf numFmtId="0" fontId="65" fillId="0" borderId="6" xfId="0" applyFont="1" applyBorder="1" applyAlignment="1">
      <alignment horizontal="center" wrapText="1"/>
    </xf>
    <xf numFmtId="0" fontId="10" fillId="0" borderId="0" xfId="6" applyFont="1" applyAlignment="1">
      <alignment horizontal="left" vertical="center" wrapText="1"/>
    </xf>
    <xf numFmtId="2" fontId="31" fillId="0" borderId="0" xfId="2" applyNumberFormat="1" applyFont="1" applyAlignment="1" applyProtection="1">
      <alignment vertical="center"/>
      <protection locked="0"/>
    </xf>
    <xf numFmtId="165" fontId="1" fillId="0" borderId="6" xfId="0" applyNumberFormat="1" applyFont="1" applyBorder="1" applyAlignment="1">
      <alignment horizontal="center"/>
    </xf>
    <xf numFmtId="165" fontId="6" fillId="3" borderId="6" xfId="3" applyNumberFormat="1" applyFont="1" applyFill="1" applyBorder="1" applyAlignment="1">
      <alignment horizontal="center" vertical="center"/>
    </xf>
    <xf numFmtId="167" fontId="6" fillId="3" borderId="6" xfId="3" applyNumberFormat="1" applyFont="1" applyFill="1" applyBorder="1" applyAlignment="1">
      <alignment horizontal="center" vertical="center"/>
    </xf>
    <xf numFmtId="186" fontId="31" fillId="0" borderId="6" xfId="0" applyNumberFormat="1" applyFont="1" applyBorder="1" applyAlignment="1">
      <alignment horizontal="center" vertical="center"/>
    </xf>
    <xf numFmtId="165" fontId="1" fillId="3" borderId="6" xfId="3" applyNumberForma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1" fillId="0" borderId="12" xfId="0" applyNumberFormat="1" applyFon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64" fontId="32" fillId="0" borderId="12" xfId="0" applyNumberFormat="1" applyFont="1" applyBorder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2" fillId="0" borderId="6" xfId="0" applyFont="1" applyBorder="1" applyAlignment="1">
      <alignment horizontal="center" vertical="center"/>
    </xf>
    <xf numFmtId="0" fontId="32" fillId="0" borderId="11" xfId="2" applyFont="1" applyBorder="1" applyAlignment="1">
      <alignment horizontal="center" vertical="center" wrapText="1"/>
    </xf>
    <xf numFmtId="0" fontId="32" fillId="0" borderId="28" xfId="2" applyFont="1" applyBorder="1" applyAlignment="1">
      <alignment horizontal="center" vertical="center" wrapText="1"/>
    </xf>
    <xf numFmtId="0" fontId="32" fillId="0" borderId="1" xfId="2" applyFont="1" applyBorder="1" applyAlignment="1">
      <alignment horizontal="center" vertical="center" wrapText="1"/>
    </xf>
    <xf numFmtId="0" fontId="32" fillId="0" borderId="3" xfId="2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9" fontId="32" fillId="0" borderId="6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9" fontId="70" fillId="3" borderId="0" xfId="0" applyNumberFormat="1" applyFont="1" applyFill="1" applyAlignment="1">
      <alignment horizontal="center" vertical="center"/>
    </xf>
    <xf numFmtId="0" fontId="70" fillId="3" borderId="0" xfId="0" applyFont="1" applyFill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9" fontId="31" fillId="0" borderId="6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2" xfId="2" quotePrefix="1" applyFont="1" applyBorder="1" applyAlignment="1">
      <alignment horizontal="center" vertical="center"/>
    </xf>
    <xf numFmtId="0" fontId="31" fillId="0" borderId="14" xfId="2" quotePrefix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2" xfId="2" applyFont="1" applyBorder="1" applyAlignment="1">
      <alignment horizontal="center" vertical="center"/>
    </xf>
    <xf numFmtId="0" fontId="32" fillId="0" borderId="14" xfId="2" applyFont="1" applyBorder="1" applyAlignment="1">
      <alignment horizontal="center" vertical="center"/>
    </xf>
    <xf numFmtId="0" fontId="32" fillId="0" borderId="13" xfId="2" applyFont="1" applyBorder="1" applyAlignment="1">
      <alignment horizontal="center" vertical="center" wrapText="1"/>
    </xf>
    <xf numFmtId="0" fontId="32" fillId="0" borderId="9" xfId="2" applyFont="1" applyBorder="1" applyAlignment="1">
      <alignment horizontal="center" vertical="center" wrapText="1"/>
    </xf>
    <xf numFmtId="0" fontId="32" fillId="0" borderId="11" xfId="2" applyFont="1" applyBorder="1" applyAlignment="1">
      <alignment horizontal="center" vertical="center"/>
    </xf>
    <xf numFmtId="0" fontId="32" fillId="0" borderId="10" xfId="2" applyFont="1" applyBorder="1" applyAlignment="1">
      <alignment horizontal="center" vertical="center"/>
    </xf>
    <xf numFmtId="0" fontId="32" fillId="0" borderId="13" xfId="2" applyFont="1" applyBorder="1" applyAlignment="1">
      <alignment horizontal="center" vertical="center"/>
    </xf>
    <xf numFmtId="0" fontId="32" fillId="0" borderId="8" xfId="2" applyFont="1" applyBorder="1" applyAlignment="1">
      <alignment horizontal="center" vertical="center"/>
    </xf>
    <xf numFmtId="0" fontId="32" fillId="0" borderId="4" xfId="2" applyFont="1" applyBorder="1" applyAlignment="1">
      <alignment horizontal="center"/>
    </xf>
    <xf numFmtId="0" fontId="32" fillId="0" borderId="7" xfId="2" applyFont="1" applyBorder="1" applyAlignment="1">
      <alignment horizontal="center"/>
    </xf>
    <xf numFmtId="0" fontId="31" fillId="0" borderId="6" xfId="2" applyFont="1" applyBorder="1" applyAlignment="1">
      <alignment horizontal="center"/>
    </xf>
    <xf numFmtId="0" fontId="32" fillId="0" borderId="6" xfId="2" applyFont="1" applyBorder="1" applyAlignment="1" applyProtection="1">
      <alignment horizontal="center" vertical="center"/>
      <protection locked="0"/>
    </xf>
    <xf numFmtId="0" fontId="32" fillId="0" borderId="6" xfId="0" applyFont="1" applyBorder="1" applyAlignment="1" applyProtection="1">
      <alignment horizontal="center" vertical="center" wrapText="1"/>
      <protection locked="0"/>
    </xf>
    <xf numFmtId="0" fontId="31" fillId="11" borderId="0" xfId="0" applyFont="1" applyFill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2" fillId="0" borderId="6" xfId="2" applyFont="1" applyBorder="1" applyAlignment="1">
      <alignment horizontal="center" vertical="center"/>
    </xf>
    <xf numFmtId="164" fontId="32" fillId="0" borderId="11" xfId="0" applyNumberFormat="1" applyFont="1" applyBorder="1" applyAlignment="1" applyProtection="1">
      <alignment horizontal="center" vertical="center" wrapText="1"/>
      <protection locked="0"/>
    </xf>
    <xf numFmtId="164" fontId="32" fillId="0" borderId="28" xfId="0" applyNumberFormat="1" applyFont="1" applyBorder="1" applyAlignment="1" applyProtection="1">
      <alignment horizontal="center" vertical="center" wrapText="1"/>
      <protection locked="0"/>
    </xf>
    <xf numFmtId="164" fontId="32" fillId="0" borderId="1" xfId="0" applyNumberFormat="1" applyFont="1" applyBorder="1" applyAlignment="1" applyProtection="1">
      <alignment horizontal="center" vertical="center" wrapText="1"/>
      <protection locked="0"/>
    </xf>
    <xf numFmtId="164" fontId="32" fillId="0" borderId="3" xfId="0" applyNumberFormat="1" applyFont="1" applyBorder="1" applyAlignment="1" applyProtection="1">
      <alignment horizontal="center" vertical="center" wrapText="1"/>
      <protection locked="0"/>
    </xf>
    <xf numFmtId="164" fontId="32" fillId="0" borderId="13" xfId="0" applyNumberFormat="1" applyFont="1" applyBorder="1" applyAlignment="1" applyProtection="1">
      <alignment horizontal="center" vertical="center" wrapText="1"/>
      <protection locked="0"/>
    </xf>
    <xf numFmtId="164" fontId="32" fillId="0" borderId="9" xfId="0" applyNumberFormat="1" applyFont="1" applyBorder="1" applyAlignment="1" applyProtection="1">
      <alignment horizontal="center" vertical="center" wrapText="1"/>
      <protection locked="0"/>
    </xf>
    <xf numFmtId="0" fontId="32" fillId="0" borderId="11" xfId="0" applyFont="1" applyBorder="1" applyAlignment="1" applyProtection="1">
      <alignment horizontal="center" vertical="center" wrapText="1"/>
      <protection locked="0"/>
    </xf>
    <xf numFmtId="0" fontId="32" fillId="0" borderId="28" xfId="0" applyFont="1" applyBorder="1" applyAlignment="1" applyProtection="1">
      <alignment horizontal="center" vertical="center" wrapText="1"/>
      <protection locked="0"/>
    </xf>
    <xf numFmtId="0" fontId="32" fillId="0" borderId="13" xfId="0" applyFont="1" applyBorder="1" applyAlignment="1" applyProtection="1">
      <alignment horizontal="center" vertical="center" wrapText="1"/>
      <protection locked="0"/>
    </xf>
    <xf numFmtId="0" fontId="32" fillId="0" borderId="9" xfId="0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31" fillId="0" borderId="28" xfId="0" applyFont="1" applyBorder="1" applyAlignment="1" applyProtection="1">
      <alignment horizontal="center" vertical="center" wrapText="1"/>
      <protection locked="0"/>
    </xf>
    <xf numFmtId="181" fontId="31" fillId="12" borderId="13" xfId="0" applyNumberFormat="1" applyFont="1" applyFill="1" applyBorder="1" applyAlignment="1" applyProtection="1">
      <alignment horizontal="center" vertical="center" wrapText="1"/>
      <protection locked="0"/>
    </xf>
    <xf numFmtId="181" fontId="31" fillId="12" borderId="9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2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31" fillId="0" borderId="14" xfId="0" applyFont="1" applyBorder="1" applyAlignment="1" applyProtection="1">
      <alignment horizontal="center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32" fillId="0" borderId="11" xfId="0" applyFont="1" applyBorder="1" applyAlignment="1" applyProtection="1">
      <alignment horizontal="center" vertical="center"/>
      <protection locked="0"/>
    </xf>
    <xf numFmtId="0" fontId="32" fillId="0" borderId="28" xfId="0" applyFont="1" applyBorder="1" applyAlignment="1" applyProtection="1">
      <alignment horizontal="center" vertical="center"/>
      <protection locked="0"/>
    </xf>
    <xf numFmtId="0" fontId="32" fillId="0" borderId="13" xfId="0" applyFont="1" applyBorder="1" applyAlignment="1" applyProtection="1">
      <alignment horizontal="center" vertical="center"/>
      <protection locked="0"/>
    </xf>
    <xf numFmtId="0" fontId="32" fillId="0" borderId="9" xfId="0" applyFont="1" applyBorder="1" applyAlignment="1" applyProtection="1">
      <alignment horizontal="center"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0" fontId="32" fillId="0" borderId="14" xfId="0" applyFont="1" applyBorder="1" applyAlignment="1" applyProtection="1">
      <alignment horizontal="center" vertical="center"/>
      <protection locked="0"/>
    </xf>
    <xf numFmtId="0" fontId="32" fillId="0" borderId="10" xfId="0" applyFont="1" applyBorder="1" applyAlignment="1" applyProtection="1">
      <alignment horizontal="center" vertical="center"/>
      <protection locked="0"/>
    </xf>
    <xf numFmtId="0" fontId="32" fillId="0" borderId="8" xfId="0" applyFont="1" applyBorder="1" applyAlignment="1" applyProtection="1">
      <alignment horizontal="center" vertical="center"/>
      <protection locked="0"/>
    </xf>
    <xf numFmtId="0" fontId="31" fillId="11" borderId="4" xfId="2" applyFont="1" applyFill="1" applyBorder="1" applyAlignment="1" applyProtection="1">
      <alignment horizontal="left" vertical="center"/>
      <protection locked="0"/>
    </xf>
    <xf numFmtId="0" fontId="31" fillId="11" borderId="5" xfId="2" applyFont="1" applyFill="1" applyBorder="1" applyAlignment="1" applyProtection="1">
      <alignment horizontal="left" vertical="center"/>
      <protection locked="0"/>
    </xf>
    <xf numFmtId="0" fontId="31" fillId="11" borderId="7" xfId="2" applyFont="1" applyFill="1" applyBorder="1" applyAlignment="1" applyProtection="1">
      <alignment horizontal="left" vertical="center"/>
      <protection locked="0"/>
    </xf>
    <xf numFmtId="0" fontId="32" fillId="0" borderId="4" xfId="0" applyFont="1" applyBorder="1" applyAlignment="1" applyProtection="1">
      <alignment horizontal="center" vertical="center"/>
      <protection locked="0"/>
    </xf>
    <xf numFmtId="0" fontId="32" fillId="0" borderId="5" xfId="0" applyFont="1" applyBorder="1" applyAlignment="1" applyProtection="1">
      <alignment horizontal="center" vertical="center"/>
      <protection locked="0"/>
    </xf>
    <xf numFmtId="0" fontId="32" fillId="0" borderId="7" xfId="0" applyFont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0" fontId="31" fillId="11" borderId="7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31" fillId="2" borderId="6" xfId="0" applyFont="1" applyFill="1" applyBorder="1" applyAlignment="1" applyProtection="1">
      <alignment horizontal="center" vertical="center"/>
      <protection locked="0"/>
    </xf>
    <xf numFmtId="0" fontId="31" fillId="2" borderId="6" xfId="0" applyFont="1" applyFill="1" applyBorder="1" applyAlignment="1" applyProtection="1">
      <alignment horizontal="center" vertical="center" wrapText="1"/>
      <protection locked="0"/>
    </xf>
    <xf numFmtId="0" fontId="32" fillId="0" borderId="4" xfId="2" applyFont="1" applyBorder="1" applyAlignment="1" applyProtection="1">
      <alignment horizontal="center" vertical="center"/>
      <protection locked="0"/>
    </xf>
    <xf numFmtId="0" fontId="32" fillId="0" borderId="5" xfId="2" applyFont="1" applyBorder="1" applyAlignment="1" applyProtection="1">
      <alignment horizontal="center" vertical="center"/>
      <protection locked="0"/>
    </xf>
    <xf numFmtId="0" fontId="32" fillId="0" borderId="7" xfId="2" applyFont="1" applyBorder="1" applyAlignment="1" applyProtection="1">
      <alignment horizontal="center" vertical="center"/>
      <protection locked="0"/>
    </xf>
    <xf numFmtId="166" fontId="31" fillId="0" borderId="4" xfId="2" applyNumberFormat="1" applyFont="1" applyBorder="1" applyAlignment="1">
      <alignment horizontal="center" vertical="center"/>
    </xf>
    <xf numFmtId="166" fontId="31" fillId="0" borderId="5" xfId="2" applyNumberFormat="1" applyFont="1" applyBorder="1" applyAlignment="1">
      <alignment horizontal="center" vertical="center"/>
    </xf>
    <xf numFmtId="166" fontId="31" fillId="0" borderId="7" xfId="2" applyNumberFormat="1" applyFont="1" applyBorder="1" applyAlignment="1">
      <alignment horizontal="center" vertical="center"/>
    </xf>
    <xf numFmtId="166" fontId="42" fillId="3" borderId="4" xfId="2" applyNumberFormat="1" applyFont="1" applyFill="1" applyBorder="1" applyAlignment="1" applyProtection="1">
      <alignment horizontal="center" vertical="center"/>
      <protection locked="0"/>
    </xf>
    <xf numFmtId="166" fontId="42" fillId="3" borderId="7" xfId="2" applyNumberFormat="1" applyFont="1" applyFill="1" applyBorder="1" applyAlignment="1" applyProtection="1">
      <alignment horizontal="center" vertical="center"/>
      <protection locked="0"/>
    </xf>
    <xf numFmtId="0" fontId="42" fillId="0" borderId="6" xfId="0" applyFont="1" applyBorder="1" applyAlignment="1" applyProtection="1">
      <alignment horizontal="center" vertical="center" wrapText="1"/>
      <protection locked="0"/>
    </xf>
    <xf numFmtId="0" fontId="71" fillId="0" borderId="11" xfId="0" applyFont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71" fillId="0" borderId="13" xfId="0" applyFont="1" applyBorder="1" applyAlignment="1" applyProtection="1">
      <alignment horizontal="center" vertical="center"/>
      <protection locked="0"/>
    </xf>
    <xf numFmtId="0" fontId="71" fillId="0" borderId="9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2" fillId="3" borderId="0" xfId="0" applyFont="1" applyFill="1" applyAlignment="1" applyProtection="1">
      <alignment horizontal="center" vertical="center"/>
      <protection locked="0"/>
    </xf>
    <xf numFmtId="179" fontId="3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 wrapText="1"/>
    </xf>
    <xf numFmtId="2" fontId="31" fillId="6" borderId="6" xfId="0" applyNumberFormat="1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 wrapText="1"/>
    </xf>
    <xf numFmtId="164" fontId="31" fillId="0" borderId="6" xfId="0" applyNumberFormat="1" applyFont="1" applyBorder="1" applyAlignment="1">
      <alignment horizontal="center" vertical="center" wrapText="1"/>
    </xf>
    <xf numFmtId="1" fontId="48" fillId="0" borderId="6" xfId="2" applyNumberFormat="1" applyFont="1" applyBorder="1" applyAlignment="1">
      <alignment horizontal="center" vertical="center"/>
    </xf>
    <xf numFmtId="0" fontId="48" fillId="0" borderId="6" xfId="2" applyFont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14" fontId="1" fillId="2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6" xfId="2" applyFont="1" applyBorder="1" applyAlignment="1">
      <alignment horizontal="center" vertical="center"/>
    </xf>
    <xf numFmtId="0" fontId="74" fillId="6" borderId="6" xfId="0" applyFont="1" applyFill="1" applyBorder="1" applyAlignment="1" applyProtection="1">
      <alignment horizontal="center" vertical="center"/>
      <protection locked="0"/>
    </xf>
    <xf numFmtId="0" fontId="31" fillId="0" borderId="6" xfId="0" applyFont="1" applyBorder="1" applyAlignment="1">
      <alignment vertical="center"/>
    </xf>
    <xf numFmtId="0" fontId="25" fillId="6" borderId="6" xfId="0" applyFont="1" applyFill="1" applyBorder="1" applyAlignment="1">
      <alignment horizontal="center" vertical="center"/>
    </xf>
    <xf numFmtId="0" fontId="71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top" wrapText="1"/>
    </xf>
    <xf numFmtId="178" fontId="31" fillId="0" borderId="4" xfId="0" applyNumberFormat="1" applyFont="1" applyBorder="1" applyAlignment="1">
      <alignment horizontal="center" vertical="center"/>
    </xf>
    <xf numFmtId="178" fontId="31" fillId="0" borderId="7" xfId="0" applyNumberFormat="1" applyFont="1" applyBorder="1" applyAlignment="1">
      <alignment horizontal="center" vertical="center"/>
    </xf>
    <xf numFmtId="170" fontId="31" fillId="0" borderId="4" xfId="0" applyNumberFormat="1" applyFont="1" applyBorder="1" applyAlignment="1">
      <alignment horizontal="center" vertical="center"/>
    </xf>
    <xf numFmtId="170" fontId="31" fillId="0" borderId="7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2" fillId="6" borderId="1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14" xfId="0" applyFont="1" applyFill="1" applyBorder="1" applyAlignment="1">
      <alignment horizontal="center" vertical="center"/>
    </xf>
    <xf numFmtId="171" fontId="31" fillId="0" borderId="4" xfId="0" applyNumberFormat="1" applyFont="1" applyBorder="1" applyAlignment="1">
      <alignment horizontal="center" vertical="center"/>
    </xf>
    <xf numFmtId="171" fontId="31" fillId="0" borderId="7" xfId="0" applyNumberFormat="1" applyFont="1" applyBorder="1" applyAlignment="1">
      <alignment horizontal="center" vertical="center"/>
    </xf>
    <xf numFmtId="177" fontId="31" fillId="0" borderId="4" xfId="0" applyNumberFormat="1" applyFont="1" applyBorder="1" applyAlignment="1">
      <alignment horizontal="center" vertical="center"/>
    </xf>
    <xf numFmtId="177" fontId="31" fillId="0" borderId="7" xfId="0" applyNumberFormat="1" applyFont="1" applyBorder="1" applyAlignment="1">
      <alignment horizontal="center" vertical="center"/>
    </xf>
    <xf numFmtId="175" fontId="31" fillId="0" borderId="4" xfId="0" applyNumberFormat="1" applyFont="1" applyBorder="1" applyAlignment="1">
      <alignment horizontal="center" vertical="center"/>
    </xf>
    <xf numFmtId="175" fontId="31" fillId="0" borderId="7" xfId="0" applyNumberFormat="1" applyFont="1" applyBorder="1" applyAlignment="1">
      <alignment horizontal="center" vertical="center"/>
    </xf>
    <xf numFmtId="172" fontId="31" fillId="0" borderId="4" xfId="0" applyNumberFormat="1" applyFont="1" applyBorder="1" applyAlignment="1">
      <alignment horizontal="center" vertical="center"/>
    </xf>
    <xf numFmtId="172" fontId="31" fillId="0" borderId="7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1" fillId="0" borderId="11" xfId="0" quotePrefix="1" applyFont="1" applyBorder="1" applyAlignment="1">
      <alignment horizontal="right" vertical="center"/>
    </xf>
    <xf numFmtId="0" fontId="31" fillId="0" borderId="1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1" fillId="0" borderId="0" xfId="2" applyAlignment="1" applyProtection="1">
      <alignment horizontal="center"/>
      <protection locked="0"/>
    </xf>
    <xf numFmtId="0" fontId="32" fillId="0" borderId="0" xfId="0" applyFont="1" applyAlignment="1">
      <alignment horizontal="center" vertical="center" wrapText="1"/>
    </xf>
    <xf numFmtId="0" fontId="32" fillId="0" borderId="11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2" fontId="9" fillId="3" borderId="52" xfId="1" applyNumberFormat="1" applyFont="1" applyFill="1" applyBorder="1" applyAlignment="1">
      <alignment horizontal="center" vertical="center"/>
    </xf>
    <xf numFmtId="2" fontId="9" fillId="3" borderId="53" xfId="1" applyNumberFormat="1" applyFont="1" applyFill="1" applyBorder="1" applyAlignment="1">
      <alignment horizontal="center" vertical="center"/>
    </xf>
    <xf numFmtId="2" fontId="9" fillId="3" borderId="54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164" fontId="31" fillId="0" borderId="12" xfId="0" applyNumberFormat="1" applyFont="1" applyBorder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14" xfId="0" applyNumberFormat="1" applyFont="1" applyBorder="1" applyAlignment="1">
      <alignment horizontal="center" vertical="center" wrapText="1"/>
    </xf>
    <xf numFmtId="0" fontId="10" fillId="0" borderId="4" xfId="6" applyFont="1" applyBorder="1" applyAlignment="1">
      <alignment horizontal="left" vertical="top" wrapText="1"/>
    </xf>
    <xf numFmtId="0" fontId="10" fillId="0" borderId="5" xfId="6" applyFont="1" applyBorder="1" applyAlignment="1">
      <alignment horizontal="left" vertical="top" wrapText="1"/>
    </xf>
    <xf numFmtId="0" fontId="86" fillId="0" borderId="0" xfId="6" applyFont="1" applyAlignment="1" applyProtection="1">
      <alignment horizontal="center" vertical="center"/>
      <protection locked="0"/>
    </xf>
    <xf numFmtId="180" fontId="88" fillId="0" borderId="0" xfId="6" quotePrefix="1" applyNumberFormat="1" applyFont="1" applyAlignment="1" applyProtection="1">
      <alignment horizontal="center" vertical="center"/>
      <protection locked="0"/>
    </xf>
    <xf numFmtId="180" fontId="88" fillId="0" borderId="0" xfId="6" applyNumberFormat="1" applyFont="1" applyAlignment="1" applyProtection="1">
      <alignment horizontal="center" vertical="center"/>
      <protection locked="0"/>
    </xf>
    <xf numFmtId="0" fontId="10" fillId="0" borderId="0" xfId="6" applyFont="1" applyAlignment="1">
      <alignment horizontal="center"/>
    </xf>
    <xf numFmtId="0" fontId="62" fillId="0" borderId="0" xfId="6" applyFont="1" applyAlignment="1">
      <alignment horizontal="right" vertical="center"/>
    </xf>
    <xf numFmtId="0" fontId="85" fillId="0" borderId="0" xfId="6" applyFont="1" applyAlignment="1">
      <alignment horizontal="center"/>
    </xf>
    <xf numFmtId="0" fontId="10" fillId="0" borderId="0" xfId="6" applyFont="1" applyAlignment="1">
      <alignment horizontal="left" vertical="center" wrapText="1"/>
    </xf>
    <xf numFmtId="0" fontId="89" fillId="0" borderId="0" xfId="6" quotePrefix="1" applyFont="1" applyAlignment="1" applyProtection="1">
      <alignment horizontal="left" vertical="center" wrapText="1"/>
      <protection locked="0"/>
    </xf>
    <xf numFmtId="11" fontId="88" fillId="0" borderId="0" xfId="6" quotePrefix="1" applyNumberFormat="1" applyFont="1" applyAlignment="1" applyProtection="1">
      <alignment horizontal="left"/>
      <protection locked="0"/>
    </xf>
    <xf numFmtId="0" fontId="88" fillId="0" borderId="0" xfId="6" applyFont="1" applyAlignment="1" applyProtection="1">
      <alignment horizontal="left"/>
      <protection locked="0"/>
    </xf>
    <xf numFmtId="0" fontId="10" fillId="0" borderId="0" xfId="6" applyFont="1" applyAlignment="1" applyProtection="1">
      <alignment horizontal="left" vertical="center" wrapText="1"/>
      <protection locked="0"/>
    </xf>
    <xf numFmtId="0" fontId="89" fillId="0" borderId="0" xfId="6" applyFont="1" applyAlignment="1" applyProtection="1">
      <alignment horizontal="left" vertical="center" wrapText="1"/>
      <protection locked="0"/>
    </xf>
    <xf numFmtId="0" fontId="10" fillId="0" borderId="0" xfId="6" applyFont="1" applyAlignment="1" applyProtection="1">
      <alignment horizontal="left" vertical="top" wrapText="1"/>
      <protection locked="0"/>
    </xf>
    <xf numFmtId="0" fontId="10" fillId="0" borderId="0" xfId="6" applyFont="1" applyAlignment="1" applyProtection="1">
      <alignment horizontal="justify" vertical="top" wrapText="1"/>
      <protection locked="0"/>
    </xf>
    <xf numFmtId="183" fontId="88" fillId="0" borderId="0" xfId="6" quotePrefix="1" applyNumberFormat="1" applyFont="1" applyAlignment="1" applyProtection="1">
      <alignment horizontal="left" vertical="center"/>
      <protection locked="0"/>
    </xf>
    <xf numFmtId="183" fontId="88" fillId="0" borderId="0" xfId="6" applyNumberFormat="1" applyFont="1" applyAlignment="1" applyProtection="1">
      <alignment horizontal="left" vertical="center"/>
      <protection locked="0"/>
    </xf>
    <xf numFmtId="0" fontId="10" fillId="0" borderId="0" xfId="6" applyFont="1" applyAlignment="1">
      <alignment horizontal="left" vertical="top" wrapText="1"/>
    </xf>
    <xf numFmtId="0" fontId="84" fillId="0" borderId="0" xfId="6" applyFont="1" applyAlignment="1">
      <alignment horizontal="center"/>
    </xf>
    <xf numFmtId="180" fontId="10" fillId="0" borderId="0" xfId="6" applyNumberFormat="1" applyFont="1" applyAlignment="1">
      <alignment horizontal="left" vertical="center" wrapText="1"/>
    </xf>
    <xf numFmtId="0" fontId="10" fillId="6" borderId="0" xfId="6" applyFont="1" applyFill="1" applyAlignment="1">
      <alignment horizontal="justify" vertical="center" wrapText="1"/>
    </xf>
    <xf numFmtId="180" fontId="10" fillId="0" borderId="0" xfId="6" applyNumberFormat="1" applyFont="1" applyAlignment="1">
      <alignment horizontal="left" vertical="top" wrapText="1"/>
    </xf>
    <xf numFmtId="0" fontId="6" fillId="0" borderId="0" xfId="6" applyFont="1" applyAlignment="1">
      <alignment horizontal="left" vertical="center" wrapText="1"/>
    </xf>
    <xf numFmtId="0" fontId="0" fillId="0" borderId="0" xfId="2" applyFont="1" applyAlignment="1" applyProtection="1">
      <alignment horizontal="center"/>
      <protection locked="0"/>
    </xf>
    <xf numFmtId="2" fontId="53" fillId="13" borderId="52" xfId="0" applyNumberFormat="1" applyFont="1" applyFill="1" applyBorder="1" applyAlignment="1">
      <alignment horizontal="center" vertical="center"/>
    </xf>
    <xf numFmtId="2" fontId="53" fillId="13" borderId="54" xfId="0" applyNumberFormat="1" applyFont="1" applyFill="1" applyBorder="1" applyAlignment="1">
      <alignment horizontal="center" vertical="center"/>
    </xf>
    <xf numFmtId="2" fontId="14" fillId="13" borderId="6" xfId="0" applyNumberFormat="1" applyFont="1" applyFill="1" applyBorder="1" applyAlignment="1">
      <alignment horizontal="center" vertical="center"/>
    </xf>
    <xf numFmtId="2" fontId="8" fillId="13" borderId="6" xfId="3" applyNumberFormat="1" applyFont="1" applyFill="1" applyBorder="1" applyAlignment="1">
      <alignment horizontal="center" vertical="center"/>
    </xf>
    <xf numFmtId="2" fontId="18" fillId="13" borderId="6" xfId="3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6" fillId="13" borderId="6" xfId="3" applyNumberFormat="1" applyFont="1" applyFill="1" applyBorder="1" applyAlignment="1">
      <alignment horizontal="center" vertical="center"/>
    </xf>
    <xf numFmtId="2" fontId="57" fillId="5" borderId="20" xfId="0" applyNumberFormat="1" applyFont="1" applyFill="1" applyBorder="1" applyAlignment="1">
      <alignment horizontal="center" vertical="center"/>
    </xf>
    <xf numFmtId="2" fontId="57" fillId="5" borderId="0" xfId="0" applyNumberFormat="1" applyFont="1" applyFill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14" fillId="13" borderId="4" xfId="0" applyNumberFormat="1" applyFont="1" applyFill="1" applyBorder="1" applyAlignment="1">
      <alignment horizontal="center" vertical="center"/>
    </xf>
    <xf numFmtId="2" fontId="14" fillId="13" borderId="5" xfId="0" applyNumberFormat="1" applyFont="1" applyFill="1" applyBorder="1" applyAlignment="1">
      <alignment horizontal="center" vertical="center"/>
    </xf>
    <xf numFmtId="2" fontId="14" fillId="13" borderId="7" xfId="0" applyNumberFormat="1" applyFont="1" applyFill="1" applyBorder="1" applyAlignment="1">
      <alignment horizontal="center" vertical="center"/>
    </xf>
    <xf numFmtId="2" fontId="9" fillId="13" borderId="6" xfId="0" applyNumberFormat="1" applyFont="1" applyFill="1" applyBorder="1" applyAlignment="1">
      <alignment horizontal="center" vertical="center"/>
    </xf>
    <xf numFmtId="2" fontId="9" fillId="13" borderId="6" xfId="0" applyNumberFormat="1" applyFont="1" applyFill="1" applyBorder="1" applyAlignment="1">
      <alignment horizontal="center" vertical="center" wrapText="1"/>
    </xf>
    <xf numFmtId="2" fontId="9" fillId="13" borderId="53" xfId="0" applyNumberFormat="1" applyFont="1" applyFill="1" applyBorder="1" applyAlignment="1">
      <alignment horizontal="center" vertical="center"/>
    </xf>
    <xf numFmtId="2" fontId="9" fillId="13" borderId="53" xfId="0" applyNumberFormat="1" applyFont="1" applyFill="1" applyBorder="1" applyAlignment="1">
      <alignment horizontal="center" vertical="center" wrapText="1"/>
    </xf>
    <xf numFmtId="2" fontId="16" fillId="13" borderId="53" xfId="3" applyNumberFormat="1" applyFont="1" applyFill="1" applyBorder="1" applyAlignment="1">
      <alignment horizontal="center" vertical="center"/>
    </xf>
    <xf numFmtId="2" fontId="16" fillId="13" borderId="54" xfId="3" applyNumberFormat="1" applyFont="1" applyFill="1" applyBorder="1" applyAlignment="1">
      <alignment horizontal="center" vertical="center"/>
    </xf>
    <xf numFmtId="2" fontId="16" fillId="6" borderId="52" xfId="0" applyNumberFormat="1" applyFont="1" applyFill="1" applyBorder="1" applyAlignment="1">
      <alignment horizontal="center" vertical="center"/>
    </xf>
    <xf numFmtId="2" fontId="16" fillId="6" borderId="54" xfId="0" applyNumberFormat="1" applyFont="1" applyFill="1" applyBorder="1" applyAlignment="1">
      <alignment horizontal="center" vertical="center"/>
    </xf>
    <xf numFmtId="2" fontId="58" fillId="13" borderId="6" xfId="0" applyNumberFormat="1" applyFont="1" applyFill="1" applyBorder="1" applyAlignment="1">
      <alignment horizontal="center" vertical="center"/>
    </xf>
    <xf numFmtId="2" fontId="58" fillId="13" borderId="11" xfId="0" applyNumberFormat="1" applyFont="1" applyFill="1" applyBorder="1" applyAlignment="1">
      <alignment horizontal="center" vertical="center"/>
    </xf>
    <xf numFmtId="2" fontId="58" fillId="13" borderId="10" xfId="0" applyNumberFormat="1" applyFont="1" applyFill="1" applyBorder="1" applyAlignment="1">
      <alignment horizontal="center" vertical="center"/>
    </xf>
    <xf numFmtId="2" fontId="58" fillId="13" borderId="28" xfId="0" applyNumberFormat="1" applyFont="1" applyFill="1" applyBorder="1" applyAlignment="1">
      <alignment horizontal="center" vertical="center"/>
    </xf>
    <xf numFmtId="2" fontId="58" fillId="13" borderId="16" xfId="0" applyNumberFormat="1" applyFont="1" applyFill="1" applyBorder="1" applyAlignment="1">
      <alignment horizontal="center" vertical="center"/>
    </xf>
    <xf numFmtId="2" fontId="9" fillId="6" borderId="15" xfId="0" applyNumberFormat="1" applyFont="1" applyFill="1" applyBorder="1" applyAlignment="1">
      <alignment horizontal="center" vertical="center"/>
    </xf>
    <xf numFmtId="2" fontId="9" fillId="6" borderId="16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/>
    </xf>
    <xf numFmtId="2" fontId="4" fillId="13" borderId="6" xfId="0" applyNumberFormat="1" applyFont="1" applyFill="1" applyBorder="1" applyAlignment="1">
      <alignment horizontal="center" vertical="center"/>
    </xf>
    <xf numFmtId="2" fontId="4" fillId="13" borderId="53" xfId="0" applyNumberFormat="1" applyFont="1" applyFill="1" applyBorder="1" applyAlignment="1">
      <alignment horizontal="center" vertical="center"/>
    </xf>
    <xf numFmtId="2" fontId="4" fillId="13" borderId="18" xfId="0" applyNumberFormat="1" applyFont="1" applyFill="1" applyBorder="1" applyAlignment="1">
      <alignment horizontal="center" vertical="center"/>
    </xf>
    <xf numFmtId="2" fontId="4" fillId="13" borderId="12" xfId="0" applyNumberFormat="1" applyFont="1" applyFill="1" applyBorder="1" applyAlignment="1">
      <alignment horizontal="center" vertical="center"/>
    </xf>
    <xf numFmtId="2" fontId="4" fillId="13" borderId="2" xfId="0" applyNumberFormat="1" applyFont="1" applyFill="1" applyBorder="1" applyAlignment="1">
      <alignment horizontal="center" vertical="center"/>
    </xf>
    <xf numFmtId="2" fontId="4" fillId="13" borderId="55" xfId="0" applyNumberFormat="1" applyFont="1" applyFill="1" applyBorder="1" applyAlignment="1">
      <alignment horizontal="center" vertical="center"/>
    </xf>
    <xf numFmtId="2" fontId="4" fillId="13" borderId="40" xfId="0" applyNumberFormat="1" applyFont="1" applyFill="1" applyBorder="1" applyAlignment="1">
      <alignment horizontal="center" vertical="center"/>
    </xf>
    <xf numFmtId="2" fontId="16" fillId="3" borderId="6" xfId="3" applyNumberFormat="1" applyFont="1" applyFill="1" applyBorder="1" applyAlignment="1">
      <alignment horizontal="center" vertical="center" wrapText="1"/>
    </xf>
    <xf numFmtId="2" fontId="16" fillId="3" borderId="6" xfId="3" applyNumberFormat="1" applyFont="1" applyFill="1" applyBorder="1" applyAlignment="1">
      <alignment horizontal="left" vertical="center" wrapText="1"/>
    </xf>
    <xf numFmtId="2" fontId="58" fillId="3" borderId="6" xfId="0" applyNumberFormat="1" applyFont="1" applyFill="1" applyBorder="1" applyAlignment="1">
      <alignment horizontal="center" vertical="center"/>
    </xf>
    <xf numFmtId="2" fontId="9" fillId="7" borderId="6" xfId="0" applyNumberFormat="1" applyFont="1" applyFill="1" applyBorder="1" applyAlignment="1">
      <alignment horizontal="center" vertical="center"/>
    </xf>
    <xf numFmtId="2" fontId="9" fillId="3" borderId="52" xfId="3" applyNumberFormat="1" applyFont="1" applyFill="1" applyBorder="1" applyAlignment="1">
      <alignment horizontal="center" vertical="center"/>
    </xf>
    <xf numFmtId="2" fontId="9" fillId="3" borderId="53" xfId="3" applyNumberFormat="1" applyFont="1" applyFill="1" applyBorder="1" applyAlignment="1">
      <alignment horizontal="center" vertical="center"/>
    </xf>
    <xf numFmtId="2" fontId="9" fillId="3" borderId="54" xfId="3" applyNumberFormat="1" applyFont="1" applyFill="1" applyBorder="1" applyAlignment="1">
      <alignment horizontal="center" vertical="center"/>
    </xf>
    <xf numFmtId="2" fontId="16" fillId="3" borderId="6" xfId="0" applyNumberFormat="1" applyFont="1" applyFill="1" applyBorder="1" applyAlignment="1">
      <alignment horizontal="center" vertical="center" wrapText="1"/>
    </xf>
    <xf numFmtId="2" fontId="9" fillId="3" borderId="6" xfId="3" applyNumberFormat="1" applyFont="1" applyFill="1" applyBorder="1" applyAlignment="1">
      <alignment horizontal="center" vertical="center" wrapText="1"/>
    </xf>
    <xf numFmtId="2" fontId="4" fillId="3" borderId="52" xfId="0" applyNumberFormat="1" applyFont="1" applyFill="1" applyBorder="1" applyAlignment="1">
      <alignment horizontal="center" vertical="center"/>
    </xf>
    <xf numFmtId="2" fontId="4" fillId="3" borderId="15" xfId="0" applyNumberFormat="1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 vertical="center"/>
    </xf>
    <xf numFmtId="2" fontId="51" fillId="8" borderId="6" xfId="0" applyNumberFormat="1" applyFont="1" applyFill="1" applyBorder="1" applyAlignment="1">
      <alignment horizontal="center" vertical="center" wrapText="1"/>
    </xf>
    <xf numFmtId="2" fontId="10" fillId="8" borderId="6" xfId="3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2" fontId="30" fillId="5" borderId="24" xfId="0" applyNumberFormat="1" applyFont="1" applyFill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38" fillId="3" borderId="6" xfId="0" applyNumberFormat="1" applyFont="1" applyFill="1" applyBorder="1" applyAlignment="1">
      <alignment horizontal="center" vertical="center" wrapText="1"/>
    </xf>
    <xf numFmtId="2" fontId="51" fillId="0" borderId="6" xfId="0" applyNumberFormat="1" applyFont="1" applyBorder="1" applyAlignment="1">
      <alignment horizontal="center" vertical="center"/>
    </xf>
    <xf numFmtId="2" fontId="38" fillId="0" borderId="6" xfId="0" applyNumberFormat="1" applyFont="1" applyBorder="1" applyAlignment="1">
      <alignment horizontal="center" vertical="center" wrapText="1"/>
    </xf>
    <xf numFmtId="2" fontId="8" fillId="0" borderId="6" xfId="3" applyNumberFormat="1" applyFont="1" applyBorder="1" applyAlignment="1">
      <alignment horizontal="center"/>
    </xf>
    <xf numFmtId="2" fontId="8" fillId="0" borderId="6" xfId="3" applyNumberFormat="1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" fillId="0" borderId="12" xfId="3" applyNumberFormat="1" applyBorder="1" applyAlignment="1">
      <alignment horizontal="center" vertical="center"/>
    </xf>
    <xf numFmtId="2" fontId="1" fillId="0" borderId="14" xfId="3" applyNumberForma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 wrapText="1"/>
    </xf>
    <xf numFmtId="2" fontId="43" fillId="5" borderId="20" xfId="0" applyNumberFormat="1" applyFont="1" applyFill="1" applyBorder="1" applyAlignment="1">
      <alignment horizontal="center" vertical="center" wrapText="1"/>
    </xf>
    <xf numFmtId="2" fontId="43" fillId="5" borderId="0" xfId="0" applyNumberFormat="1" applyFont="1" applyFill="1" applyAlignment="1">
      <alignment horizontal="center" vertical="center" wrapText="1"/>
    </xf>
    <xf numFmtId="2" fontId="10" fillId="8" borderId="4" xfId="3" applyNumberFormat="1" applyFont="1" applyFill="1" applyBorder="1" applyAlignment="1">
      <alignment horizontal="center"/>
    </xf>
    <xf numFmtId="2" fontId="10" fillId="8" borderId="5" xfId="3" applyNumberFormat="1" applyFont="1" applyFill="1" applyBorder="1" applyAlignment="1">
      <alignment horizontal="center"/>
    </xf>
    <xf numFmtId="2" fontId="10" fillId="8" borderId="7" xfId="3" applyNumberFormat="1" applyFont="1" applyFill="1" applyBorder="1" applyAlignment="1">
      <alignment horizontal="center"/>
    </xf>
    <xf numFmtId="2" fontId="10" fillId="8" borderId="6" xfId="3" applyNumberFormat="1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 wrapText="1"/>
    </xf>
    <xf numFmtId="2" fontId="1" fillId="8" borderId="6" xfId="0" applyNumberFormat="1" applyFont="1" applyFill="1" applyBorder="1" applyAlignment="1">
      <alignment horizontal="center" vertical="center" wrapText="1"/>
    </xf>
    <xf numFmtId="2" fontId="52" fillId="3" borderId="6" xfId="0" applyNumberFormat="1" applyFont="1" applyFill="1" applyBorder="1" applyAlignment="1">
      <alignment horizontal="center" vertical="center" wrapText="1"/>
    </xf>
    <xf numFmtId="2" fontId="53" fillId="3" borderId="52" xfId="0" applyNumberFormat="1" applyFont="1" applyFill="1" applyBorder="1" applyAlignment="1">
      <alignment horizontal="center" vertical="center" wrapText="1"/>
    </xf>
    <xf numFmtId="2" fontId="53" fillId="3" borderId="15" xfId="0" applyNumberFormat="1" applyFont="1" applyFill="1" applyBorder="1" applyAlignment="1">
      <alignment horizontal="center" vertical="center" wrapText="1"/>
    </xf>
    <xf numFmtId="2" fontId="53" fillId="3" borderId="47" xfId="0" applyNumberFormat="1" applyFont="1" applyFill="1" applyBorder="1" applyAlignment="1">
      <alignment horizontal="center" vertical="center" wrapText="1"/>
    </xf>
    <xf numFmtId="2" fontId="53" fillId="3" borderId="40" xfId="0" applyNumberFormat="1" applyFont="1" applyFill="1" applyBorder="1" applyAlignment="1">
      <alignment horizontal="center" vertical="center" wrapText="1"/>
    </xf>
    <xf numFmtId="2" fontId="53" fillId="3" borderId="2" xfId="0" applyNumberFormat="1" applyFont="1" applyFill="1" applyBorder="1" applyAlignment="1">
      <alignment horizontal="center" vertical="center" wrapText="1"/>
    </xf>
    <xf numFmtId="2" fontId="53" fillId="3" borderId="55" xfId="0" applyNumberFormat="1" applyFont="1" applyFill="1" applyBorder="1" applyAlignment="1">
      <alignment horizontal="center" vertical="center" wrapText="1"/>
    </xf>
    <xf numFmtId="2" fontId="2" fillId="3" borderId="33" xfId="0" applyNumberFormat="1" applyFont="1" applyFill="1" applyBorder="1" applyAlignment="1">
      <alignment horizontal="center" vertical="center" wrapText="1"/>
    </xf>
    <xf numFmtId="2" fontId="2" fillId="3" borderId="25" xfId="0" applyNumberFormat="1" applyFont="1" applyFill="1" applyBorder="1" applyAlignment="1">
      <alignment horizontal="center" vertical="center" wrapText="1"/>
    </xf>
    <xf numFmtId="2" fontId="2" fillId="3" borderId="56" xfId="0" applyNumberFormat="1" applyFont="1" applyFill="1" applyBorder="1" applyAlignment="1">
      <alignment horizontal="center" vertical="center" wrapText="1"/>
    </xf>
    <xf numFmtId="2" fontId="8" fillId="3" borderId="6" xfId="3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center" vertical="center"/>
    </xf>
    <xf numFmtId="2" fontId="56" fillId="3" borderId="0" xfId="0" applyNumberFormat="1" applyFont="1" applyFill="1" applyAlignment="1">
      <alignment horizontal="center" vertical="center" wrapText="1"/>
    </xf>
    <xf numFmtId="2" fontId="73" fillId="0" borderId="37" xfId="0" applyNumberFormat="1" applyFont="1" applyBorder="1" applyAlignment="1">
      <alignment horizontal="center"/>
    </xf>
    <xf numFmtId="2" fontId="73" fillId="0" borderId="38" xfId="0" applyNumberFormat="1" applyFont="1" applyBorder="1" applyAlignment="1">
      <alignment horizontal="center"/>
    </xf>
    <xf numFmtId="2" fontId="73" fillId="0" borderId="51" xfId="0" applyNumberFormat="1" applyFont="1" applyBorder="1" applyAlignment="1">
      <alignment horizontal="center"/>
    </xf>
    <xf numFmtId="1" fontId="2" fillId="8" borderId="17" xfId="0" applyNumberFormat="1" applyFont="1" applyFill="1" applyBorder="1" applyAlignment="1">
      <alignment horizontal="center"/>
    </xf>
    <xf numFmtId="1" fontId="2" fillId="8" borderId="18" xfId="0" applyNumberFormat="1" applyFont="1" applyFill="1" applyBorder="1" applyAlignment="1">
      <alignment horizontal="center"/>
    </xf>
    <xf numFmtId="1" fontId="2" fillId="8" borderId="19" xfId="0" applyNumberFormat="1" applyFont="1" applyFill="1" applyBorder="1" applyAlignment="1">
      <alignment horizontal="center"/>
    </xf>
    <xf numFmtId="2" fontId="57" fillId="3" borderId="30" xfId="3" applyNumberFormat="1" applyFont="1" applyFill="1" applyBorder="1" applyAlignment="1">
      <alignment horizontal="center" vertical="center"/>
    </xf>
    <xf numFmtId="2" fontId="57" fillId="3" borderId="31" xfId="3" applyNumberFormat="1" applyFont="1" applyFill="1" applyBorder="1" applyAlignment="1">
      <alignment horizontal="center" vertical="center"/>
    </xf>
    <xf numFmtId="2" fontId="57" fillId="3" borderId="32" xfId="3" applyNumberFormat="1" applyFont="1" applyFill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 wrapText="1"/>
    </xf>
    <xf numFmtId="2" fontId="38" fillId="3" borderId="4" xfId="0" applyNumberFormat="1" applyFont="1" applyFill="1" applyBorder="1" applyAlignment="1">
      <alignment horizontal="center" vertical="center" wrapText="1"/>
    </xf>
    <xf numFmtId="1" fontId="51" fillId="0" borderId="6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8" fillId="0" borderId="6" xfId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2 2" xfId="3" xr:uid="{00000000-0005-0000-0000-000002000000}"/>
    <cellStyle name="Normal 2 3" xfId="6" xr:uid="{08ADA22D-0CAF-40AD-94FD-A1DC4905E132}"/>
    <cellStyle name="Normal 3" xfId="4" xr:uid="{00000000-0005-0000-0000-000003000000}"/>
    <cellStyle name="Normal 4" xfId="5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391697</xdr:colOff>
      <xdr:row>29</xdr:row>
      <xdr:rowOff>52497</xdr:rowOff>
    </xdr:from>
    <xdr:to>
      <xdr:col>10</xdr:col>
      <xdr:colOff>712616</xdr:colOff>
      <xdr:row>29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30</xdr:row>
      <xdr:rowOff>157490</xdr:rowOff>
    </xdr:from>
    <xdr:to>
      <xdr:col>10</xdr:col>
      <xdr:colOff>734011</xdr:colOff>
      <xdr:row>30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30</xdr:row>
      <xdr:rowOff>157490</xdr:rowOff>
    </xdr:from>
    <xdr:to>
      <xdr:col>10</xdr:col>
      <xdr:colOff>734011</xdr:colOff>
      <xdr:row>30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31</xdr:row>
      <xdr:rowOff>0</xdr:rowOff>
    </xdr:from>
    <xdr:to>
      <xdr:col>11</xdr:col>
      <xdr:colOff>0</xdr:colOff>
      <xdr:row>31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31</xdr:row>
      <xdr:rowOff>0</xdr:rowOff>
    </xdr:from>
    <xdr:to>
      <xdr:col>11</xdr:col>
      <xdr:colOff>0</xdr:colOff>
      <xdr:row>31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oneCellAnchor>
    <xdr:from>
      <xdr:col>16</xdr:col>
      <xdr:colOff>176098</xdr:colOff>
      <xdr:row>30</xdr:row>
      <xdr:rowOff>162788</xdr:rowOff>
    </xdr:from>
    <xdr:ext cx="56257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8670843" y="6635900"/>
              <a:ext cx="5625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670843" y="6635900"/>
              <a:ext cx="5625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1/𝑇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3997" name="Object 925" hidden="1">
              <a:extLst>
                <a:ext uri="{63B3BB69-23CF-44E3-9099-C40C66FF867C}">
                  <a14:compatExt spid="_x0000_s3997"/>
                </a:ext>
                <a:ext uri="{FF2B5EF4-FFF2-40B4-BE49-F238E27FC236}">
                  <a16:creationId xmlns:a16="http://schemas.microsoft.com/office/drawing/2014/main" id="{00000000-0008-0000-0300-00009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3998" name="Object 926" hidden="1">
              <a:extLst>
                <a:ext uri="{63B3BB69-23CF-44E3-9099-C40C66FF867C}">
                  <a14:compatExt spid="_x0000_s3998"/>
                </a:ext>
                <a:ext uri="{FF2B5EF4-FFF2-40B4-BE49-F238E27FC236}">
                  <a16:creationId xmlns:a16="http://schemas.microsoft.com/office/drawing/2014/main" id="{00000000-0008-0000-0300-00009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3999" name="Object 927" hidden="1">
              <a:extLst>
                <a:ext uri="{63B3BB69-23CF-44E3-9099-C40C66FF867C}">
                  <a14:compatExt spid="_x0000_s3999"/>
                </a:ext>
                <a:ext uri="{FF2B5EF4-FFF2-40B4-BE49-F238E27FC236}">
                  <a16:creationId xmlns:a16="http://schemas.microsoft.com/office/drawing/2014/main" id="{00000000-0008-0000-0300-00009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0" name="Object 928" hidden="1">
              <a:extLst>
                <a:ext uri="{63B3BB69-23CF-44E3-9099-C40C66FF867C}">
                  <a14:compatExt spid="_x0000_s4000"/>
                </a:ext>
                <a:ext uri="{FF2B5EF4-FFF2-40B4-BE49-F238E27FC236}">
                  <a16:creationId xmlns:a16="http://schemas.microsoft.com/office/drawing/2014/main" id="{00000000-0008-0000-0300-0000A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1" name="Object 929" hidden="1">
              <a:extLst>
                <a:ext uri="{63B3BB69-23CF-44E3-9099-C40C66FF867C}">
                  <a14:compatExt spid="_x0000_s4001"/>
                </a:ext>
                <a:ext uri="{FF2B5EF4-FFF2-40B4-BE49-F238E27FC236}">
                  <a16:creationId xmlns:a16="http://schemas.microsoft.com/office/drawing/2014/main" id="{00000000-0008-0000-0300-0000A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2" name="Object 930" hidden="1">
              <a:extLst>
                <a:ext uri="{63B3BB69-23CF-44E3-9099-C40C66FF867C}">
                  <a14:compatExt spid="_x0000_s4002"/>
                </a:ext>
                <a:ext uri="{FF2B5EF4-FFF2-40B4-BE49-F238E27FC236}">
                  <a16:creationId xmlns:a16="http://schemas.microsoft.com/office/drawing/2014/main" id="{00000000-0008-0000-0300-0000A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3" name="Object 931" hidden="1">
              <a:extLst>
                <a:ext uri="{63B3BB69-23CF-44E3-9099-C40C66FF867C}">
                  <a14:compatExt spid="_x0000_s4003"/>
                </a:ext>
                <a:ext uri="{FF2B5EF4-FFF2-40B4-BE49-F238E27FC236}">
                  <a16:creationId xmlns:a16="http://schemas.microsoft.com/office/drawing/2014/main" id="{00000000-0008-0000-0300-0000A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4" name="Object 932" hidden="1">
              <a:extLst>
                <a:ext uri="{63B3BB69-23CF-44E3-9099-C40C66FF867C}">
                  <a14:compatExt spid="_x0000_s4004"/>
                </a:ext>
                <a:ext uri="{FF2B5EF4-FFF2-40B4-BE49-F238E27FC236}">
                  <a16:creationId xmlns:a16="http://schemas.microsoft.com/office/drawing/2014/main" id="{00000000-0008-0000-0300-0000A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5" name="Object 933" hidden="1">
              <a:extLst>
                <a:ext uri="{63B3BB69-23CF-44E3-9099-C40C66FF867C}">
                  <a14:compatExt spid="_x0000_s4005"/>
                </a:ext>
                <a:ext uri="{FF2B5EF4-FFF2-40B4-BE49-F238E27FC236}">
                  <a16:creationId xmlns:a16="http://schemas.microsoft.com/office/drawing/2014/main" id="{00000000-0008-0000-0300-0000A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6" name="Object 934" hidden="1">
              <a:extLst>
                <a:ext uri="{63B3BB69-23CF-44E3-9099-C40C66FF867C}">
                  <a14:compatExt spid="_x0000_s4006"/>
                </a:ext>
                <a:ext uri="{FF2B5EF4-FFF2-40B4-BE49-F238E27FC236}">
                  <a16:creationId xmlns:a16="http://schemas.microsoft.com/office/drawing/2014/main" id="{00000000-0008-0000-0300-0000A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07" name="Object 935" hidden="1">
              <a:extLst>
                <a:ext uri="{63B3BB69-23CF-44E3-9099-C40C66FF867C}">
                  <a14:compatExt spid="_x0000_s4007"/>
                </a:ext>
                <a:ext uri="{FF2B5EF4-FFF2-40B4-BE49-F238E27FC236}">
                  <a16:creationId xmlns:a16="http://schemas.microsoft.com/office/drawing/2014/main" id="{00000000-0008-0000-0300-0000A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8" name="Object 936" hidden="1">
              <a:extLst>
                <a:ext uri="{63B3BB69-23CF-44E3-9099-C40C66FF867C}">
                  <a14:compatExt spid="_x0000_s4008"/>
                </a:ext>
                <a:ext uri="{FF2B5EF4-FFF2-40B4-BE49-F238E27FC236}">
                  <a16:creationId xmlns:a16="http://schemas.microsoft.com/office/drawing/2014/main" id="{00000000-0008-0000-0300-0000A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09" name="Object 937" hidden="1">
              <a:extLst>
                <a:ext uri="{63B3BB69-23CF-44E3-9099-C40C66FF867C}">
                  <a14:compatExt spid="_x0000_s4009"/>
                </a:ext>
                <a:ext uri="{FF2B5EF4-FFF2-40B4-BE49-F238E27FC236}">
                  <a16:creationId xmlns:a16="http://schemas.microsoft.com/office/drawing/2014/main" id="{00000000-0008-0000-0300-0000A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0" name="Object 938" hidden="1">
              <a:extLst>
                <a:ext uri="{63B3BB69-23CF-44E3-9099-C40C66FF867C}">
                  <a14:compatExt spid="_x0000_s4010"/>
                </a:ext>
                <a:ext uri="{FF2B5EF4-FFF2-40B4-BE49-F238E27FC236}">
                  <a16:creationId xmlns:a16="http://schemas.microsoft.com/office/drawing/2014/main" id="{00000000-0008-0000-0300-0000A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1" name="Object 939" hidden="1">
              <a:extLst>
                <a:ext uri="{63B3BB69-23CF-44E3-9099-C40C66FF867C}">
                  <a14:compatExt spid="_x0000_s4011"/>
                </a:ext>
                <a:ext uri="{FF2B5EF4-FFF2-40B4-BE49-F238E27FC236}">
                  <a16:creationId xmlns:a16="http://schemas.microsoft.com/office/drawing/2014/main" id="{00000000-0008-0000-0300-0000A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2" name="Object 940" hidden="1">
              <a:extLst>
                <a:ext uri="{63B3BB69-23CF-44E3-9099-C40C66FF867C}">
                  <a14:compatExt spid="_x0000_s4012"/>
                </a:ext>
                <a:ext uri="{FF2B5EF4-FFF2-40B4-BE49-F238E27FC236}">
                  <a16:creationId xmlns:a16="http://schemas.microsoft.com/office/drawing/2014/main" id="{00000000-0008-0000-0300-0000A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3" name="Object 941" hidden="1">
              <a:extLst>
                <a:ext uri="{63B3BB69-23CF-44E3-9099-C40C66FF867C}">
                  <a14:compatExt spid="_x0000_s4013"/>
                </a:ext>
                <a:ext uri="{FF2B5EF4-FFF2-40B4-BE49-F238E27FC236}">
                  <a16:creationId xmlns:a16="http://schemas.microsoft.com/office/drawing/2014/main" id="{00000000-0008-0000-0300-0000A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4" name="Object 942" hidden="1">
              <a:extLst>
                <a:ext uri="{63B3BB69-23CF-44E3-9099-C40C66FF867C}">
                  <a14:compatExt spid="_x0000_s4014"/>
                </a:ext>
                <a:ext uri="{FF2B5EF4-FFF2-40B4-BE49-F238E27FC236}">
                  <a16:creationId xmlns:a16="http://schemas.microsoft.com/office/drawing/2014/main" id="{00000000-0008-0000-0300-0000A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5" name="Object 943" hidden="1">
              <a:extLst>
                <a:ext uri="{63B3BB69-23CF-44E3-9099-C40C66FF867C}">
                  <a14:compatExt spid="_x0000_s4015"/>
                </a:ext>
                <a:ext uri="{FF2B5EF4-FFF2-40B4-BE49-F238E27FC236}">
                  <a16:creationId xmlns:a16="http://schemas.microsoft.com/office/drawing/2014/main" id="{00000000-0008-0000-0300-0000A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6" name="Object 944" hidden="1">
              <a:extLst>
                <a:ext uri="{63B3BB69-23CF-44E3-9099-C40C66FF867C}">
                  <a14:compatExt spid="_x0000_s4016"/>
                </a:ext>
                <a:ext uri="{FF2B5EF4-FFF2-40B4-BE49-F238E27FC236}">
                  <a16:creationId xmlns:a16="http://schemas.microsoft.com/office/drawing/2014/main" id="{00000000-0008-0000-0300-0000B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7" name="Object 945" hidden="1">
              <a:extLst>
                <a:ext uri="{63B3BB69-23CF-44E3-9099-C40C66FF867C}">
                  <a14:compatExt spid="_x0000_s4017"/>
                </a:ext>
                <a:ext uri="{FF2B5EF4-FFF2-40B4-BE49-F238E27FC236}">
                  <a16:creationId xmlns:a16="http://schemas.microsoft.com/office/drawing/2014/main" id="{00000000-0008-0000-0300-0000B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18" name="Object 946" hidden="1">
              <a:extLst>
                <a:ext uri="{63B3BB69-23CF-44E3-9099-C40C66FF867C}">
                  <a14:compatExt spid="_x0000_s4018"/>
                </a:ext>
                <a:ext uri="{FF2B5EF4-FFF2-40B4-BE49-F238E27FC236}">
                  <a16:creationId xmlns:a16="http://schemas.microsoft.com/office/drawing/2014/main" id="{00000000-0008-0000-0300-0000B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19" name="Object 947" hidden="1">
              <a:extLst>
                <a:ext uri="{63B3BB69-23CF-44E3-9099-C40C66FF867C}">
                  <a14:compatExt spid="_x0000_s4019"/>
                </a:ext>
                <a:ext uri="{FF2B5EF4-FFF2-40B4-BE49-F238E27FC236}">
                  <a16:creationId xmlns:a16="http://schemas.microsoft.com/office/drawing/2014/main" id="{00000000-0008-0000-0300-0000B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0" name="Object 948" hidden="1">
              <a:extLst>
                <a:ext uri="{63B3BB69-23CF-44E3-9099-C40C66FF867C}">
                  <a14:compatExt spid="_x0000_s4020"/>
                </a:ext>
                <a:ext uri="{FF2B5EF4-FFF2-40B4-BE49-F238E27FC236}">
                  <a16:creationId xmlns:a16="http://schemas.microsoft.com/office/drawing/2014/main" id="{00000000-0008-0000-0300-0000B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1" name="Object 949" hidden="1">
              <a:extLst>
                <a:ext uri="{63B3BB69-23CF-44E3-9099-C40C66FF867C}">
                  <a14:compatExt spid="_x0000_s4021"/>
                </a:ext>
                <a:ext uri="{FF2B5EF4-FFF2-40B4-BE49-F238E27FC236}">
                  <a16:creationId xmlns:a16="http://schemas.microsoft.com/office/drawing/2014/main" id="{00000000-0008-0000-0300-0000B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2" name="Object 950" hidden="1">
              <a:extLst>
                <a:ext uri="{63B3BB69-23CF-44E3-9099-C40C66FF867C}">
                  <a14:compatExt spid="_x0000_s4022"/>
                </a:ext>
                <a:ext uri="{FF2B5EF4-FFF2-40B4-BE49-F238E27FC236}">
                  <a16:creationId xmlns:a16="http://schemas.microsoft.com/office/drawing/2014/main" id="{00000000-0008-0000-0300-0000B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3" name="Object 951" hidden="1">
              <a:extLst>
                <a:ext uri="{63B3BB69-23CF-44E3-9099-C40C66FF867C}">
                  <a14:compatExt spid="_x0000_s4023"/>
                </a:ext>
                <a:ext uri="{FF2B5EF4-FFF2-40B4-BE49-F238E27FC236}">
                  <a16:creationId xmlns:a16="http://schemas.microsoft.com/office/drawing/2014/main" id="{00000000-0008-0000-0300-0000B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4" name="Object 952" hidden="1">
              <a:extLst>
                <a:ext uri="{63B3BB69-23CF-44E3-9099-C40C66FF867C}">
                  <a14:compatExt spid="_x0000_s4024"/>
                </a:ext>
                <a:ext uri="{FF2B5EF4-FFF2-40B4-BE49-F238E27FC236}">
                  <a16:creationId xmlns:a16="http://schemas.microsoft.com/office/drawing/2014/main" id="{00000000-0008-0000-0300-0000B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5" name="Object 953" hidden="1">
              <a:extLst>
                <a:ext uri="{63B3BB69-23CF-44E3-9099-C40C66FF867C}">
                  <a14:compatExt spid="_x0000_s4025"/>
                </a:ext>
                <a:ext uri="{FF2B5EF4-FFF2-40B4-BE49-F238E27FC236}">
                  <a16:creationId xmlns:a16="http://schemas.microsoft.com/office/drawing/2014/main" id="{00000000-0008-0000-0300-0000B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6" name="Object 954" hidden="1">
              <a:extLst>
                <a:ext uri="{63B3BB69-23CF-44E3-9099-C40C66FF867C}">
                  <a14:compatExt spid="_x0000_s4026"/>
                </a:ext>
                <a:ext uri="{FF2B5EF4-FFF2-40B4-BE49-F238E27FC236}">
                  <a16:creationId xmlns:a16="http://schemas.microsoft.com/office/drawing/2014/main" id="{00000000-0008-0000-0300-0000B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7" name="Object 955" hidden="1">
              <a:extLst>
                <a:ext uri="{63B3BB69-23CF-44E3-9099-C40C66FF867C}">
                  <a14:compatExt spid="_x0000_s4027"/>
                </a:ext>
                <a:ext uri="{FF2B5EF4-FFF2-40B4-BE49-F238E27FC236}">
                  <a16:creationId xmlns:a16="http://schemas.microsoft.com/office/drawing/2014/main" id="{00000000-0008-0000-0300-0000B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28" name="Object 956" hidden="1">
              <a:extLst>
                <a:ext uri="{63B3BB69-23CF-44E3-9099-C40C66FF867C}">
                  <a14:compatExt spid="_x0000_s4028"/>
                </a:ext>
                <a:ext uri="{FF2B5EF4-FFF2-40B4-BE49-F238E27FC236}">
                  <a16:creationId xmlns:a16="http://schemas.microsoft.com/office/drawing/2014/main" id="{00000000-0008-0000-0300-0000B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29" name="Object 957" hidden="1">
              <a:extLst>
                <a:ext uri="{63B3BB69-23CF-44E3-9099-C40C66FF867C}">
                  <a14:compatExt spid="_x0000_s4029"/>
                </a:ext>
                <a:ext uri="{FF2B5EF4-FFF2-40B4-BE49-F238E27FC236}">
                  <a16:creationId xmlns:a16="http://schemas.microsoft.com/office/drawing/2014/main" id="{00000000-0008-0000-0300-0000B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0" name="Object 958" hidden="1">
              <a:extLst>
                <a:ext uri="{63B3BB69-23CF-44E3-9099-C40C66FF867C}">
                  <a14:compatExt spid="_x0000_s4030"/>
                </a:ext>
                <a:ext uri="{FF2B5EF4-FFF2-40B4-BE49-F238E27FC236}">
                  <a16:creationId xmlns:a16="http://schemas.microsoft.com/office/drawing/2014/main" id="{00000000-0008-0000-0300-0000B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1" name="Object 959" hidden="1">
              <a:extLst>
                <a:ext uri="{63B3BB69-23CF-44E3-9099-C40C66FF867C}">
                  <a14:compatExt spid="_x0000_s4031"/>
                </a:ext>
                <a:ext uri="{FF2B5EF4-FFF2-40B4-BE49-F238E27FC236}">
                  <a16:creationId xmlns:a16="http://schemas.microsoft.com/office/drawing/2014/main" id="{00000000-0008-0000-0300-0000B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2" name="Object 960" hidden="1">
              <a:extLst>
                <a:ext uri="{63B3BB69-23CF-44E3-9099-C40C66FF867C}">
                  <a14:compatExt spid="_x0000_s4032"/>
                </a:ext>
                <a:ext uri="{FF2B5EF4-FFF2-40B4-BE49-F238E27FC236}">
                  <a16:creationId xmlns:a16="http://schemas.microsoft.com/office/drawing/2014/main" id="{00000000-0008-0000-0300-0000C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3" name="Object 961" hidden="1">
              <a:extLst>
                <a:ext uri="{63B3BB69-23CF-44E3-9099-C40C66FF867C}">
                  <a14:compatExt spid="_x0000_s4033"/>
                </a:ext>
                <a:ext uri="{FF2B5EF4-FFF2-40B4-BE49-F238E27FC236}">
                  <a16:creationId xmlns:a16="http://schemas.microsoft.com/office/drawing/2014/main" id="{00000000-0008-0000-0300-0000C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4" name="Object 962" hidden="1">
              <a:extLst>
                <a:ext uri="{63B3BB69-23CF-44E3-9099-C40C66FF867C}">
                  <a14:compatExt spid="_x0000_s4034"/>
                </a:ext>
                <a:ext uri="{FF2B5EF4-FFF2-40B4-BE49-F238E27FC236}">
                  <a16:creationId xmlns:a16="http://schemas.microsoft.com/office/drawing/2014/main" id="{00000000-0008-0000-0300-0000C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5" name="Object 963" hidden="1">
              <a:extLst>
                <a:ext uri="{63B3BB69-23CF-44E3-9099-C40C66FF867C}">
                  <a14:compatExt spid="_x0000_s4035"/>
                </a:ext>
                <a:ext uri="{FF2B5EF4-FFF2-40B4-BE49-F238E27FC236}">
                  <a16:creationId xmlns:a16="http://schemas.microsoft.com/office/drawing/2014/main" id="{00000000-0008-0000-0300-0000C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6" name="Object 964" hidden="1">
              <a:extLst>
                <a:ext uri="{63B3BB69-23CF-44E3-9099-C40C66FF867C}">
                  <a14:compatExt spid="_x0000_s4036"/>
                </a:ext>
                <a:ext uri="{FF2B5EF4-FFF2-40B4-BE49-F238E27FC236}">
                  <a16:creationId xmlns:a16="http://schemas.microsoft.com/office/drawing/2014/main" id="{00000000-0008-0000-0300-0000C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7" name="Object 965" hidden="1">
              <a:extLst>
                <a:ext uri="{63B3BB69-23CF-44E3-9099-C40C66FF867C}">
                  <a14:compatExt spid="_x0000_s4037"/>
                </a:ext>
                <a:ext uri="{FF2B5EF4-FFF2-40B4-BE49-F238E27FC236}">
                  <a16:creationId xmlns:a16="http://schemas.microsoft.com/office/drawing/2014/main" id="{00000000-0008-0000-0300-0000C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8" name="Object 966" hidden="1">
              <a:extLst>
                <a:ext uri="{63B3BB69-23CF-44E3-9099-C40C66FF867C}">
                  <a14:compatExt spid="_x0000_s4038"/>
                </a:ext>
                <a:ext uri="{FF2B5EF4-FFF2-40B4-BE49-F238E27FC236}">
                  <a16:creationId xmlns:a16="http://schemas.microsoft.com/office/drawing/2014/main" id="{00000000-0008-0000-0300-0000C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39" name="Object 967" hidden="1">
              <a:extLst>
                <a:ext uri="{63B3BB69-23CF-44E3-9099-C40C66FF867C}">
                  <a14:compatExt spid="_x0000_s4039"/>
                </a:ext>
                <a:ext uri="{FF2B5EF4-FFF2-40B4-BE49-F238E27FC236}">
                  <a16:creationId xmlns:a16="http://schemas.microsoft.com/office/drawing/2014/main" id="{00000000-0008-0000-0300-0000C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40" name="Object 968" hidden="1">
              <a:extLst>
                <a:ext uri="{63B3BB69-23CF-44E3-9099-C40C66FF867C}">
                  <a14:compatExt spid="_x0000_s4040"/>
                </a:ext>
                <a:ext uri="{FF2B5EF4-FFF2-40B4-BE49-F238E27FC236}">
                  <a16:creationId xmlns:a16="http://schemas.microsoft.com/office/drawing/2014/main" id="{00000000-0008-0000-0300-0000C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1" name="Object 969" hidden="1">
              <a:extLst>
                <a:ext uri="{63B3BB69-23CF-44E3-9099-C40C66FF867C}">
                  <a14:compatExt spid="_x0000_s4041"/>
                </a:ext>
                <a:ext uri="{FF2B5EF4-FFF2-40B4-BE49-F238E27FC236}">
                  <a16:creationId xmlns:a16="http://schemas.microsoft.com/office/drawing/2014/main" id="{00000000-0008-0000-0300-0000C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2" name="Object 970" hidden="1">
              <a:extLst>
                <a:ext uri="{63B3BB69-23CF-44E3-9099-C40C66FF867C}">
                  <a14:compatExt spid="_x0000_s4042"/>
                </a:ext>
                <a:ext uri="{FF2B5EF4-FFF2-40B4-BE49-F238E27FC236}">
                  <a16:creationId xmlns:a16="http://schemas.microsoft.com/office/drawing/2014/main" id="{00000000-0008-0000-0300-0000C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3" name="Object 971" hidden="1">
              <a:extLst>
                <a:ext uri="{63B3BB69-23CF-44E3-9099-C40C66FF867C}">
                  <a14:compatExt spid="_x0000_s4043"/>
                </a:ext>
                <a:ext uri="{FF2B5EF4-FFF2-40B4-BE49-F238E27FC236}">
                  <a16:creationId xmlns:a16="http://schemas.microsoft.com/office/drawing/2014/main" id="{00000000-0008-0000-0300-0000C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4" name="Object 972" hidden="1">
              <a:extLst>
                <a:ext uri="{63B3BB69-23CF-44E3-9099-C40C66FF867C}">
                  <a14:compatExt spid="_x0000_s4044"/>
                </a:ext>
                <a:ext uri="{FF2B5EF4-FFF2-40B4-BE49-F238E27FC236}">
                  <a16:creationId xmlns:a16="http://schemas.microsoft.com/office/drawing/2014/main" id="{00000000-0008-0000-0300-0000C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5" name="Object 973" hidden="1">
              <a:extLst>
                <a:ext uri="{63B3BB69-23CF-44E3-9099-C40C66FF867C}">
                  <a14:compatExt spid="_x0000_s4045"/>
                </a:ext>
                <a:ext uri="{FF2B5EF4-FFF2-40B4-BE49-F238E27FC236}">
                  <a16:creationId xmlns:a16="http://schemas.microsoft.com/office/drawing/2014/main" id="{00000000-0008-0000-0300-0000C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6" name="Object 974" hidden="1">
              <a:extLst>
                <a:ext uri="{63B3BB69-23CF-44E3-9099-C40C66FF867C}">
                  <a14:compatExt spid="_x0000_s4046"/>
                </a:ext>
                <a:ext uri="{FF2B5EF4-FFF2-40B4-BE49-F238E27FC236}">
                  <a16:creationId xmlns:a16="http://schemas.microsoft.com/office/drawing/2014/main" id="{00000000-0008-0000-0300-0000C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7" name="Object 975" hidden="1">
              <a:extLst>
                <a:ext uri="{63B3BB69-23CF-44E3-9099-C40C66FF867C}">
                  <a14:compatExt spid="_x0000_s4047"/>
                </a:ext>
                <a:ext uri="{FF2B5EF4-FFF2-40B4-BE49-F238E27FC236}">
                  <a16:creationId xmlns:a16="http://schemas.microsoft.com/office/drawing/2014/main" id="{00000000-0008-0000-0300-0000C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8" name="Object 976" hidden="1">
              <a:extLst>
                <a:ext uri="{63B3BB69-23CF-44E3-9099-C40C66FF867C}">
                  <a14:compatExt spid="_x0000_s4048"/>
                </a:ext>
                <a:ext uri="{FF2B5EF4-FFF2-40B4-BE49-F238E27FC236}">
                  <a16:creationId xmlns:a16="http://schemas.microsoft.com/office/drawing/2014/main" id="{00000000-0008-0000-0300-0000D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49" name="Object 977" hidden="1">
              <a:extLst>
                <a:ext uri="{63B3BB69-23CF-44E3-9099-C40C66FF867C}">
                  <a14:compatExt spid="_x0000_s4049"/>
                </a:ext>
                <a:ext uri="{FF2B5EF4-FFF2-40B4-BE49-F238E27FC236}">
                  <a16:creationId xmlns:a16="http://schemas.microsoft.com/office/drawing/2014/main" id="{00000000-0008-0000-0300-0000D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0" name="Object 978" hidden="1">
              <a:extLst>
                <a:ext uri="{63B3BB69-23CF-44E3-9099-C40C66FF867C}">
                  <a14:compatExt spid="_x0000_s4050"/>
                </a:ext>
                <a:ext uri="{FF2B5EF4-FFF2-40B4-BE49-F238E27FC236}">
                  <a16:creationId xmlns:a16="http://schemas.microsoft.com/office/drawing/2014/main" id="{00000000-0008-0000-0300-0000D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51" name="Object 979" hidden="1">
              <a:extLst>
                <a:ext uri="{63B3BB69-23CF-44E3-9099-C40C66FF867C}">
                  <a14:compatExt spid="_x0000_s4051"/>
                </a:ext>
                <a:ext uri="{FF2B5EF4-FFF2-40B4-BE49-F238E27FC236}">
                  <a16:creationId xmlns:a16="http://schemas.microsoft.com/office/drawing/2014/main" id="{00000000-0008-0000-0300-0000D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2" name="Object 980" hidden="1">
              <a:extLst>
                <a:ext uri="{63B3BB69-23CF-44E3-9099-C40C66FF867C}">
                  <a14:compatExt spid="_x0000_s4052"/>
                </a:ext>
                <a:ext uri="{FF2B5EF4-FFF2-40B4-BE49-F238E27FC236}">
                  <a16:creationId xmlns:a16="http://schemas.microsoft.com/office/drawing/2014/main" id="{00000000-0008-0000-0300-0000D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3" name="Object 981" hidden="1">
              <a:extLst>
                <a:ext uri="{63B3BB69-23CF-44E3-9099-C40C66FF867C}">
                  <a14:compatExt spid="_x0000_s4053"/>
                </a:ext>
                <a:ext uri="{FF2B5EF4-FFF2-40B4-BE49-F238E27FC236}">
                  <a16:creationId xmlns:a16="http://schemas.microsoft.com/office/drawing/2014/main" id="{00000000-0008-0000-0300-0000D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4" name="Object 982" hidden="1">
              <a:extLst>
                <a:ext uri="{63B3BB69-23CF-44E3-9099-C40C66FF867C}">
                  <a14:compatExt spid="_x0000_s4054"/>
                </a:ext>
                <a:ext uri="{FF2B5EF4-FFF2-40B4-BE49-F238E27FC236}">
                  <a16:creationId xmlns:a16="http://schemas.microsoft.com/office/drawing/2014/main" id="{00000000-0008-0000-0300-0000D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5" name="Object 983" hidden="1">
              <a:extLst>
                <a:ext uri="{63B3BB69-23CF-44E3-9099-C40C66FF867C}">
                  <a14:compatExt spid="_x0000_s4055"/>
                </a:ext>
                <a:ext uri="{FF2B5EF4-FFF2-40B4-BE49-F238E27FC236}">
                  <a16:creationId xmlns:a16="http://schemas.microsoft.com/office/drawing/2014/main" id="{00000000-0008-0000-0300-0000D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6" name="Object 984" hidden="1">
              <a:extLst>
                <a:ext uri="{63B3BB69-23CF-44E3-9099-C40C66FF867C}">
                  <a14:compatExt spid="_x0000_s4056"/>
                </a:ext>
                <a:ext uri="{FF2B5EF4-FFF2-40B4-BE49-F238E27FC236}">
                  <a16:creationId xmlns:a16="http://schemas.microsoft.com/office/drawing/2014/main" id="{00000000-0008-0000-0300-0000D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7" name="Object 985" hidden="1">
              <a:extLst>
                <a:ext uri="{63B3BB69-23CF-44E3-9099-C40C66FF867C}">
                  <a14:compatExt spid="_x0000_s4057"/>
                </a:ext>
                <a:ext uri="{FF2B5EF4-FFF2-40B4-BE49-F238E27FC236}">
                  <a16:creationId xmlns:a16="http://schemas.microsoft.com/office/drawing/2014/main" id="{00000000-0008-0000-0300-0000D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8" name="Object 986" hidden="1">
              <a:extLst>
                <a:ext uri="{63B3BB69-23CF-44E3-9099-C40C66FF867C}">
                  <a14:compatExt spid="_x0000_s4058"/>
                </a:ext>
                <a:ext uri="{FF2B5EF4-FFF2-40B4-BE49-F238E27FC236}">
                  <a16:creationId xmlns:a16="http://schemas.microsoft.com/office/drawing/2014/main" id="{00000000-0008-0000-0300-0000D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59" name="Object 987" hidden="1">
              <a:extLst>
                <a:ext uri="{63B3BB69-23CF-44E3-9099-C40C66FF867C}">
                  <a14:compatExt spid="_x0000_s4059"/>
                </a:ext>
                <a:ext uri="{FF2B5EF4-FFF2-40B4-BE49-F238E27FC236}">
                  <a16:creationId xmlns:a16="http://schemas.microsoft.com/office/drawing/2014/main" id="{00000000-0008-0000-0300-0000D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0" name="Object 988" hidden="1">
              <a:extLst>
                <a:ext uri="{63B3BB69-23CF-44E3-9099-C40C66FF867C}">
                  <a14:compatExt spid="_x0000_s4060"/>
                </a:ext>
                <a:ext uri="{FF2B5EF4-FFF2-40B4-BE49-F238E27FC236}">
                  <a16:creationId xmlns:a16="http://schemas.microsoft.com/office/drawing/2014/main" id="{00000000-0008-0000-0300-0000D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1" name="Object 989" hidden="1">
              <a:extLst>
                <a:ext uri="{63B3BB69-23CF-44E3-9099-C40C66FF867C}">
                  <a14:compatExt spid="_x0000_s4061"/>
                </a:ext>
                <a:ext uri="{FF2B5EF4-FFF2-40B4-BE49-F238E27FC236}">
                  <a16:creationId xmlns:a16="http://schemas.microsoft.com/office/drawing/2014/main" id="{00000000-0008-0000-0300-0000D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62" name="Object 990" hidden="1">
              <a:extLst>
                <a:ext uri="{63B3BB69-23CF-44E3-9099-C40C66FF867C}">
                  <a14:compatExt spid="_x0000_s4062"/>
                </a:ext>
                <a:ext uri="{FF2B5EF4-FFF2-40B4-BE49-F238E27FC236}">
                  <a16:creationId xmlns:a16="http://schemas.microsoft.com/office/drawing/2014/main" id="{00000000-0008-0000-0300-0000D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3" name="Object 991" hidden="1">
              <a:extLst>
                <a:ext uri="{63B3BB69-23CF-44E3-9099-C40C66FF867C}">
                  <a14:compatExt spid="_x0000_s4063"/>
                </a:ext>
                <a:ext uri="{FF2B5EF4-FFF2-40B4-BE49-F238E27FC236}">
                  <a16:creationId xmlns:a16="http://schemas.microsoft.com/office/drawing/2014/main" id="{00000000-0008-0000-0300-0000D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4" name="Object 992" hidden="1">
              <a:extLst>
                <a:ext uri="{63B3BB69-23CF-44E3-9099-C40C66FF867C}">
                  <a14:compatExt spid="_x0000_s4064"/>
                </a:ext>
                <a:ext uri="{FF2B5EF4-FFF2-40B4-BE49-F238E27FC236}">
                  <a16:creationId xmlns:a16="http://schemas.microsoft.com/office/drawing/2014/main" id="{00000000-0008-0000-0300-0000E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5" name="Object 993" hidden="1">
              <a:extLst>
                <a:ext uri="{63B3BB69-23CF-44E3-9099-C40C66FF867C}">
                  <a14:compatExt spid="_x0000_s4065"/>
                </a:ext>
                <a:ext uri="{FF2B5EF4-FFF2-40B4-BE49-F238E27FC236}">
                  <a16:creationId xmlns:a16="http://schemas.microsoft.com/office/drawing/2014/main" id="{00000000-0008-0000-0300-0000E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6" name="Object 994" hidden="1">
              <a:extLst>
                <a:ext uri="{63B3BB69-23CF-44E3-9099-C40C66FF867C}">
                  <a14:compatExt spid="_x0000_s4066"/>
                </a:ext>
                <a:ext uri="{FF2B5EF4-FFF2-40B4-BE49-F238E27FC236}">
                  <a16:creationId xmlns:a16="http://schemas.microsoft.com/office/drawing/2014/main" id="{00000000-0008-0000-0300-0000E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7" name="Object 995" hidden="1">
              <a:extLst>
                <a:ext uri="{63B3BB69-23CF-44E3-9099-C40C66FF867C}">
                  <a14:compatExt spid="_x0000_s4067"/>
                </a:ext>
                <a:ext uri="{FF2B5EF4-FFF2-40B4-BE49-F238E27FC236}">
                  <a16:creationId xmlns:a16="http://schemas.microsoft.com/office/drawing/2014/main" id="{00000000-0008-0000-0300-0000E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8" name="Object 996" hidden="1">
              <a:extLst>
                <a:ext uri="{63B3BB69-23CF-44E3-9099-C40C66FF867C}">
                  <a14:compatExt spid="_x0000_s4068"/>
                </a:ext>
                <a:ext uri="{FF2B5EF4-FFF2-40B4-BE49-F238E27FC236}">
                  <a16:creationId xmlns:a16="http://schemas.microsoft.com/office/drawing/2014/main" id="{00000000-0008-0000-0300-0000E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69" name="Object 997" hidden="1">
              <a:extLst>
                <a:ext uri="{63B3BB69-23CF-44E3-9099-C40C66FF867C}">
                  <a14:compatExt spid="_x0000_s4069"/>
                </a:ext>
                <a:ext uri="{FF2B5EF4-FFF2-40B4-BE49-F238E27FC236}">
                  <a16:creationId xmlns:a16="http://schemas.microsoft.com/office/drawing/2014/main" id="{00000000-0008-0000-0300-0000E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0" name="Object 998" hidden="1">
              <a:extLst>
                <a:ext uri="{63B3BB69-23CF-44E3-9099-C40C66FF867C}">
                  <a14:compatExt spid="_x0000_s4070"/>
                </a:ext>
                <a:ext uri="{FF2B5EF4-FFF2-40B4-BE49-F238E27FC236}">
                  <a16:creationId xmlns:a16="http://schemas.microsoft.com/office/drawing/2014/main" id="{00000000-0008-0000-0300-0000E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1" name="Object 999" hidden="1">
              <a:extLst>
                <a:ext uri="{63B3BB69-23CF-44E3-9099-C40C66FF867C}">
                  <a14:compatExt spid="_x0000_s4071"/>
                </a:ext>
                <a:ext uri="{FF2B5EF4-FFF2-40B4-BE49-F238E27FC236}">
                  <a16:creationId xmlns:a16="http://schemas.microsoft.com/office/drawing/2014/main" id="{00000000-0008-0000-0300-0000E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2" name="Object 1000" hidden="1">
              <a:extLst>
                <a:ext uri="{63B3BB69-23CF-44E3-9099-C40C66FF867C}">
                  <a14:compatExt spid="_x0000_s4072"/>
                </a:ext>
                <a:ext uri="{FF2B5EF4-FFF2-40B4-BE49-F238E27FC236}">
                  <a16:creationId xmlns:a16="http://schemas.microsoft.com/office/drawing/2014/main" id="{00000000-0008-0000-0300-0000E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73" name="Object 1001" hidden="1">
              <a:extLst>
                <a:ext uri="{63B3BB69-23CF-44E3-9099-C40C66FF867C}">
                  <a14:compatExt spid="_x0000_s4073"/>
                </a:ext>
                <a:ext uri="{FF2B5EF4-FFF2-40B4-BE49-F238E27FC236}">
                  <a16:creationId xmlns:a16="http://schemas.microsoft.com/office/drawing/2014/main" id="{00000000-0008-0000-0300-0000E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4" name="Object 1002" hidden="1">
              <a:extLst>
                <a:ext uri="{63B3BB69-23CF-44E3-9099-C40C66FF867C}">
                  <a14:compatExt spid="_x0000_s4074"/>
                </a:ext>
                <a:ext uri="{FF2B5EF4-FFF2-40B4-BE49-F238E27FC236}">
                  <a16:creationId xmlns:a16="http://schemas.microsoft.com/office/drawing/2014/main" id="{00000000-0008-0000-0300-0000E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5" name="Object 1003" hidden="1">
              <a:extLst>
                <a:ext uri="{63B3BB69-23CF-44E3-9099-C40C66FF867C}">
                  <a14:compatExt spid="_x0000_s4075"/>
                </a:ext>
                <a:ext uri="{FF2B5EF4-FFF2-40B4-BE49-F238E27FC236}">
                  <a16:creationId xmlns:a16="http://schemas.microsoft.com/office/drawing/2014/main" id="{00000000-0008-0000-0300-0000E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6" name="Object 1004" hidden="1">
              <a:extLst>
                <a:ext uri="{63B3BB69-23CF-44E3-9099-C40C66FF867C}">
                  <a14:compatExt spid="_x0000_s4076"/>
                </a:ext>
                <a:ext uri="{FF2B5EF4-FFF2-40B4-BE49-F238E27FC236}">
                  <a16:creationId xmlns:a16="http://schemas.microsoft.com/office/drawing/2014/main" id="{00000000-0008-0000-0300-0000E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7" name="Object 1005" hidden="1">
              <a:extLst>
                <a:ext uri="{63B3BB69-23CF-44E3-9099-C40C66FF867C}">
                  <a14:compatExt spid="_x0000_s4077"/>
                </a:ext>
                <a:ext uri="{FF2B5EF4-FFF2-40B4-BE49-F238E27FC236}">
                  <a16:creationId xmlns:a16="http://schemas.microsoft.com/office/drawing/2014/main" id="{00000000-0008-0000-0300-0000E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8" name="Object 1006" hidden="1">
              <a:extLst>
                <a:ext uri="{63B3BB69-23CF-44E3-9099-C40C66FF867C}">
                  <a14:compatExt spid="_x0000_s4078"/>
                </a:ext>
                <a:ext uri="{FF2B5EF4-FFF2-40B4-BE49-F238E27FC236}">
                  <a16:creationId xmlns:a16="http://schemas.microsoft.com/office/drawing/2014/main" id="{00000000-0008-0000-0300-0000E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79" name="Object 1007" hidden="1">
              <a:extLst>
                <a:ext uri="{63B3BB69-23CF-44E3-9099-C40C66FF867C}">
                  <a14:compatExt spid="_x0000_s4079"/>
                </a:ext>
                <a:ext uri="{FF2B5EF4-FFF2-40B4-BE49-F238E27FC236}">
                  <a16:creationId xmlns:a16="http://schemas.microsoft.com/office/drawing/2014/main" id="{00000000-0008-0000-0300-0000E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0" name="Object 1008" hidden="1">
              <a:extLst>
                <a:ext uri="{63B3BB69-23CF-44E3-9099-C40C66FF867C}">
                  <a14:compatExt spid="_x0000_s4080"/>
                </a:ext>
                <a:ext uri="{FF2B5EF4-FFF2-40B4-BE49-F238E27FC236}">
                  <a16:creationId xmlns:a16="http://schemas.microsoft.com/office/drawing/2014/main" id="{00000000-0008-0000-0300-0000F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1" name="Object 1009" hidden="1">
              <a:extLst>
                <a:ext uri="{63B3BB69-23CF-44E3-9099-C40C66FF867C}">
                  <a14:compatExt spid="_x0000_s4081"/>
                </a:ext>
                <a:ext uri="{FF2B5EF4-FFF2-40B4-BE49-F238E27FC236}">
                  <a16:creationId xmlns:a16="http://schemas.microsoft.com/office/drawing/2014/main" id="{00000000-0008-0000-0300-0000F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2" name="Object 1010" hidden="1">
              <a:extLst>
                <a:ext uri="{63B3BB69-23CF-44E3-9099-C40C66FF867C}">
                  <a14:compatExt spid="_x0000_s4082"/>
                </a:ext>
                <a:ext uri="{FF2B5EF4-FFF2-40B4-BE49-F238E27FC236}">
                  <a16:creationId xmlns:a16="http://schemas.microsoft.com/office/drawing/2014/main" id="{00000000-0008-0000-0300-0000F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3" name="Object 1011" hidden="1">
              <a:extLst>
                <a:ext uri="{63B3BB69-23CF-44E3-9099-C40C66FF867C}">
                  <a14:compatExt spid="_x0000_s4083"/>
                </a:ext>
                <a:ext uri="{FF2B5EF4-FFF2-40B4-BE49-F238E27FC236}">
                  <a16:creationId xmlns:a16="http://schemas.microsoft.com/office/drawing/2014/main" id="{00000000-0008-0000-0300-0000F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84" name="Object 1012" hidden="1">
              <a:extLst>
                <a:ext uri="{63B3BB69-23CF-44E3-9099-C40C66FF867C}">
                  <a14:compatExt spid="_x0000_s4084"/>
                </a:ext>
                <a:ext uri="{FF2B5EF4-FFF2-40B4-BE49-F238E27FC236}">
                  <a16:creationId xmlns:a16="http://schemas.microsoft.com/office/drawing/2014/main" id="{00000000-0008-0000-0300-0000F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5" name="Object 1013" hidden="1">
              <a:extLst>
                <a:ext uri="{63B3BB69-23CF-44E3-9099-C40C66FF867C}">
                  <a14:compatExt spid="_x0000_s4085"/>
                </a:ext>
                <a:ext uri="{FF2B5EF4-FFF2-40B4-BE49-F238E27FC236}">
                  <a16:creationId xmlns:a16="http://schemas.microsoft.com/office/drawing/2014/main" id="{00000000-0008-0000-0300-0000F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6" name="Object 1014" hidden="1">
              <a:extLst>
                <a:ext uri="{63B3BB69-23CF-44E3-9099-C40C66FF867C}">
                  <a14:compatExt spid="_x0000_s4086"/>
                </a:ext>
                <a:ext uri="{FF2B5EF4-FFF2-40B4-BE49-F238E27FC236}">
                  <a16:creationId xmlns:a16="http://schemas.microsoft.com/office/drawing/2014/main" id="{00000000-0008-0000-0300-0000F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7" name="Object 1015" hidden="1">
              <a:extLst>
                <a:ext uri="{63B3BB69-23CF-44E3-9099-C40C66FF867C}">
                  <a14:compatExt spid="_x0000_s4087"/>
                </a:ext>
                <a:ext uri="{FF2B5EF4-FFF2-40B4-BE49-F238E27FC236}">
                  <a16:creationId xmlns:a16="http://schemas.microsoft.com/office/drawing/2014/main" id="{00000000-0008-0000-0300-0000F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8" name="Object 1016" hidden="1">
              <a:extLst>
                <a:ext uri="{63B3BB69-23CF-44E3-9099-C40C66FF867C}">
                  <a14:compatExt spid="_x0000_s4088"/>
                </a:ext>
                <a:ext uri="{FF2B5EF4-FFF2-40B4-BE49-F238E27FC236}">
                  <a16:creationId xmlns:a16="http://schemas.microsoft.com/office/drawing/2014/main" id="{00000000-0008-0000-0300-0000F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89" name="Object 1017" hidden="1">
              <a:extLst>
                <a:ext uri="{63B3BB69-23CF-44E3-9099-C40C66FF867C}">
                  <a14:compatExt spid="_x0000_s4089"/>
                </a:ext>
                <a:ext uri="{FF2B5EF4-FFF2-40B4-BE49-F238E27FC236}">
                  <a16:creationId xmlns:a16="http://schemas.microsoft.com/office/drawing/2014/main" id="{00000000-0008-0000-0300-0000F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90" name="Object 1018" hidden="1">
              <a:extLst>
                <a:ext uri="{63B3BB69-23CF-44E3-9099-C40C66FF867C}">
                  <a14:compatExt spid="_x0000_s4090"/>
                </a:ext>
                <a:ext uri="{FF2B5EF4-FFF2-40B4-BE49-F238E27FC236}">
                  <a16:creationId xmlns:a16="http://schemas.microsoft.com/office/drawing/2014/main" id="{00000000-0008-0000-0300-0000F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91" name="Object 1019" hidden="1">
              <a:extLst>
                <a:ext uri="{63B3BB69-23CF-44E3-9099-C40C66FF867C}">
                  <a14:compatExt spid="_x0000_s4091"/>
                </a:ext>
                <a:ext uri="{FF2B5EF4-FFF2-40B4-BE49-F238E27FC236}">
                  <a16:creationId xmlns:a16="http://schemas.microsoft.com/office/drawing/2014/main" id="{00000000-0008-0000-0300-0000F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92" name="Object 1020" hidden="1">
              <a:extLst>
                <a:ext uri="{63B3BB69-23CF-44E3-9099-C40C66FF867C}">
                  <a14:compatExt spid="_x0000_s4092"/>
                </a:ext>
                <a:ext uri="{FF2B5EF4-FFF2-40B4-BE49-F238E27FC236}">
                  <a16:creationId xmlns:a16="http://schemas.microsoft.com/office/drawing/2014/main" id="{00000000-0008-0000-0300-0000F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93" name="Object 1021" hidden="1">
              <a:extLst>
                <a:ext uri="{63B3BB69-23CF-44E3-9099-C40C66FF867C}">
                  <a14:compatExt spid="_x0000_s4093"/>
                </a:ext>
                <a:ext uri="{FF2B5EF4-FFF2-40B4-BE49-F238E27FC236}">
                  <a16:creationId xmlns:a16="http://schemas.microsoft.com/office/drawing/2014/main" id="{00000000-0008-0000-0300-0000F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4094" name="Object 1022" hidden="1">
              <a:extLst>
                <a:ext uri="{63B3BB69-23CF-44E3-9099-C40C66FF867C}">
                  <a14:compatExt spid="_x0000_s4094"/>
                </a:ext>
                <a:ext uri="{FF2B5EF4-FFF2-40B4-BE49-F238E27FC236}">
                  <a16:creationId xmlns:a16="http://schemas.microsoft.com/office/drawing/2014/main" id="{00000000-0008-0000-0300-0000F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4095" name="Object 1023" hidden="1">
              <a:extLst>
                <a:ext uri="{63B3BB69-23CF-44E3-9099-C40C66FF867C}">
                  <a14:compatExt spid="_x0000_s4095"/>
                </a:ext>
                <a:ext uri="{FF2B5EF4-FFF2-40B4-BE49-F238E27FC236}">
                  <a16:creationId xmlns:a16="http://schemas.microsoft.com/office/drawing/2014/main" id="{00000000-0008-0000-0300-0000F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64" name="Object 1024" hidden="1">
              <a:extLst>
                <a:ext uri="{63B3BB69-23CF-44E3-9099-C40C66FF867C}">
                  <a14:compatExt spid="_x0000_s11264"/>
                </a:ext>
                <a:ext uri="{FF2B5EF4-FFF2-40B4-BE49-F238E27FC236}">
                  <a16:creationId xmlns:a16="http://schemas.microsoft.com/office/drawing/2014/main" id="{00000000-0008-0000-0300-00000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65" name="Object 1025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66" name="Object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67" name="Object 1027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68" name="Object 1028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69" name="Object 1029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0" name="Object 1030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1" name="Object 1031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2" name="Object 1032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3" name="Object 1033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274" name="Object 1034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5" name="Object 1035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6" name="Object 1036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7" name="Object 1037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8" name="Object 1038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3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79" name="Object 1039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3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0" name="Object 1040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3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1" name="Object 1041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3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2" name="Object 1042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3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3" name="Object 1043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3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4" name="Object 1044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3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285" name="Object 1045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3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6" name="Object 1046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3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7" name="Object 1047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3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8" name="Object 1048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3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89" name="Object 1049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3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0" name="Object 1050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3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1" name="Object 1051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3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2" name="Object 1052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3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3" name="Object 1053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3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4" name="Object 1054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5" name="Object 1055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296" name="Object 1056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7" name="Object 1057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8" name="Object 1058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299" name="Object 1059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0" name="Object 1060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1" name="Object 1061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0000000-0008-0000-0300-00002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2" name="Object 1062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00000000-0008-0000-0300-00002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3" name="Object 1063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4" name="Object 1064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0000000-0008-0000-0300-00002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5" name="Object 1065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6" name="Object 1066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3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07" name="Object 1067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0000000-0008-0000-0300-00002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8" name="Object 1068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0000000-0008-0000-0300-00002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09" name="Object 1069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0000000-0008-0000-0300-00002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0" name="Object 1070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0000000-0008-0000-0300-00002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1" name="Object 1071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0000000-0008-0000-0300-00002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2" name="Object 1072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0000000-0008-0000-0300-00003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3" name="Object 1073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0000000-0008-0000-0300-00003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4" name="Object 1074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00000000-0008-0000-0300-00003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5" name="Object 1075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00000000-0008-0000-0300-00003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6" name="Object 1076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00000000-0008-0000-0300-00003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7" name="Object 1077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00000000-0008-0000-0300-00003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18" name="Object 1078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00000000-0008-0000-0300-00003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19" name="Object 1079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00000000-0008-0000-0300-00003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0" name="Object 1080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00000000-0008-0000-0300-00003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1" name="Object 1081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00000000-0008-0000-0300-00003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2" name="Object 1082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00000000-0008-0000-0300-00003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3" name="Object 1083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00000000-0008-0000-0300-00003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4" name="Object 1084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00000000-0008-0000-0300-00003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5" name="Object 1085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00000000-0008-0000-0300-00003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6" name="Object 1086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00000000-0008-0000-0300-00003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7" name="Object 1087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00000000-0008-0000-0300-00003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28" name="Object 1088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00000000-0008-0000-0300-00004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29" name="Object 1089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00000000-0008-0000-0300-00004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0" name="Object 1090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00000000-0008-0000-0300-00004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1" name="Object 1091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00000000-0008-0000-0300-00004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2" name="Object 1092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00000000-0008-0000-0300-00004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3" name="Object 1093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00000000-0008-0000-0300-00004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4" name="Object 1094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00000000-0008-0000-0300-00004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5" name="Object 1095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00000000-0008-0000-0300-00004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6" name="Object 1096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00000000-0008-0000-0300-00004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7" name="Object 1097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00000000-0008-0000-0300-00004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8" name="Object 1098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00000000-0008-0000-0300-00004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39" name="Object 1099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00000000-0008-0000-0300-00004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40" name="Object 1100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00000000-0008-0000-0300-00004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1" name="Object 1101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00000000-0008-0000-0300-00004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2" name="Object 1102" hidden="1">
              <a:extLst>
                <a:ext uri="{63B3BB69-23CF-44E3-9099-C40C66FF867C}">
                  <a14:compatExt spid="_x0000_s11342"/>
                </a:ext>
                <a:ext uri="{FF2B5EF4-FFF2-40B4-BE49-F238E27FC236}">
                  <a16:creationId xmlns:a16="http://schemas.microsoft.com/office/drawing/2014/main" id="{00000000-0008-0000-0300-00004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3" name="Object 1103" hidden="1">
              <a:extLst>
                <a:ext uri="{63B3BB69-23CF-44E3-9099-C40C66FF867C}">
                  <a14:compatExt spid="_x0000_s11343"/>
                </a:ext>
                <a:ext uri="{FF2B5EF4-FFF2-40B4-BE49-F238E27FC236}">
                  <a16:creationId xmlns:a16="http://schemas.microsoft.com/office/drawing/2014/main" id="{00000000-0008-0000-0300-00004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4" name="Object 1104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00000000-0008-0000-0300-00005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5" name="Object 1105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00000000-0008-0000-0300-00005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6" name="Object 1106" hidden="1">
              <a:extLst>
                <a:ext uri="{63B3BB69-23CF-44E3-9099-C40C66FF867C}">
                  <a14:compatExt spid="_x0000_s11346"/>
                </a:ext>
                <a:ext uri="{FF2B5EF4-FFF2-40B4-BE49-F238E27FC236}">
                  <a16:creationId xmlns:a16="http://schemas.microsoft.com/office/drawing/2014/main" id="{00000000-0008-0000-0300-00005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7" name="Object 1107" hidden="1">
              <a:extLst>
                <a:ext uri="{63B3BB69-23CF-44E3-9099-C40C66FF867C}">
                  <a14:compatExt spid="_x0000_s11347"/>
                </a:ext>
                <a:ext uri="{FF2B5EF4-FFF2-40B4-BE49-F238E27FC236}">
                  <a16:creationId xmlns:a16="http://schemas.microsoft.com/office/drawing/2014/main" id="{00000000-0008-0000-0300-00005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8" name="Object 1108" hidden="1">
              <a:extLst>
                <a:ext uri="{63B3BB69-23CF-44E3-9099-C40C66FF867C}">
                  <a14:compatExt spid="_x0000_s11348"/>
                </a:ext>
                <a:ext uri="{FF2B5EF4-FFF2-40B4-BE49-F238E27FC236}">
                  <a16:creationId xmlns:a16="http://schemas.microsoft.com/office/drawing/2014/main" id="{00000000-0008-0000-0300-00005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49" name="Object 1109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00000000-0008-0000-0300-00005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0" name="Object 1110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3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51" name="Object 1111" hidden="1">
              <a:extLst>
                <a:ext uri="{63B3BB69-23CF-44E3-9099-C40C66FF867C}">
                  <a14:compatExt spid="_x0000_s11351"/>
                </a:ext>
                <a:ext uri="{FF2B5EF4-FFF2-40B4-BE49-F238E27FC236}">
                  <a16:creationId xmlns:a16="http://schemas.microsoft.com/office/drawing/2014/main" id="{00000000-0008-0000-0300-00005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2" name="Object 1112" hidden="1">
              <a:extLst>
                <a:ext uri="{63B3BB69-23CF-44E3-9099-C40C66FF867C}">
                  <a14:compatExt spid="_x0000_s11352"/>
                </a:ext>
                <a:ext uri="{FF2B5EF4-FFF2-40B4-BE49-F238E27FC236}">
                  <a16:creationId xmlns:a16="http://schemas.microsoft.com/office/drawing/2014/main" id="{00000000-0008-0000-0300-00005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3" name="Object 1113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3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4" name="Object 1114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3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5" name="Object 1115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3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6" name="Object 1116" hidden="1">
              <a:extLst>
                <a:ext uri="{63B3BB69-23CF-44E3-9099-C40C66FF867C}">
                  <a14:compatExt spid="_x0000_s11356"/>
                </a:ext>
                <a:ext uri="{FF2B5EF4-FFF2-40B4-BE49-F238E27FC236}">
                  <a16:creationId xmlns:a16="http://schemas.microsoft.com/office/drawing/2014/main" id="{00000000-0008-0000-0300-00005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7" name="Object 1117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3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8" name="Object 1118" hidden="1">
              <a:extLst>
                <a:ext uri="{63B3BB69-23CF-44E3-9099-C40C66FF867C}">
                  <a14:compatExt spid="_x0000_s11358"/>
                </a:ext>
                <a:ext uri="{FF2B5EF4-FFF2-40B4-BE49-F238E27FC236}">
                  <a16:creationId xmlns:a16="http://schemas.microsoft.com/office/drawing/2014/main" id="{00000000-0008-0000-0300-00005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59" name="Object 1119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3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0" name="Object 1120" hidden="1">
              <a:extLst>
                <a:ext uri="{63B3BB69-23CF-44E3-9099-C40C66FF867C}">
                  <a14:compatExt spid="_x0000_s11360"/>
                </a:ext>
                <a:ext uri="{FF2B5EF4-FFF2-40B4-BE49-F238E27FC236}">
                  <a16:creationId xmlns:a16="http://schemas.microsoft.com/office/drawing/2014/main" id="{00000000-0008-0000-0300-00006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1" name="Object 1121" hidden="1">
              <a:extLst>
                <a:ext uri="{63B3BB69-23CF-44E3-9099-C40C66FF867C}">
                  <a14:compatExt spid="_x0000_s11361"/>
                </a:ext>
                <a:ext uri="{FF2B5EF4-FFF2-40B4-BE49-F238E27FC236}">
                  <a16:creationId xmlns:a16="http://schemas.microsoft.com/office/drawing/2014/main" id="{00000000-0008-0000-0300-00006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62" name="Object 1122" hidden="1">
              <a:extLst>
                <a:ext uri="{63B3BB69-23CF-44E3-9099-C40C66FF867C}">
                  <a14:compatExt spid="_x0000_s11362"/>
                </a:ext>
                <a:ext uri="{FF2B5EF4-FFF2-40B4-BE49-F238E27FC236}">
                  <a16:creationId xmlns:a16="http://schemas.microsoft.com/office/drawing/2014/main" id="{00000000-0008-0000-0300-00006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3" name="Object 1123" hidden="1">
              <a:extLst>
                <a:ext uri="{63B3BB69-23CF-44E3-9099-C40C66FF867C}">
                  <a14:compatExt spid="_x0000_s11363"/>
                </a:ext>
                <a:ext uri="{FF2B5EF4-FFF2-40B4-BE49-F238E27FC236}">
                  <a16:creationId xmlns:a16="http://schemas.microsoft.com/office/drawing/2014/main" id="{00000000-0008-0000-0300-00006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4" name="Object 1124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3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5" name="Object 1125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3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6" name="Object 1126" hidden="1">
              <a:extLst>
                <a:ext uri="{63B3BB69-23CF-44E3-9099-C40C66FF867C}">
                  <a14:compatExt spid="_x0000_s11366"/>
                </a:ext>
                <a:ext uri="{FF2B5EF4-FFF2-40B4-BE49-F238E27FC236}">
                  <a16:creationId xmlns:a16="http://schemas.microsoft.com/office/drawing/2014/main" id="{00000000-0008-0000-0300-00006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7" name="Object 1127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3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8" name="Object 1128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3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69" name="Object 1129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3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0" name="Object 1130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3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1" name="Object 1131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3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2" name="Object 1132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3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73" name="Object 1133" hidden="1">
              <a:extLst>
                <a:ext uri="{63B3BB69-23CF-44E3-9099-C40C66FF867C}">
                  <a14:compatExt spid="_x0000_s11373"/>
                </a:ext>
                <a:ext uri="{FF2B5EF4-FFF2-40B4-BE49-F238E27FC236}">
                  <a16:creationId xmlns:a16="http://schemas.microsoft.com/office/drawing/2014/main" id="{00000000-0008-0000-0300-00006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4" name="Object 1134" hidden="1">
              <a:extLst>
                <a:ext uri="{63B3BB69-23CF-44E3-9099-C40C66FF867C}">
                  <a14:compatExt spid="_x0000_s11374"/>
                </a:ext>
                <a:ext uri="{FF2B5EF4-FFF2-40B4-BE49-F238E27FC236}">
                  <a16:creationId xmlns:a16="http://schemas.microsoft.com/office/drawing/2014/main" id="{00000000-0008-0000-0300-00006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5" name="Object 1135" hidden="1">
              <a:extLst>
                <a:ext uri="{63B3BB69-23CF-44E3-9099-C40C66FF867C}">
                  <a14:compatExt spid="_x0000_s11375"/>
                </a:ext>
                <a:ext uri="{FF2B5EF4-FFF2-40B4-BE49-F238E27FC236}">
                  <a16:creationId xmlns:a16="http://schemas.microsoft.com/office/drawing/2014/main" id="{00000000-0008-0000-0300-00006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6" name="Object 1136" hidden="1">
              <a:extLst>
                <a:ext uri="{63B3BB69-23CF-44E3-9099-C40C66FF867C}">
                  <a14:compatExt spid="_x0000_s11376"/>
                </a:ext>
                <a:ext uri="{FF2B5EF4-FFF2-40B4-BE49-F238E27FC236}">
                  <a16:creationId xmlns:a16="http://schemas.microsoft.com/office/drawing/2014/main" id="{00000000-0008-0000-0300-00007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7" name="Object 1137" hidden="1">
              <a:extLst>
                <a:ext uri="{63B3BB69-23CF-44E3-9099-C40C66FF867C}">
                  <a14:compatExt spid="_x0000_s11377"/>
                </a:ext>
                <a:ext uri="{FF2B5EF4-FFF2-40B4-BE49-F238E27FC236}">
                  <a16:creationId xmlns:a16="http://schemas.microsoft.com/office/drawing/2014/main" id="{00000000-0008-0000-0300-00007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8" name="Object 1138" hidden="1">
              <a:extLst>
                <a:ext uri="{63B3BB69-23CF-44E3-9099-C40C66FF867C}">
                  <a14:compatExt spid="_x0000_s11378"/>
                </a:ext>
                <a:ext uri="{FF2B5EF4-FFF2-40B4-BE49-F238E27FC236}">
                  <a16:creationId xmlns:a16="http://schemas.microsoft.com/office/drawing/2014/main" id="{00000000-0008-0000-0300-00007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79" name="Object 1139" hidden="1">
              <a:extLst>
                <a:ext uri="{63B3BB69-23CF-44E3-9099-C40C66FF867C}">
                  <a14:compatExt spid="_x0000_s11379"/>
                </a:ext>
                <a:ext uri="{FF2B5EF4-FFF2-40B4-BE49-F238E27FC236}">
                  <a16:creationId xmlns:a16="http://schemas.microsoft.com/office/drawing/2014/main" id="{00000000-0008-0000-0300-00007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0" name="Object 1140" hidden="1">
              <a:extLst>
                <a:ext uri="{63B3BB69-23CF-44E3-9099-C40C66FF867C}">
                  <a14:compatExt spid="_x0000_s11380"/>
                </a:ext>
                <a:ext uri="{FF2B5EF4-FFF2-40B4-BE49-F238E27FC236}">
                  <a16:creationId xmlns:a16="http://schemas.microsoft.com/office/drawing/2014/main" id="{00000000-0008-0000-0300-00007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1" name="Object 1141" hidden="1">
              <a:extLst>
                <a:ext uri="{63B3BB69-23CF-44E3-9099-C40C66FF867C}">
                  <a14:compatExt spid="_x0000_s11381"/>
                </a:ext>
                <a:ext uri="{FF2B5EF4-FFF2-40B4-BE49-F238E27FC236}">
                  <a16:creationId xmlns:a16="http://schemas.microsoft.com/office/drawing/2014/main" id="{00000000-0008-0000-0300-00007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2" name="Object 1142" hidden="1">
              <a:extLst>
                <a:ext uri="{63B3BB69-23CF-44E3-9099-C40C66FF867C}">
                  <a14:compatExt spid="_x0000_s11382"/>
                </a:ext>
                <a:ext uri="{FF2B5EF4-FFF2-40B4-BE49-F238E27FC236}">
                  <a16:creationId xmlns:a16="http://schemas.microsoft.com/office/drawing/2014/main" id="{00000000-0008-0000-0300-00007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3" name="Object 1143" hidden="1">
              <a:extLst>
                <a:ext uri="{63B3BB69-23CF-44E3-9099-C40C66FF867C}">
                  <a14:compatExt spid="_x0000_s11383"/>
                </a:ext>
                <a:ext uri="{FF2B5EF4-FFF2-40B4-BE49-F238E27FC236}">
                  <a16:creationId xmlns:a16="http://schemas.microsoft.com/office/drawing/2014/main" id="{00000000-0008-0000-0300-00007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84" name="Object 1144" hidden="1">
              <a:extLst>
                <a:ext uri="{63B3BB69-23CF-44E3-9099-C40C66FF867C}">
                  <a14:compatExt spid="_x0000_s11384"/>
                </a:ext>
                <a:ext uri="{FF2B5EF4-FFF2-40B4-BE49-F238E27FC236}">
                  <a16:creationId xmlns:a16="http://schemas.microsoft.com/office/drawing/2014/main" id="{00000000-0008-0000-0300-00007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5" name="Object 1145" hidden="1">
              <a:extLst>
                <a:ext uri="{63B3BB69-23CF-44E3-9099-C40C66FF867C}">
                  <a14:compatExt spid="_x0000_s11385"/>
                </a:ext>
                <a:ext uri="{FF2B5EF4-FFF2-40B4-BE49-F238E27FC236}">
                  <a16:creationId xmlns:a16="http://schemas.microsoft.com/office/drawing/2014/main" id="{00000000-0008-0000-0300-00007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6" name="Object 1146" hidden="1">
              <a:extLst>
                <a:ext uri="{63B3BB69-23CF-44E3-9099-C40C66FF867C}">
                  <a14:compatExt spid="_x0000_s11386"/>
                </a:ext>
                <a:ext uri="{FF2B5EF4-FFF2-40B4-BE49-F238E27FC236}">
                  <a16:creationId xmlns:a16="http://schemas.microsoft.com/office/drawing/2014/main" id="{00000000-0008-0000-0300-00007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7" name="Object 1147" hidden="1">
              <a:extLst>
                <a:ext uri="{63B3BB69-23CF-44E3-9099-C40C66FF867C}">
                  <a14:compatExt spid="_x0000_s11387"/>
                </a:ext>
                <a:ext uri="{FF2B5EF4-FFF2-40B4-BE49-F238E27FC236}">
                  <a16:creationId xmlns:a16="http://schemas.microsoft.com/office/drawing/2014/main" id="{00000000-0008-0000-0300-00007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8" name="Object 1148" hidden="1">
              <a:extLst>
                <a:ext uri="{63B3BB69-23CF-44E3-9099-C40C66FF867C}">
                  <a14:compatExt spid="_x0000_s11388"/>
                </a:ext>
                <a:ext uri="{FF2B5EF4-FFF2-40B4-BE49-F238E27FC236}">
                  <a16:creationId xmlns:a16="http://schemas.microsoft.com/office/drawing/2014/main" id="{00000000-0008-0000-0300-00007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89" name="Object 1149" hidden="1">
              <a:extLst>
                <a:ext uri="{63B3BB69-23CF-44E3-9099-C40C66FF867C}">
                  <a14:compatExt spid="_x0000_s11389"/>
                </a:ext>
                <a:ext uri="{FF2B5EF4-FFF2-40B4-BE49-F238E27FC236}">
                  <a16:creationId xmlns:a16="http://schemas.microsoft.com/office/drawing/2014/main" id="{00000000-0008-0000-0300-00007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0" name="Object 1150" hidden="1">
              <a:extLst>
                <a:ext uri="{63B3BB69-23CF-44E3-9099-C40C66FF867C}">
                  <a14:compatExt spid="_x0000_s11390"/>
                </a:ext>
                <a:ext uri="{FF2B5EF4-FFF2-40B4-BE49-F238E27FC236}">
                  <a16:creationId xmlns:a16="http://schemas.microsoft.com/office/drawing/2014/main" id="{00000000-0008-0000-0300-00007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1" name="Object 1151" hidden="1">
              <a:extLst>
                <a:ext uri="{63B3BB69-23CF-44E3-9099-C40C66FF867C}">
                  <a14:compatExt spid="_x0000_s11391"/>
                </a:ext>
                <a:ext uri="{FF2B5EF4-FFF2-40B4-BE49-F238E27FC236}">
                  <a16:creationId xmlns:a16="http://schemas.microsoft.com/office/drawing/2014/main" id="{00000000-0008-0000-0300-00007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2" name="Object 1152" hidden="1">
              <a:extLst>
                <a:ext uri="{63B3BB69-23CF-44E3-9099-C40C66FF867C}">
                  <a14:compatExt spid="_x0000_s11392"/>
                </a:ext>
                <a:ext uri="{FF2B5EF4-FFF2-40B4-BE49-F238E27FC236}">
                  <a16:creationId xmlns:a16="http://schemas.microsoft.com/office/drawing/2014/main" id="{00000000-0008-0000-0300-00008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3" name="Object 1153" hidden="1">
              <a:extLst>
                <a:ext uri="{63B3BB69-23CF-44E3-9099-C40C66FF867C}">
                  <a14:compatExt spid="_x0000_s11393"/>
                </a:ext>
                <a:ext uri="{FF2B5EF4-FFF2-40B4-BE49-F238E27FC236}">
                  <a16:creationId xmlns:a16="http://schemas.microsoft.com/office/drawing/2014/main" id="{00000000-0008-0000-0300-00008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4" name="Object 1154" hidden="1">
              <a:extLst>
                <a:ext uri="{63B3BB69-23CF-44E3-9099-C40C66FF867C}">
                  <a14:compatExt spid="_x0000_s11394"/>
                </a:ext>
                <a:ext uri="{FF2B5EF4-FFF2-40B4-BE49-F238E27FC236}">
                  <a16:creationId xmlns:a16="http://schemas.microsoft.com/office/drawing/2014/main" id="{00000000-0008-0000-0300-00008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395" name="Object 1155" hidden="1">
              <a:extLst>
                <a:ext uri="{63B3BB69-23CF-44E3-9099-C40C66FF867C}">
                  <a14:compatExt spid="_x0000_s11395"/>
                </a:ext>
                <a:ext uri="{FF2B5EF4-FFF2-40B4-BE49-F238E27FC236}">
                  <a16:creationId xmlns:a16="http://schemas.microsoft.com/office/drawing/2014/main" id="{00000000-0008-0000-0300-00008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6" name="Object 1156" hidden="1">
              <a:extLst>
                <a:ext uri="{63B3BB69-23CF-44E3-9099-C40C66FF867C}">
                  <a14:compatExt spid="_x0000_s11396"/>
                </a:ext>
                <a:ext uri="{FF2B5EF4-FFF2-40B4-BE49-F238E27FC236}">
                  <a16:creationId xmlns:a16="http://schemas.microsoft.com/office/drawing/2014/main" id="{00000000-0008-0000-0300-00008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7" name="Object 1157" hidden="1">
              <a:extLst>
                <a:ext uri="{63B3BB69-23CF-44E3-9099-C40C66FF867C}">
                  <a14:compatExt spid="_x0000_s11397"/>
                </a:ext>
                <a:ext uri="{FF2B5EF4-FFF2-40B4-BE49-F238E27FC236}">
                  <a16:creationId xmlns:a16="http://schemas.microsoft.com/office/drawing/2014/main" id="{00000000-0008-0000-0300-00008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8" name="Object 1158" hidden="1">
              <a:extLst>
                <a:ext uri="{63B3BB69-23CF-44E3-9099-C40C66FF867C}">
                  <a14:compatExt spid="_x0000_s11398"/>
                </a:ext>
                <a:ext uri="{FF2B5EF4-FFF2-40B4-BE49-F238E27FC236}">
                  <a16:creationId xmlns:a16="http://schemas.microsoft.com/office/drawing/2014/main" id="{00000000-0008-0000-0300-00008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399" name="Object 1159" hidden="1">
              <a:extLst>
                <a:ext uri="{63B3BB69-23CF-44E3-9099-C40C66FF867C}">
                  <a14:compatExt spid="_x0000_s11399"/>
                </a:ext>
                <a:ext uri="{FF2B5EF4-FFF2-40B4-BE49-F238E27FC236}">
                  <a16:creationId xmlns:a16="http://schemas.microsoft.com/office/drawing/2014/main" id="{00000000-0008-0000-0300-00008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0" name="Object 1160" hidden="1">
              <a:extLst>
                <a:ext uri="{63B3BB69-23CF-44E3-9099-C40C66FF867C}">
                  <a14:compatExt spid="_x0000_s11400"/>
                </a:ext>
                <a:ext uri="{FF2B5EF4-FFF2-40B4-BE49-F238E27FC236}">
                  <a16:creationId xmlns:a16="http://schemas.microsoft.com/office/drawing/2014/main" id="{00000000-0008-0000-0300-00008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1" name="Object 1161" hidden="1">
              <a:extLst>
                <a:ext uri="{63B3BB69-23CF-44E3-9099-C40C66FF867C}">
                  <a14:compatExt spid="_x0000_s11401"/>
                </a:ext>
                <a:ext uri="{FF2B5EF4-FFF2-40B4-BE49-F238E27FC236}">
                  <a16:creationId xmlns:a16="http://schemas.microsoft.com/office/drawing/2014/main" id="{00000000-0008-0000-0300-00008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2" name="Object 1162" hidden="1">
              <a:extLst>
                <a:ext uri="{63B3BB69-23CF-44E3-9099-C40C66FF867C}">
                  <a14:compatExt spid="_x0000_s11402"/>
                </a:ext>
                <a:ext uri="{FF2B5EF4-FFF2-40B4-BE49-F238E27FC236}">
                  <a16:creationId xmlns:a16="http://schemas.microsoft.com/office/drawing/2014/main" id="{00000000-0008-0000-0300-00008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3" name="Object 1163" hidden="1">
              <a:extLst>
                <a:ext uri="{63B3BB69-23CF-44E3-9099-C40C66FF867C}">
                  <a14:compatExt spid="_x0000_s11403"/>
                </a:ext>
                <a:ext uri="{FF2B5EF4-FFF2-40B4-BE49-F238E27FC236}">
                  <a16:creationId xmlns:a16="http://schemas.microsoft.com/office/drawing/2014/main" id="{00000000-0008-0000-0300-00008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4" name="Object 1164" hidden="1">
              <a:extLst>
                <a:ext uri="{63B3BB69-23CF-44E3-9099-C40C66FF867C}">
                  <a14:compatExt spid="_x0000_s11404"/>
                </a:ext>
                <a:ext uri="{FF2B5EF4-FFF2-40B4-BE49-F238E27FC236}">
                  <a16:creationId xmlns:a16="http://schemas.microsoft.com/office/drawing/2014/main" id="{00000000-0008-0000-0300-00008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5" name="Object 1165" hidden="1">
              <a:extLst>
                <a:ext uri="{63B3BB69-23CF-44E3-9099-C40C66FF867C}">
                  <a14:compatExt spid="_x0000_s11405"/>
                </a:ext>
                <a:ext uri="{FF2B5EF4-FFF2-40B4-BE49-F238E27FC236}">
                  <a16:creationId xmlns:a16="http://schemas.microsoft.com/office/drawing/2014/main" id="{00000000-0008-0000-0300-00008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06" name="Object 1166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3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7" name="Object 1167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3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8" name="Object 1168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3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09" name="Object 1169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3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0" name="Object 1170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3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1" name="Object 1171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3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2" name="Object 1172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3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3" name="Object 1173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3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4" name="Object 1174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3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5" name="Object 1175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3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6" name="Object 1176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3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17" name="Object 1177" hidden="1">
              <a:extLst>
                <a:ext uri="{63B3BB69-23CF-44E3-9099-C40C66FF867C}">
                  <a14:compatExt spid="_x0000_s11417"/>
                </a:ext>
                <a:ext uri="{FF2B5EF4-FFF2-40B4-BE49-F238E27FC236}">
                  <a16:creationId xmlns:a16="http://schemas.microsoft.com/office/drawing/2014/main" id="{00000000-0008-0000-0300-00009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8" name="Object 1178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3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19" name="Object 1179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3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0" name="Object 1180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3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1" name="Object 1181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3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2" name="Object 1182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3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3" name="Object 1183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3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4" name="Object 1184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3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5" name="Object 1185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3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6" name="Object 1186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3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7" name="Object 1187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3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28" name="Object 1188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3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29" name="Object 1189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3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0" name="Object 1190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3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1" name="Object 1191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3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2" name="Object 1192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3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3" name="Object 1193" hidden="1">
              <a:extLst>
                <a:ext uri="{63B3BB69-23CF-44E3-9099-C40C66FF867C}">
                  <a14:compatExt spid="_x0000_s11433"/>
                </a:ext>
                <a:ext uri="{FF2B5EF4-FFF2-40B4-BE49-F238E27FC236}">
                  <a16:creationId xmlns:a16="http://schemas.microsoft.com/office/drawing/2014/main" id="{00000000-0008-0000-0300-0000A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4" name="Object 1194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3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5" name="Object 1195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3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6" name="Object 1196" hidden="1">
              <a:extLst>
                <a:ext uri="{63B3BB69-23CF-44E3-9099-C40C66FF867C}">
                  <a14:compatExt spid="_x0000_s11436"/>
                </a:ext>
                <a:ext uri="{FF2B5EF4-FFF2-40B4-BE49-F238E27FC236}">
                  <a16:creationId xmlns:a16="http://schemas.microsoft.com/office/drawing/2014/main" id="{00000000-0008-0000-0300-0000A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7" name="Object 1197" hidden="1">
              <a:extLst>
                <a:ext uri="{63B3BB69-23CF-44E3-9099-C40C66FF867C}">
                  <a14:compatExt spid="_x0000_s11437"/>
                </a:ext>
                <a:ext uri="{FF2B5EF4-FFF2-40B4-BE49-F238E27FC236}">
                  <a16:creationId xmlns:a16="http://schemas.microsoft.com/office/drawing/2014/main" id="{00000000-0008-0000-0300-0000A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38" name="Object 1198" hidden="1">
              <a:extLst>
                <a:ext uri="{63B3BB69-23CF-44E3-9099-C40C66FF867C}">
                  <a14:compatExt spid="_x0000_s11438"/>
                </a:ext>
                <a:ext uri="{FF2B5EF4-FFF2-40B4-BE49-F238E27FC236}">
                  <a16:creationId xmlns:a16="http://schemas.microsoft.com/office/drawing/2014/main" id="{00000000-0008-0000-0300-0000A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39" name="Object 1199" hidden="1">
              <a:extLst>
                <a:ext uri="{63B3BB69-23CF-44E3-9099-C40C66FF867C}">
                  <a14:compatExt spid="_x0000_s11439"/>
                </a:ext>
                <a:ext uri="{FF2B5EF4-FFF2-40B4-BE49-F238E27FC236}">
                  <a16:creationId xmlns:a16="http://schemas.microsoft.com/office/drawing/2014/main" id="{00000000-0008-0000-0300-0000A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0" name="Object 1200" hidden="1">
              <a:extLst>
                <a:ext uri="{63B3BB69-23CF-44E3-9099-C40C66FF867C}">
                  <a14:compatExt spid="_x0000_s11440"/>
                </a:ext>
                <a:ext uri="{FF2B5EF4-FFF2-40B4-BE49-F238E27FC236}">
                  <a16:creationId xmlns:a16="http://schemas.microsoft.com/office/drawing/2014/main" id="{00000000-0008-0000-0300-0000B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1" name="Object 1201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3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2" name="Object 1202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3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3" name="Object 1203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3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4" name="Object 1204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3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5" name="Object 1205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3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6" name="Object 1206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3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7" name="Object 1207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3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8" name="Object 1208" hidden="1">
              <a:extLst>
                <a:ext uri="{63B3BB69-23CF-44E3-9099-C40C66FF867C}">
                  <a14:compatExt spid="_x0000_s11448"/>
                </a:ext>
                <a:ext uri="{FF2B5EF4-FFF2-40B4-BE49-F238E27FC236}">
                  <a16:creationId xmlns:a16="http://schemas.microsoft.com/office/drawing/2014/main" id="{00000000-0008-0000-0300-0000B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49" name="Object 1209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3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50" name="Object 1210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3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1" name="Object 1211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3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2" name="Object 1212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3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3" name="Object 1213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3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4" name="Object 1214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3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5" name="Object 1215" hidden="1">
              <a:extLst>
                <a:ext uri="{63B3BB69-23CF-44E3-9099-C40C66FF867C}">
                  <a14:compatExt spid="_x0000_s11455"/>
                </a:ext>
                <a:ext uri="{FF2B5EF4-FFF2-40B4-BE49-F238E27FC236}">
                  <a16:creationId xmlns:a16="http://schemas.microsoft.com/office/drawing/2014/main" id="{00000000-0008-0000-0300-0000B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6" name="Object 1216" hidden="1">
              <a:extLst>
                <a:ext uri="{63B3BB69-23CF-44E3-9099-C40C66FF867C}">
                  <a14:compatExt spid="_x0000_s11456"/>
                </a:ext>
                <a:ext uri="{FF2B5EF4-FFF2-40B4-BE49-F238E27FC236}">
                  <a16:creationId xmlns:a16="http://schemas.microsoft.com/office/drawing/2014/main" id="{00000000-0008-0000-0300-0000C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7" name="Object 1217" hidden="1">
              <a:extLst>
                <a:ext uri="{63B3BB69-23CF-44E3-9099-C40C66FF867C}">
                  <a14:compatExt spid="_x0000_s11457"/>
                </a:ext>
                <a:ext uri="{FF2B5EF4-FFF2-40B4-BE49-F238E27FC236}">
                  <a16:creationId xmlns:a16="http://schemas.microsoft.com/office/drawing/2014/main" id="{00000000-0008-0000-0300-0000C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8" name="Object 1218" hidden="1">
              <a:extLst>
                <a:ext uri="{63B3BB69-23CF-44E3-9099-C40C66FF867C}">
                  <a14:compatExt spid="_x0000_s11458"/>
                </a:ext>
                <a:ext uri="{FF2B5EF4-FFF2-40B4-BE49-F238E27FC236}">
                  <a16:creationId xmlns:a16="http://schemas.microsoft.com/office/drawing/2014/main" id="{00000000-0008-0000-0300-0000C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59" name="Object 1219" hidden="1">
              <a:extLst>
                <a:ext uri="{63B3BB69-23CF-44E3-9099-C40C66FF867C}">
                  <a14:compatExt spid="_x0000_s11459"/>
                </a:ext>
                <a:ext uri="{FF2B5EF4-FFF2-40B4-BE49-F238E27FC236}">
                  <a16:creationId xmlns:a16="http://schemas.microsoft.com/office/drawing/2014/main" id="{00000000-0008-0000-0300-0000C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0" name="Object 1220" hidden="1">
              <a:extLst>
                <a:ext uri="{63B3BB69-23CF-44E3-9099-C40C66FF867C}">
                  <a14:compatExt spid="_x0000_s11460"/>
                </a:ext>
                <a:ext uri="{FF2B5EF4-FFF2-40B4-BE49-F238E27FC236}">
                  <a16:creationId xmlns:a16="http://schemas.microsoft.com/office/drawing/2014/main" id="{00000000-0008-0000-0300-0000C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61" name="Object 1221" hidden="1">
              <a:extLst>
                <a:ext uri="{63B3BB69-23CF-44E3-9099-C40C66FF867C}">
                  <a14:compatExt spid="_x0000_s11461"/>
                </a:ext>
                <a:ext uri="{FF2B5EF4-FFF2-40B4-BE49-F238E27FC236}">
                  <a16:creationId xmlns:a16="http://schemas.microsoft.com/office/drawing/2014/main" id="{00000000-0008-0000-0300-0000C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2" name="Object 1222" hidden="1">
              <a:extLst>
                <a:ext uri="{63B3BB69-23CF-44E3-9099-C40C66FF867C}">
                  <a14:compatExt spid="_x0000_s11462"/>
                </a:ext>
                <a:ext uri="{FF2B5EF4-FFF2-40B4-BE49-F238E27FC236}">
                  <a16:creationId xmlns:a16="http://schemas.microsoft.com/office/drawing/2014/main" id="{00000000-0008-0000-0300-0000C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3" name="Object 1223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3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4" name="Object 1224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3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5" name="Object 1225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3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6" name="Object 1226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3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7" name="Object 1227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3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8" name="Object 1228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3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69" name="Object 1229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3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70" name="Object 1230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3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98</xdr:row>
          <xdr:rowOff>146050</xdr:rowOff>
        </xdr:from>
        <xdr:to>
          <xdr:col>13</xdr:col>
          <xdr:colOff>431800</xdr:colOff>
          <xdr:row>98</xdr:row>
          <xdr:rowOff>146050</xdr:rowOff>
        </xdr:to>
        <xdr:sp macro="" textlink="">
          <xdr:nvSpPr>
            <xdr:cNvPr id="11471" name="Object 1231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3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98</xdr:row>
          <xdr:rowOff>146050</xdr:rowOff>
        </xdr:from>
        <xdr:to>
          <xdr:col>13</xdr:col>
          <xdr:colOff>438150</xdr:colOff>
          <xdr:row>98</xdr:row>
          <xdr:rowOff>146050</xdr:rowOff>
        </xdr:to>
        <xdr:sp macro="" textlink="">
          <xdr:nvSpPr>
            <xdr:cNvPr id="11472" name="Object 1232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3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32</xdr:row>
      <xdr:rowOff>0</xdr:rowOff>
    </xdr:from>
    <xdr:to>
      <xdr:col>11</xdr:col>
      <xdr:colOff>0</xdr:colOff>
      <xdr:row>32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124700" y="56197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32</xdr:row>
      <xdr:rowOff>0</xdr:rowOff>
    </xdr:from>
    <xdr:to>
      <xdr:col>11</xdr:col>
      <xdr:colOff>0</xdr:colOff>
      <xdr:row>32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124700" y="56197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29</xdr:row>
      <xdr:rowOff>157490</xdr:rowOff>
    </xdr:from>
    <xdr:to>
      <xdr:col>8</xdr:col>
      <xdr:colOff>734011</xdr:colOff>
      <xdr:row>29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7012556" y="5114378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32</xdr:row>
      <xdr:rowOff>0</xdr:rowOff>
    </xdr:from>
    <xdr:to>
      <xdr:col>11</xdr:col>
      <xdr:colOff>0</xdr:colOff>
      <xdr:row>32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7731125" y="6013450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32</xdr:row>
      <xdr:rowOff>0</xdr:rowOff>
    </xdr:from>
    <xdr:to>
      <xdr:col>11</xdr:col>
      <xdr:colOff>0</xdr:colOff>
      <xdr:row>32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731125" y="6013450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29</xdr:row>
      <xdr:rowOff>157490</xdr:rowOff>
    </xdr:from>
    <xdr:to>
      <xdr:col>8</xdr:col>
      <xdr:colOff>734011</xdr:colOff>
      <xdr:row>29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6242392" y="5612140"/>
          <a:ext cx="2193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DL\LARAGON%20TRAXEL\Centrifuge-CENTRI-14-09-2023.xlsx" TargetMode="External"/><Relationship Id="rId1" Type="http://schemas.openxmlformats.org/officeDocument/2006/relationships/externalLinkPath" Target="/Users/user/Documents/DL/LARAGON%20TRAXEL/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3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4F20-80DF-4AEC-9048-BBA66DBDC3C4}">
  <sheetPr>
    <tabColor indexed="33"/>
  </sheetPr>
  <dimension ref="A2:E101"/>
  <sheetViews>
    <sheetView workbookViewId="0">
      <selection activeCell="C28" sqref="C28"/>
    </sheetView>
  </sheetViews>
  <sheetFormatPr defaultRowHeight="12.5" x14ac:dyDescent="0.2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25">
      <c r="A2" s="805" t="s">
        <v>0</v>
      </c>
      <c r="B2" s="805" t="s">
        <v>1</v>
      </c>
      <c r="C2" s="805" t="s">
        <v>2</v>
      </c>
      <c r="D2" s="805"/>
      <c r="E2" s="806" t="s">
        <v>3</v>
      </c>
    </row>
    <row r="3" spans="1:5" x14ac:dyDescent="0.25">
      <c r="A3" s="805"/>
      <c r="B3" s="805"/>
      <c r="C3" s="368" t="s">
        <v>4</v>
      </c>
      <c r="D3" s="368" t="s">
        <v>5</v>
      </c>
      <c r="E3" s="807"/>
    </row>
    <row r="4" spans="1:5" x14ac:dyDescent="0.25">
      <c r="A4" s="368">
        <v>1</v>
      </c>
      <c r="B4" s="446">
        <v>44426</v>
      </c>
      <c r="C4" s="368" t="s">
        <v>6</v>
      </c>
      <c r="D4" s="368" t="s">
        <v>7</v>
      </c>
      <c r="E4" s="439" t="s">
        <v>8</v>
      </c>
    </row>
    <row r="5" spans="1:5" x14ac:dyDescent="0.25">
      <c r="A5" s="806">
        <v>2</v>
      </c>
      <c r="B5" s="808" t="s">
        <v>9</v>
      </c>
      <c r="C5" s="368" t="s">
        <v>10</v>
      </c>
      <c r="D5" s="368" t="s">
        <v>11</v>
      </c>
      <c r="E5" s="439" t="s">
        <v>12</v>
      </c>
    </row>
    <row r="6" spans="1:5" x14ac:dyDescent="0.25">
      <c r="A6" s="811"/>
      <c r="B6" s="809"/>
      <c r="C6" s="368" t="s">
        <v>13</v>
      </c>
      <c r="D6" s="368" t="s">
        <v>11</v>
      </c>
      <c r="E6" s="439" t="s">
        <v>12</v>
      </c>
    </row>
    <row r="7" spans="1:5" x14ac:dyDescent="0.25">
      <c r="A7" s="807"/>
      <c r="B7" s="810"/>
      <c r="C7" s="368" t="s">
        <v>14</v>
      </c>
      <c r="D7" s="368" t="s">
        <v>11</v>
      </c>
      <c r="E7" s="439" t="s">
        <v>12</v>
      </c>
    </row>
    <row r="8" spans="1:5" x14ac:dyDescent="0.25">
      <c r="A8" s="368">
        <v>3</v>
      </c>
      <c r="B8" s="446" t="s">
        <v>15</v>
      </c>
      <c r="C8" s="457" t="s">
        <v>16</v>
      </c>
      <c r="D8" s="368" t="s">
        <v>17</v>
      </c>
      <c r="E8" s="439" t="s">
        <v>8</v>
      </c>
    </row>
    <row r="9" spans="1:5" x14ac:dyDescent="0.25">
      <c r="A9" s="368">
        <v>4</v>
      </c>
      <c r="B9" s="482" t="s">
        <v>18</v>
      </c>
      <c r="C9" s="259" t="s">
        <v>19</v>
      </c>
      <c r="D9" s="259" t="s">
        <v>20</v>
      </c>
      <c r="E9" s="480" t="s">
        <v>12</v>
      </c>
    </row>
    <row r="10" spans="1:5" x14ac:dyDescent="0.25">
      <c r="A10" s="368">
        <v>5</v>
      </c>
      <c r="B10" s="482" t="s">
        <v>21</v>
      </c>
      <c r="C10" s="259" t="s">
        <v>22</v>
      </c>
      <c r="D10" s="259" t="s">
        <v>11</v>
      </c>
      <c r="E10" s="480" t="s">
        <v>12</v>
      </c>
    </row>
    <row r="11" spans="1:5" x14ac:dyDescent="0.25">
      <c r="A11" s="368"/>
      <c r="B11" s="446"/>
      <c r="C11" s="368"/>
      <c r="D11" s="368"/>
      <c r="E11" s="439"/>
    </row>
    <row r="12" spans="1:5" x14ac:dyDescent="0.25">
      <c r="A12" s="368"/>
      <c r="B12" s="446"/>
      <c r="C12" s="368"/>
      <c r="D12" s="368"/>
      <c r="E12" s="439"/>
    </row>
    <row r="13" spans="1:5" x14ac:dyDescent="0.25">
      <c r="A13" s="368"/>
      <c r="B13" s="446"/>
      <c r="C13" s="368"/>
      <c r="D13" s="368"/>
      <c r="E13" s="439"/>
    </row>
    <row r="14" spans="1:5" x14ac:dyDescent="0.25">
      <c r="A14" s="368"/>
      <c r="B14" s="446"/>
      <c r="C14" s="368"/>
      <c r="D14" s="368"/>
      <c r="E14" s="439"/>
    </row>
    <row r="15" spans="1:5" x14ac:dyDescent="0.25">
      <c r="A15" s="368"/>
      <c r="B15" s="446"/>
      <c r="C15" s="368"/>
      <c r="D15" s="368"/>
      <c r="E15" s="439"/>
    </row>
    <row r="16" spans="1:5" x14ac:dyDescent="0.25">
      <c r="A16" s="368"/>
      <c r="B16" s="446"/>
      <c r="C16" s="368"/>
      <c r="D16" s="368"/>
      <c r="E16" s="439"/>
    </row>
    <row r="17" spans="1:5" x14ac:dyDescent="0.25">
      <c r="A17" s="368"/>
      <c r="B17" s="446"/>
      <c r="C17" s="368"/>
      <c r="D17" s="368"/>
      <c r="E17" s="439"/>
    </row>
    <row r="18" spans="1:5" x14ac:dyDescent="0.25">
      <c r="A18" s="368"/>
      <c r="B18" s="446"/>
      <c r="C18" s="368"/>
      <c r="D18" s="368"/>
      <c r="E18" s="439"/>
    </row>
    <row r="19" spans="1:5" x14ac:dyDescent="0.25">
      <c r="A19" s="368"/>
      <c r="B19" s="446"/>
      <c r="C19" s="368"/>
      <c r="D19" s="368"/>
      <c r="E19" s="439"/>
    </row>
    <row r="101" spans="1:1" x14ac:dyDescent="0.25">
      <c r="A101" s="452" t="s">
        <v>23</v>
      </c>
    </row>
  </sheetData>
  <sheetProtection algorithmName="SHA-512" hashValue="4ZXApihLU/9EIAwxYIsY2T7Zi03J8ktJkGvVnN6ME1oJbnWFjbRwIZboYeC605A0V9saCfIcqNV9vAQpOb7xDQ==" saltValue="1nkMOiGOm7UoYX1guF7Gxw==" spinCount="100000" sheet="1" objects="1" scenarios="1"/>
  <mergeCells count="6">
    <mergeCell ref="A2:A3"/>
    <mergeCell ref="B2:B3"/>
    <mergeCell ref="C2:D2"/>
    <mergeCell ref="E2:E3"/>
    <mergeCell ref="B5:B7"/>
    <mergeCell ref="A5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2D86-65C2-42D6-A7A6-A9262F27DA4F}">
  <dimension ref="A1:AB311"/>
  <sheetViews>
    <sheetView workbookViewId="0">
      <selection sqref="A1:XFD1048576"/>
    </sheetView>
  </sheetViews>
  <sheetFormatPr defaultColWidth="8.7265625" defaultRowHeight="12.5" x14ac:dyDescent="0.25"/>
  <cols>
    <col min="1" max="1" width="10.26953125" style="76" bestFit="1" customWidth="1"/>
    <col min="2" max="2" width="9.54296875" style="76" bestFit="1" customWidth="1"/>
    <col min="3" max="9" width="8.7265625" style="76"/>
    <col min="10" max="10" width="9.1796875" style="76" bestFit="1" customWidth="1"/>
    <col min="11" max="11" width="8.7265625" style="76"/>
    <col min="12" max="12" width="8.54296875" style="76" customWidth="1"/>
    <col min="13" max="13" width="12.26953125" style="76" customWidth="1"/>
    <col min="14" max="16384" width="8.7265625" style="76"/>
  </cols>
  <sheetData>
    <row r="1" spans="1:24" ht="18" x14ac:dyDescent="0.25">
      <c r="A1" s="1077" t="s">
        <v>376</v>
      </c>
      <c r="B1" s="1078"/>
      <c r="C1" s="1078"/>
      <c r="D1" s="1078"/>
      <c r="E1" s="1078"/>
      <c r="F1" s="1078"/>
      <c r="G1" s="1078"/>
      <c r="H1" s="1078"/>
      <c r="I1" s="1078"/>
      <c r="J1" s="1078"/>
      <c r="K1" s="1078"/>
      <c r="L1" s="1078"/>
      <c r="M1" s="1078"/>
      <c r="N1" s="1078"/>
      <c r="O1" s="1078"/>
      <c r="P1" s="1078"/>
      <c r="Q1" s="1078"/>
      <c r="R1" s="1078"/>
      <c r="S1" s="1078"/>
      <c r="T1" s="1078"/>
      <c r="U1" s="1078"/>
      <c r="V1" s="76" t="s">
        <v>78</v>
      </c>
    </row>
    <row r="2" spans="1:24" ht="14.5" x14ac:dyDescent="0.25">
      <c r="A2" s="1079" t="s">
        <v>377</v>
      </c>
      <c r="B2" s="1080" t="s">
        <v>378</v>
      </c>
      <c r="C2" s="1080"/>
      <c r="D2" s="1080"/>
      <c r="E2" s="1080"/>
      <c r="F2" s="1080"/>
      <c r="G2" s="1080"/>
      <c r="H2" s="1081" t="s">
        <v>379</v>
      </c>
      <c r="I2" s="1080" t="s">
        <v>380</v>
      </c>
      <c r="J2" s="1080"/>
      <c r="K2" s="1080"/>
      <c r="L2" s="1080"/>
      <c r="M2" s="1080"/>
      <c r="N2" s="1080"/>
      <c r="O2" s="1081" t="s">
        <v>381</v>
      </c>
      <c r="P2" s="1080" t="s">
        <v>382</v>
      </c>
      <c r="Q2" s="1080"/>
      <c r="R2" s="1080"/>
      <c r="S2" s="1080"/>
      <c r="T2" s="1080"/>
      <c r="U2" s="1080"/>
    </row>
    <row r="3" spans="1:24" ht="14" x14ac:dyDescent="0.3">
      <c r="A3" s="1079"/>
      <c r="B3" s="1082" t="s">
        <v>383</v>
      </c>
      <c r="C3" s="1082"/>
      <c r="D3" s="1082"/>
      <c r="E3" s="1082"/>
      <c r="F3" s="1082"/>
      <c r="G3" s="1082"/>
      <c r="H3" s="1081"/>
      <c r="I3" s="1082" t="s">
        <v>383</v>
      </c>
      <c r="J3" s="1082"/>
      <c r="K3" s="1082"/>
      <c r="L3" s="1082"/>
      <c r="M3" s="1082"/>
      <c r="N3" s="1082"/>
      <c r="O3" s="1081"/>
      <c r="P3" s="1083" t="s">
        <v>383</v>
      </c>
      <c r="Q3" s="1083"/>
      <c r="R3" s="1083"/>
      <c r="S3" s="1083"/>
      <c r="T3" s="1083"/>
      <c r="U3" s="1083"/>
    </row>
    <row r="4" spans="1:24" ht="13" x14ac:dyDescent="0.25">
      <c r="A4" s="1079"/>
      <c r="B4" s="1084" t="s">
        <v>384</v>
      </c>
      <c r="C4" s="1084"/>
      <c r="D4" s="1084"/>
      <c r="E4" s="1084"/>
      <c r="F4" s="1084" t="s">
        <v>385</v>
      </c>
      <c r="G4" s="1084" t="s">
        <v>251</v>
      </c>
      <c r="H4" s="1081"/>
      <c r="I4" s="1084" t="str">
        <f>B4</f>
        <v>Setting VAC</v>
      </c>
      <c r="J4" s="1084"/>
      <c r="K4" s="1084"/>
      <c r="L4" s="1084"/>
      <c r="M4" s="1084" t="s">
        <v>385</v>
      </c>
      <c r="N4" s="1084" t="s">
        <v>251</v>
      </c>
      <c r="O4" s="1081"/>
      <c r="P4" s="1084" t="str">
        <f>B4</f>
        <v>Setting VAC</v>
      </c>
      <c r="Q4" s="1084"/>
      <c r="R4" s="1084"/>
      <c r="S4" s="1084"/>
      <c r="T4" s="1084" t="s">
        <v>385</v>
      </c>
      <c r="U4" s="1084" t="s">
        <v>251</v>
      </c>
    </row>
    <row r="5" spans="1:24" ht="14" x14ac:dyDescent="0.25">
      <c r="A5" s="1079"/>
      <c r="B5" s="691" t="s">
        <v>386</v>
      </c>
      <c r="C5" s="458">
        <v>2022</v>
      </c>
      <c r="D5" s="458">
        <v>2020</v>
      </c>
      <c r="E5" s="458">
        <v>2019</v>
      </c>
      <c r="F5" s="1084"/>
      <c r="G5" s="1084"/>
      <c r="H5" s="1081"/>
      <c r="I5" s="691" t="s">
        <v>386</v>
      </c>
      <c r="J5" s="458">
        <v>2022</v>
      </c>
      <c r="K5" s="458">
        <v>2019</v>
      </c>
      <c r="L5" s="483">
        <v>2017</v>
      </c>
      <c r="M5" s="1084"/>
      <c r="N5" s="1084"/>
      <c r="O5" s="1081"/>
      <c r="P5" s="691" t="s">
        <v>386</v>
      </c>
      <c r="Q5" s="458">
        <v>2022</v>
      </c>
      <c r="R5" s="458">
        <v>2021</v>
      </c>
      <c r="S5" s="458">
        <v>2018</v>
      </c>
      <c r="T5" s="1084"/>
      <c r="U5" s="1084"/>
      <c r="V5" s="484"/>
      <c r="W5" s="484"/>
      <c r="X5" s="485"/>
    </row>
    <row r="6" spans="1:24" x14ac:dyDescent="0.25">
      <c r="A6" s="1079"/>
      <c r="B6" s="692">
        <v>150</v>
      </c>
      <c r="C6" s="486">
        <v>0.35</v>
      </c>
      <c r="D6" s="486">
        <v>0.31</v>
      </c>
      <c r="E6" s="486">
        <v>0.76</v>
      </c>
      <c r="F6" s="270">
        <f>0.5*(MAX(C6:E6)-MIN(C6:E6))</f>
        <v>0.22500000000000001</v>
      </c>
      <c r="G6" s="692">
        <f t="shared" ref="G6:G10" si="0">(1.2/100)*B6</f>
        <v>1.8</v>
      </c>
      <c r="H6" s="1081"/>
      <c r="I6" s="692">
        <v>150</v>
      </c>
      <c r="J6" s="487">
        <v>0.22</v>
      </c>
      <c r="K6" s="488">
        <v>0.15</v>
      </c>
      <c r="L6" s="488">
        <v>0.23</v>
      </c>
      <c r="M6" s="270">
        <f t="shared" ref="M6:M11" si="1">0.5*(MAX(K6:L6)-MIN(K6:L6))</f>
        <v>4.0000000000000008E-2</v>
      </c>
      <c r="N6" s="692">
        <f>(1.2/100)*I6</f>
        <v>1.8</v>
      </c>
      <c r="O6" s="1081"/>
      <c r="P6" s="692">
        <v>150</v>
      </c>
      <c r="Q6" s="488">
        <v>-1.43</v>
      </c>
      <c r="R6" s="488">
        <v>-1.6</v>
      </c>
      <c r="S6" s="488">
        <v>-7.0000000000000007E-2</v>
      </c>
      <c r="T6" s="270">
        <f>0.5*(MAX(Q6:S6)-MIN(Q6:S6))</f>
        <v>0.76500000000000001</v>
      </c>
      <c r="U6" s="692">
        <f t="shared" ref="U6:U11" si="2">(1.2/100)*P6</f>
        <v>1.8</v>
      </c>
      <c r="V6" s="489"/>
      <c r="W6" s="490"/>
      <c r="X6" s="485"/>
    </row>
    <row r="7" spans="1:24" x14ac:dyDescent="0.25">
      <c r="A7" s="1079"/>
      <c r="B7" s="692">
        <v>180</v>
      </c>
      <c r="C7" s="486">
        <v>-0.1</v>
      </c>
      <c r="D7" s="486">
        <v>0.1</v>
      </c>
      <c r="E7" s="486">
        <v>-0.03</v>
      </c>
      <c r="F7" s="270">
        <f t="shared" ref="F7:F11" si="3">0.5*(MAX(C7:E7)-MIN(C7:E7))</f>
        <v>0.1</v>
      </c>
      <c r="G7" s="692">
        <f t="shared" si="0"/>
        <v>2.16</v>
      </c>
      <c r="H7" s="1081"/>
      <c r="I7" s="692">
        <v>180</v>
      </c>
      <c r="J7" s="487">
        <v>0.1</v>
      </c>
      <c r="K7" s="488">
        <v>0.12</v>
      </c>
      <c r="L7" s="488">
        <v>-0.06</v>
      </c>
      <c r="M7" s="270">
        <f t="shared" si="1"/>
        <v>0.09</v>
      </c>
      <c r="N7" s="692">
        <f>(1.2/100)*I7</f>
        <v>2.16</v>
      </c>
      <c r="O7" s="1081"/>
      <c r="P7" s="692">
        <v>180</v>
      </c>
      <c r="Q7" s="488">
        <v>-1.81</v>
      </c>
      <c r="R7" s="488">
        <v>-1.9</v>
      </c>
      <c r="S7" s="488">
        <v>-0.13</v>
      </c>
      <c r="T7" s="270">
        <f t="shared" ref="T7:T11" si="4">0.5*(MAX(Q7:S7)-MIN(Q7:S7))</f>
        <v>0.88500000000000001</v>
      </c>
      <c r="U7" s="692">
        <f t="shared" si="2"/>
        <v>2.16</v>
      </c>
      <c r="V7" s="489"/>
      <c r="W7" s="490"/>
      <c r="X7" s="485"/>
    </row>
    <row r="8" spans="1:24" x14ac:dyDescent="0.25">
      <c r="A8" s="1079"/>
      <c r="B8" s="486">
        <v>200</v>
      </c>
      <c r="C8" s="486">
        <v>-0.17</v>
      </c>
      <c r="D8" s="486">
        <v>-0.04</v>
      </c>
      <c r="E8" s="486">
        <v>-0.16</v>
      </c>
      <c r="F8" s="270">
        <f t="shared" si="3"/>
        <v>6.5000000000000002E-2</v>
      </c>
      <c r="G8" s="692">
        <f t="shared" si="0"/>
        <v>2.4</v>
      </c>
      <c r="H8" s="1081"/>
      <c r="I8" s="486">
        <v>200</v>
      </c>
      <c r="J8" s="487">
        <v>0.09</v>
      </c>
      <c r="K8" s="488">
        <v>0.06</v>
      </c>
      <c r="L8" s="488">
        <v>-0.18</v>
      </c>
      <c r="M8" s="270">
        <f t="shared" si="1"/>
        <v>0.12</v>
      </c>
      <c r="N8" s="692">
        <f>(1.2/100)*I8</f>
        <v>2.4</v>
      </c>
      <c r="O8" s="1081"/>
      <c r="P8" s="692">
        <v>200</v>
      </c>
      <c r="Q8" s="488">
        <v>-2.0499999999999998</v>
      </c>
      <c r="R8" s="488">
        <v>-2.14</v>
      </c>
      <c r="S8" s="488">
        <v>-0.26</v>
      </c>
      <c r="T8" s="270">
        <f t="shared" si="4"/>
        <v>0.94000000000000006</v>
      </c>
      <c r="U8" s="692">
        <f t="shared" si="2"/>
        <v>2.4</v>
      </c>
      <c r="V8" s="489"/>
      <c r="W8" s="490"/>
      <c r="X8" s="485"/>
    </row>
    <row r="9" spans="1:24" x14ac:dyDescent="0.25">
      <c r="A9" s="1079"/>
      <c r="B9" s="486">
        <v>220</v>
      </c>
      <c r="C9" s="486">
        <v>-0.27</v>
      </c>
      <c r="D9" s="486">
        <v>-0.28000000000000003</v>
      </c>
      <c r="E9" s="486">
        <v>-0.18</v>
      </c>
      <c r="F9" s="270">
        <f t="shared" si="3"/>
        <v>5.0000000000000017E-2</v>
      </c>
      <c r="G9" s="692">
        <f t="shared" si="0"/>
        <v>2.64</v>
      </c>
      <c r="H9" s="1081"/>
      <c r="I9" s="486">
        <v>220</v>
      </c>
      <c r="J9" s="487">
        <v>0.53</v>
      </c>
      <c r="K9" s="488">
        <v>0.05</v>
      </c>
      <c r="L9" s="488">
        <v>-0.03</v>
      </c>
      <c r="M9" s="270">
        <f t="shared" si="1"/>
        <v>0.04</v>
      </c>
      <c r="N9" s="692">
        <f>(1.2/100)*I9</f>
        <v>2.64</v>
      </c>
      <c r="O9" s="1081"/>
      <c r="P9" s="486">
        <v>220</v>
      </c>
      <c r="Q9" s="488">
        <v>-2.29</v>
      </c>
      <c r="R9" s="488">
        <v>-3.44</v>
      </c>
      <c r="S9" s="488">
        <v>-0.28999999999999998</v>
      </c>
      <c r="T9" s="270">
        <f t="shared" si="4"/>
        <v>1.575</v>
      </c>
      <c r="U9" s="692">
        <f t="shared" si="2"/>
        <v>2.64</v>
      </c>
      <c r="V9" s="489"/>
      <c r="W9" s="490"/>
      <c r="X9" s="485"/>
    </row>
    <row r="10" spans="1:24" x14ac:dyDescent="0.25">
      <c r="A10" s="1079"/>
      <c r="B10" s="486">
        <v>230</v>
      </c>
      <c r="C10" s="486">
        <v>0.64</v>
      </c>
      <c r="D10" s="486">
        <v>-0.2</v>
      </c>
      <c r="E10" s="486">
        <v>-0.26</v>
      </c>
      <c r="F10" s="270">
        <f t="shared" si="3"/>
        <v>0.45</v>
      </c>
      <c r="G10" s="692">
        <f t="shared" si="0"/>
        <v>2.7600000000000002</v>
      </c>
      <c r="H10" s="1081"/>
      <c r="I10" s="486">
        <v>230</v>
      </c>
      <c r="J10" s="487">
        <v>1.08</v>
      </c>
      <c r="K10" s="486">
        <v>9.9999999999999995E-7</v>
      </c>
      <c r="L10" s="486">
        <v>0.05</v>
      </c>
      <c r="M10" s="270">
        <f t="shared" si="1"/>
        <v>2.4999500000000001E-2</v>
      </c>
      <c r="N10" s="692">
        <f>(1.2/100)*I10</f>
        <v>2.7600000000000002</v>
      </c>
      <c r="O10" s="1081"/>
      <c r="P10" s="486">
        <v>230</v>
      </c>
      <c r="Q10" s="488">
        <v>-11.79</v>
      </c>
      <c r="R10" s="488">
        <v>-2.52</v>
      </c>
      <c r="S10" s="488">
        <v>-0.23</v>
      </c>
      <c r="T10" s="270">
        <f t="shared" si="4"/>
        <v>5.7799999999999994</v>
      </c>
      <c r="U10" s="692">
        <f t="shared" si="2"/>
        <v>2.7600000000000002</v>
      </c>
      <c r="V10" s="489"/>
      <c r="W10" s="490"/>
      <c r="X10" s="485"/>
    </row>
    <row r="11" spans="1:24" x14ac:dyDescent="0.25">
      <c r="A11" s="1079"/>
      <c r="B11" s="486">
        <v>250</v>
      </c>
      <c r="C11" s="486">
        <v>-0.36</v>
      </c>
      <c r="D11" s="486">
        <v>-0.32</v>
      </c>
      <c r="E11" s="486">
        <v>9.9999999999999995E-7</v>
      </c>
      <c r="F11" s="270">
        <f t="shared" si="3"/>
        <v>0.18000049999999998</v>
      </c>
      <c r="G11" s="692">
        <f>(1.2/100)*B11</f>
        <v>3</v>
      </c>
      <c r="H11" s="1081"/>
      <c r="I11" s="486">
        <v>250</v>
      </c>
      <c r="J11" s="487">
        <v>-0.01</v>
      </c>
      <c r="K11" s="486">
        <v>9.9999999999999995E-7</v>
      </c>
      <c r="L11" s="486">
        <v>9.9999999999999995E-7</v>
      </c>
      <c r="M11" s="270">
        <f t="shared" si="1"/>
        <v>0</v>
      </c>
      <c r="N11" s="692">
        <v>2.76</v>
      </c>
      <c r="O11" s="1081"/>
      <c r="P11" s="486">
        <v>250</v>
      </c>
      <c r="Q11" s="488">
        <v>9.9999999999999995E-7</v>
      </c>
      <c r="R11" s="488">
        <v>9.9999999999999995E-7</v>
      </c>
      <c r="S11" s="488">
        <v>9.9999999999999995E-7</v>
      </c>
      <c r="T11" s="270">
        <f t="shared" si="4"/>
        <v>0</v>
      </c>
      <c r="U11" s="692">
        <f t="shared" si="2"/>
        <v>3</v>
      </c>
      <c r="V11" s="489"/>
      <c r="W11" s="490"/>
      <c r="X11" s="485"/>
    </row>
    <row r="12" spans="1:24" ht="13" customHeight="1" x14ac:dyDescent="0.25">
      <c r="A12" s="1079"/>
      <c r="B12" s="1085" t="s">
        <v>387</v>
      </c>
      <c r="C12" s="1085"/>
      <c r="D12" s="1085"/>
      <c r="E12" s="1085"/>
      <c r="F12" s="1084" t="s">
        <v>385</v>
      </c>
      <c r="G12" s="1086" t="s">
        <v>251</v>
      </c>
      <c r="H12" s="1081"/>
      <c r="I12" s="1085" t="str">
        <f>B12</f>
        <v>Current Leakage</v>
      </c>
      <c r="J12" s="1085"/>
      <c r="K12" s="1085"/>
      <c r="L12" s="1085"/>
      <c r="M12" s="1084" t="s">
        <v>385</v>
      </c>
      <c r="N12" s="1084" t="s">
        <v>251</v>
      </c>
      <c r="O12" s="1081"/>
      <c r="P12" s="1085" t="str">
        <f>B12</f>
        <v>Current Leakage</v>
      </c>
      <c r="Q12" s="1085"/>
      <c r="R12" s="1085"/>
      <c r="S12" s="1085"/>
      <c r="T12" s="1084" t="s">
        <v>385</v>
      </c>
      <c r="U12" s="1084" t="s">
        <v>251</v>
      </c>
      <c r="V12" s="485"/>
      <c r="W12" s="485"/>
      <c r="X12" s="485"/>
    </row>
    <row r="13" spans="1:24" ht="14" x14ac:dyDescent="0.25">
      <c r="A13" s="1079"/>
      <c r="B13" s="691" t="s">
        <v>388</v>
      </c>
      <c r="C13" s="458">
        <f>C5</f>
        <v>2022</v>
      </c>
      <c r="D13" s="458">
        <f>D5</f>
        <v>2020</v>
      </c>
      <c r="E13" s="458">
        <f>E5</f>
        <v>2019</v>
      </c>
      <c r="F13" s="1084"/>
      <c r="G13" s="1087"/>
      <c r="H13" s="1081"/>
      <c r="I13" s="691" t="s">
        <v>388</v>
      </c>
      <c r="J13" s="458">
        <f>J5</f>
        <v>2022</v>
      </c>
      <c r="K13" s="458">
        <f>K5</f>
        <v>2019</v>
      </c>
      <c r="L13" s="458">
        <f>L5</f>
        <v>2017</v>
      </c>
      <c r="M13" s="1084"/>
      <c r="N13" s="1084"/>
      <c r="O13" s="1081"/>
      <c r="P13" s="691" t="s">
        <v>388</v>
      </c>
      <c r="Q13" s="458">
        <f>Q5</f>
        <v>2022</v>
      </c>
      <c r="R13" s="458">
        <f>R5</f>
        <v>2021</v>
      </c>
      <c r="S13" s="458">
        <f>S5</f>
        <v>2018</v>
      </c>
      <c r="T13" s="1084"/>
      <c r="U13" s="1084"/>
      <c r="V13" s="485"/>
      <c r="W13" s="485"/>
      <c r="X13" s="485"/>
    </row>
    <row r="14" spans="1:24" x14ac:dyDescent="0.25">
      <c r="A14" s="1079"/>
      <c r="B14" s="486">
        <v>0</v>
      </c>
      <c r="C14" s="486">
        <v>0</v>
      </c>
      <c r="D14" s="486">
        <v>9.9999999999999995E-7</v>
      </c>
      <c r="E14" s="486">
        <v>9.9999999999999995E-7</v>
      </c>
      <c r="F14" s="270">
        <f>0.5*(MAX(C14:E14)-MIN(C14:E14))</f>
        <v>4.9999999999999998E-7</v>
      </c>
      <c r="G14" s="692">
        <f t="shared" ref="G14:G18" si="5">(0.59/100)*B14</f>
        <v>0</v>
      </c>
      <c r="H14" s="1081"/>
      <c r="I14" s="486">
        <v>0</v>
      </c>
      <c r="J14" s="487">
        <v>0</v>
      </c>
      <c r="K14" s="486">
        <v>9.9999999999999995E-7</v>
      </c>
      <c r="L14" s="486">
        <v>9.9999999999999995E-7</v>
      </c>
      <c r="M14" s="270">
        <f t="shared" ref="M14:M19" si="6">0.5*(MAX(K14:L14)-MIN(K14:L14))</f>
        <v>0</v>
      </c>
      <c r="N14" s="692">
        <f>(0.59/100)*I14</f>
        <v>0</v>
      </c>
      <c r="O14" s="1081"/>
      <c r="P14" s="486">
        <v>9.9999999999999995E-7</v>
      </c>
      <c r="Q14" s="486">
        <v>9.9999999999999995E-7</v>
      </c>
      <c r="R14" s="486">
        <v>9.9999999999999995E-7</v>
      </c>
      <c r="S14" s="486">
        <v>9.9999999999999995E-7</v>
      </c>
      <c r="T14" s="270">
        <f>0.5*(MAX(Q14:S14)-MIN(Q14:S14))</f>
        <v>0</v>
      </c>
      <c r="U14" s="486">
        <f t="shared" ref="U14:U19" si="7">(0.59/100)*P14</f>
        <v>5.8999999999999999E-9</v>
      </c>
      <c r="V14" s="485"/>
      <c r="W14" s="485"/>
      <c r="X14" s="485"/>
    </row>
    <row r="15" spans="1:24" x14ac:dyDescent="0.25">
      <c r="A15" s="1079"/>
      <c r="B15" s="486">
        <v>50</v>
      </c>
      <c r="C15" s="486">
        <v>4</v>
      </c>
      <c r="D15" s="486">
        <v>0.1</v>
      </c>
      <c r="E15" s="486">
        <v>-0.06</v>
      </c>
      <c r="F15" s="270">
        <f t="shared" ref="F15:F19" si="8">0.5*(MAX(C15:E15)-MIN(C15:E15))</f>
        <v>2.0299999999999998</v>
      </c>
      <c r="G15" s="692">
        <f t="shared" si="5"/>
        <v>0.29499999999999998</v>
      </c>
      <c r="H15" s="1081"/>
      <c r="I15" s="486">
        <v>50</v>
      </c>
      <c r="J15" s="487">
        <v>1</v>
      </c>
      <c r="K15" s="488">
        <v>-0.08</v>
      </c>
      <c r="L15" s="488">
        <v>0.1</v>
      </c>
      <c r="M15" s="270">
        <f t="shared" si="6"/>
        <v>0.09</v>
      </c>
      <c r="N15" s="692">
        <f>(0.59/100)*I15</f>
        <v>0.29499999999999998</v>
      </c>
      <c r="O15" s="1081"/>
      <c r="P15" s="486">
        <v>50</v>
      </c>
      <c r="Q15" s="488">
        <v>9.1</v>
      </c>
      <c r="R15" s="488">
        <v>-0.62</v>
      </c>
      <c r="S15" s="488">
        <v>2</v>
      </c>
      <c r="T15" s="270">
        <f t="shared" ref="T15:T19" si="9">0.5*(MAX(Q15:S15)-MIN(Q15:S15))</f>
        <v>4.8599999999999994</v>
      </c>
      <c r="U15" s="486">
        <f t="shared" si="7"/>
        <v>0.29499999999999998</v>
      </c>
      <c r="V15" s="485"/>
      <c r="W15" s="485"/>
      <c r="X15" s="485"/>
    </row>
    <row r="16" spans="1:24" x14ac:dyDescent="0.25">
      <c r="A16" s="1079"/>
      <c r="B16" s="486">
        <v>100</v>
      </c>
      <c r="C16" s="486">
        <v>3.6</v>
      </c>
      <c r="D16" s="486">
        <v>0.2</v>
      </c>
      <c r="E16" s="486">
        <v>-0.06</v>
      </c>
      <c r="F16" s="270">
        <f t="shared" si="8"/>
        <v>1.83</v>
      </c>
      <c r="G16" s="692">
        <f t="shared" si="5"/>
        <v>0.59</v>
      </c>
      <c r="H16" s="1081"/>
      <c r="I16" s="486">
        <v>100</v>
      </c>
      <c r="J16" s="487">
        <v>-0.9</v>
      </c>
      <c r="K16" s="486">
        <v>-7.0000000000000007E-2</v>
      </c>
      <c r="L16" s="486">
        <v>2.2000000000000002</v>
      </c>
      <c r="M16" s="270">
        <f t="shared" si="6"/>
        <v>1.135</v>
      </c>
      <c r="N16" s="692">
        <f t="shared" ref="N16:N19" si="10">(0.59/100)*I16</f>
        <v>0.59</v>
      </c>
      <c r="O16" s="1081"/>
      <c r="P16" s="486">
        <v>100</v>
      </c>
      <c r="Q16" s="488">
        <v>6</v>
      </c>
      <c r="R16" s="488">
        <v>-0.22</v>
      </c>
      <c r="S16" s="488">
        <v>2</v>
      </c>
      <c r="T16" s="270">
        <f t="shared" si="9"/>
        <v>3.11</v>
      </c>
      <c r="U16" s="486">
        <f t="shared" si="7"/>
        <v>0.59</v>
      </c>
      <c r="V16" s="485"/>
      <c r="W16" s="485"/>
      <c r="X16" s="485"/>
    </row>
    <row r="17" spans="1:28" x14ac:dyDescent="0.25">
      <c r="A17" s="1079"/>
      <c r="B17" s="486">
        <v>200</v>
      </c>
      <c r="C17" s="486">
        <v>2.2000000000000002</v>
      </c>
      <c r="D17" s="486">
        <v>0.4</v>
      </c>
      <c r="E17" s="486">
        <v>9.9999999999999995E-7</v>
      </c>
      <c r="F17" s="270">
        <f t="shared" si="8"/>
        <v>1.0999995</v>
      </c>
      <c r="G17" s="692">
        <f t="shared" si="5"/>
        <v>1.18</v>
      </c>
      <c r="H17" s="1081"/>
      <c r="I17" s="486">
        <v>200</v>
      </c>
      <c r="J17" s="487">
        <v>-6.4</v>
      </c>
      <c r="K17" s="488">
        <v>-0.1</v>
      </c>
      <c r="L17" s="488">
        <v>3.3</v>
      </c>
      <c r="M17" s="270">
        <f t="shared" si="6"/>
        <v>1.7</v>
      </c>
      <c r="N17" s="692">
        <f t="shared" si="10"/>
        <v>1.18</v>
      </c>
      <c r="O17" s="1081"/>
      <c r="P17" s="486">
        <v>200</v>
      </c>
      <c r="Q17" s="488">
        <v>-3.6</v>
      </c>
      <c r="R17" s="488">
        <v>-0.1</v>
      </c>
      <c r="S17" s="488">
        <v>3.6</v>
      </c>
      <c r="T17" s="270">
        <f t="shared" si="9"/>
        <v>3.6</v>
      </c>
      <c r="U17" s="486">
        <f t="shared" si="7"/>
        <v>1.18</v>
      </c>
      <c r="V17" s="485"/>
      <c r="W17" s="485"/>
      <c r="X17" s="485"/>
    </row>
    <row r="18" spans="1:28" ht="13" x14ac:dyDescent="0.3">
      <c r="A18" s="1079"/>
      <c r="B18" s="486">
        <v>500</v>
      </c>
      <c r="C18" s="486">
        <v>-2</v>
      </c>
      <c r="D18" s="486">
        <v>3.8</v>
      </c>
      <c r="E18" s="486">
        <v>-0.9</v>
      </c>
      <c r="F18" s="270">
        <f t="shared" si="8"/>
        <v>2.9</v>
      </c>
      <c r="G18" s="692">
        <f t="shared" si="5"/>
        <v>2.9499999999999997</v>
      </c>
      <c r="H18" s="1081"/>
      <c r="I18" s="486">
        <v>500</v>
      </c>
      <c r="J18" s="487">
        <v>-21.7</v>
      </c>
      <c r="K18" s="488">
        <v>0.8</v>
      </c>
      <c r="L18" s="488">
        <v>2</v>
      </c>
      <c r="M18" s="270">
        <f t="shared" si="6"/>
        <v>0.6</v>
      </c>
      <c r="N18" s="692">
        <f t="shared" si="10"/>
        <v>2.9499999999999997</v>
      </c>
      <c r="O18" s="1081"/>
      <c r="P18" s="486">
        <v>500</v>
      </c>
      <c r="Q18" s="488">
        <v>-18.8</v>
      </c>
      <c r="R18" s="488">
        <v>-1.1000000000000001</v>
      </c>
      <c r="S18" s="488">
        <v>2.9</v>
      </c>
      <c r="T18" s="270">
        <f t="shared" si="9"/>
        <v>10.85</v>
      </c>
      <c r="U18" s="486">
        <f t="shared" si="7"/>
        <v>2.9499999999999997</v>
      </c>
      <c r="V18" s="485"/>
      <c r="W18" s="485"/>
      <c r="X18" s="485"/>
      <c r="AB18" s="297"/>
    </row>
    <row r="19" spans="1:28" x14ac:dyDescent="0.25">
      <c r="A19" s="1079"/>
      <c r="B19" s="486">
        <v>1000</v>
      </c>
      <c r="C19" s="486">
        <v>-26</v>
      </c>
      <c r="D19" s="486">
        <v>9.9999999999999995E-7</v>
      </c>
      <c r="E19" s="486">
        <v>9.9999999999999995E-7</v>
      </c>
      <c r="F19" s="270">
        <f t="shared" si="8"/>
        <v>13.000000500000001</v>
      </c>
      <c r="G19" s="692">
        <f>(0.59/100)*B19</f>
        <v>5.8999999999999995</v>
      </c>
      <c r="H19" s="1081"/>
      <c r="I19" s="486">
        <v>1000</v>
      </c>
      <c r="J19" s="693">
        <v>-6.7000000000000004E-2</v>
      </c>
      <c r="K19" s="486">
        <v>9.9999999999999995E-7</v>
      </c>
      <c r="L19" s="486">
        <v>9.9999999999999995E-7</v>
      </c>
      <c r="M19" s="270">
        <f t="shared" si="6"/>
        <v>0</v>
      </c>
      <c r="N19" s="692">
        <f t="shared" si="10"/>
        <v>5.8999999999999995</v>
      </c>
      <c r="O19" s="1081"/>
      <c r="P19" s="486">
        <v>1000</v>
      </c>
      <c r="Q19" s="488">
        <v>-47</v>
      </c>
      <c r="R19" s="488">
        <v>3</v>
      </c>
      <c r="S19" s="488">
        <v>3</v>
      </c>
      <c r="T19" s="270">
        <f t="shared" si="9"/>
        <v>25</v>
      </c>
      <c r="U19" s="486">
        <f t="shared" si="7"/>
        <v>5.8999999999999995</v>
      </c>
      <c r="V19" s="485"/>
      <c r="W19" s="485"/>
      <c r="X19" s="485"/>
    </row>
    <row r="20" spans="1:28" ht="13" x14ac:dyDescent="0.25">
      <c r="A20" s="1079"/>
      <c r="B20" s="1085" t="s">
        <v>272</v>
      </c>
      <c r="C20" s="1085"/>
      <c r="D20" s="1085"/>
      <c r="E20" s="1085"/>
      <c r="F20" s="1084" t="s">
        <v>385</v>
      </c>
      <c r="G20" s="1086" t="s">
        <v>251</v>
      </c>
      <c r="H20" s="1081"/>
      <c r="I20" s="1085" t="str">
        <f>B20</f>
        <v>Main-PE</v>
      </c>
      <c r="J20" s="1085"/>
      <c r="K20" s="1085"/>
      <c r="L20" s="1085"/>
      <c r="M20" s="1084" t="s">
        <v>385</v>
      </c>
      <c r="N20" s="1084" t="s">
        <v>251</v>
      </c>
      <c r="O20" s="1081"/>
      <c r="P20" s="1085" t="str">
        <f>B20</f>
        <v>Main-PE</v>
      </c>
      <c r="Q20" s="1085"/>
      <c r="R20" s="1085"/>
      <c r="S20" s="1085"/>
      <c r="T20" s="1084" t="s">
        <v>385</v>
      </c>
      <c r="U20" s="1084" t="s">
        <v>251</v>
      </c>
      <c r="V20" s="485"/>
      <c r="W20" s="485"/>
      <c r="X20" s="485"/>
    </row>
    <row r="21" spans="1:28" ht="14.5" x14ac:dyDescent="0.25">
      <c r="A21" s="1079"/>
      <c r="B21" s="691" t="s">
        <v>389</v>
      </c>
      <c r="C21" s="458">
        <f>C5</f>
        <v>2022</v>
      </c>
      <c r="D21" s="458">
        <f>D5</f>
        <v>2020</v>
      </c>
      <c r="E21" s="458">
        <f>E5</f>
        <v>2019</v>
      </c>
      <c r="F21" s="1084"/>
      <c r="G21" s="1087"/>
      <c r="H21" s="1081"/>
      <c r="I21" s="691" t="s">
        <v>389</v>
      </c>
      <c r="J21" s="458">
        <f>J5</f>
        <v>2022</v>
      </c>
      <c r="K21" s="458">
        <f>K5</f>
        <v>2019</v>
      </c>
      <c r="L21" s="458">
        <f>L5</f>
        <v>2017</v>
      </c>
      <c r="M21" s="1084"/>
      <c r="N21" s="1084"/>
      <c r="O21" s="1081"/>
      <c r="P21" s="691" t="s">
        <v>389</v>
      </c>
      <c r="Q21" s="458">
        <f>Q5</f>
        <v>2022</v>
      </c>
      <c r="R21" s="458">
        <f>R5</f>
        <v>2021</v>
      </c>
      <c r="S21" s="458">
        <f>S5</f>
        <v>2018</v>
      </c>
      <c r="T21" s="1084"/>
      <c r="U21" s="1084"/>
      <c r="V21" s="485"/>
      <c r="W21" s="485"/>
      <c r="X21" s="485"/>
    </row>
    <row r="22" spans="1:28" x14ac:dyDescent="0.25">
      <c r="A22" s="1079"/>
      <c r="B22" s="486">
        <v>10</v>
      </c>
      <c r="C22" s="486">
        <v>0</v>
      </c>
      <c r="D22" s="486">
        <v>-1E-3</v>
      </c>
      <c r="E22" s="486">
        <v>9.9999999999999995E-7</v>
      </c>
      <c r="F22" s="270">
        <f>0.5*(MAX(C22:E22)-MIN(C22:E22))</f>
        <v>5.0049999999999997E-4</v>
      </c>
      <c r="G22" s="692">
        <f t="shared" ref="G22:G23" si="11">(1.7/100)*(B22-C22)</f>
        <v>0.17</v>
      </c>
      <c r="H22" s="1081"/>
      <c r="I22" s="486">
        <v>10</v>
      </c>
      <c r="J22" s="487">
        <v>0</v>
      </c>
      <c r="K22" s="486">
        <v>0.1</v>
      </c>
      <c r="L22" s="486">
        <v>9.9999999999999995E-7</v>
      </c>
      <c r="M22" s="270">
        <f>0.5*(MAX(K22:L22)-MIN(K22:L22))</f>
        <v>4.9999500000000002E-2</v>
      </c>
      <c r="N22" s="692">
        <f>(1.7/100)*(I22-J22)</f>
        <v>0.17</v>
      </c>
      <c r="O22" s="1081"/>
      <c r="P22" s="486">
        <v>5</v>
      </c>
      <c r="Q22" s="488">
        <v>9.9999999999999995E-7</v>
      </c>
      <c r="R22" s="488">
        <v>9.9999999999999995E-7</v>
      </c>
      <c r="S22" s="488">
        <v>9.9999999999999995E-7</v>
      </c>
      <c r="T22" s="270">
        <f>0.5*(MAX(Q22:S22)-MIN(Q22:S22))</f>
        <v>0</v>
      </c>
      <c r="U22" s="486">
        <f>(1.7/100)*P22</f>
        <v>8.5000000000000006E-2</v>
      </c>
      <c r="V22" s="485"/>
      <c r="W22" s="485"/>
      <c r="X22" s="485"/>
    </row>
    <row r="23" spans="1:28" x14ac:dyDescent="0.25">
      <c r="A23" s="1079"/>
      <c r="B23" s="486">
        <v>20</v>
      </c>
      <c r="C23" s="486">
        <v>0.1</v>
      </c>
      <c r="D23" s="486">
        <v>9.9999999999999995E-7</v>
      </c>
      <c r="E23" s="486">
        <v>9.9999999999999995E-7</v>
      </c>
      <c r="F23" s="270">
        <f t="shared" ref="F23:F25" si="12">0.5*(MAX(C23:E23)-MIN(C23:E23))</f>
        <v>4.9999500000000002E-2</v>
      </c>
      <c r="G23" s="692">
        <f t="shared" si="11"/>
        <v>0.33829999999999999</v>
      </c>
      <c r="H23" s="1081"/>
      <c r="I23" s="486">
        <v>20</v>
      </c>
      <c r="J23" s="487">
        <v>0.1</v>
      </c>
      <c r="K23" s="486">
        <v>0.2</v>
      </c>
      <c r="L23" s="486">
        <v>0.1</v>
      </c>
      <c r="M23" s="270">
        <f>0.5*(MAX(K23:L23)-MIN(K23:L23))</f>
        <v>0.05</v>
      </c>
      <c r="N23" s="692">
        <f t="shared" ref="N23:N25" si="13">(1.7/100)*(I23-J23)</f>
        <v>0.33829999999999999</v>
      </c>
      <c r="O23" s="1081"/>
      <c r="P23" s="486">
        <v>10</v>
      </c>
      <c r="Q23" s="488">
        <v>9.9999999999999995E-7</v>
      </c>
      <c r="R23" s="488">
        <v>9.9999999999999995E-7</v>
      </c>
      <c r="S23" s="488">
        <v>9.9999999999999995E-7</v>
      </c>
      <c r="T23" s="270">
        <f t="shared" ref="T23:T25" si="14">0.5*(MAX(Q23:S23)-MIN(Q23:S23))</f>
        <v>0</v>
      </c>
      <c r="U23" s="486">
        <f>(1.7/100)*P23</f>
        <v>0.17</v>
      </c>
      <c r="V23" s="485"/>
      <c r="W23" s="485"/>
      <c r="X23" s="485"/>
    </row>
    <row r="24" spans="1:28" x14ac:dyDescent="0.25">
      <c r="A24" s="1079"/>
      <c r="B24" s="486">
        <v>50</v>
      </c>
      <c r="C24" s="486">
        <v>0.3</v>
      </c>
      <c r="D24" s="486">
        <v>9.9999999999999995E-7</v>
      </c>
      <c r="E24" s="486">
        <v>9.9999999999999995E-7</v>
      </c>
      <c r="F24" s="270">
        <f t="shared" si="12"/>
        <v>0.14999950000000001</v>
      </c>
      <c r="G24" s="692">
        <f>(1.7/100)*(B24-C24)</f>
        <v>0.8449000000000001</v>
      </c>
      <c r="H24" s="1081"/>
      <c r="I24" s="486">
        <v>50</v>
      </c>
      <c r="J24" s="487">
        <v>0.2</v>
      </c>
      <c r="K24" s="486">
        <v>0.3</v>
      </c>
      <c r="L24" s="486">
        <v>0.1</v>
      </c>
      <c r="M24" s="270">
        <f>0.5*(MAX(K24:L24)-MIN(K24:L24))</f>
        <v>9.9999999999999992E-2</v>
      </c>
      <c r="N24" s="692">
        <f t="shared" si="13"/>
        <v>0.84660000000000002</v>
      </c>
      <c r="O24" s="1081"/>
      <c r="P24" s="486">
        <v>20</v>
      </c>
      <c r="Q24" s="491">
        <v>9.9999999999999995E-7</v>
      </c>
      <c r="R24" s="491">
        <v>0.4</v>
      </c>
      <c r="S24" s="491">
        <v>0.3</v>
      </c>
      <c r="T24" s="270">
        <f t="shared" si="14"/>
        <v>0.19999950000000002</v>
      </c>
      <c r="U24" s="486">
        <f>(1.7/100)*P24</f>
        <v>0.34</v>
      </c>
      <c r="V24" s="485"/>
      <c r="W24" s="485"/>
      <c r="X24" s="485"/>
    </row>
    <row r="25" spans="1:28" x14ac:dyDescent="0.25">
      <c r="A25" s="1079"/>
      <c r="B25" s="486">
        <v>100</v>
      </c>
      <c r="C25" s="486">
        <v>0.4</v>
      </c>
      <c r="D25" s="486">
        <v>9.9999999999999995E-7</v>
      </c>
      <c r="E25" s="486">
        <v>9.9999999999999995E-7</v>
      </c>
      <c r="F25" s="270">
        <f t="shared" si="12"/>
        <v>0.19999950000000002</v>
      </c>
      <c r="G25" s="692">
        <f>(1.7/100)*(B25-C25)</f>
        <v>1.6932</v>
      </c>
      <c r="H25" s="1081"/>
      <c r="I25" s="486">
        <v>100</v>
      </c>
      <c r="J25" s="487">
        <v>0.2</v>
      </c>
      <c r="K25" s="486">
        <v>0.3</v>
      </c>
      <c r="L25" s="486">
        <v>9.9999999999999995E-7</v>
      </c>
      <c r="M25" s="270">
        <f>0.5*(MAX(K25:L25)-MIN(K25:L25))</f>
        <v>0.14999950000000001</v>
      </c>
      <c r="N25" s="692">
        <f t="shared" si="13"/>
        <v>1.6966000000000001</v>
      </c>
      <c r="O25" s="1081"/>
      <c r="P25" s="486">
        <v>50</v>
      </c>
      <c r="Q25" s="491">
        <v>0.1</v>
      </c>
      <c r="R25" s="491">
        <v>1.1000000000000001</v>
      </c>
      <c r="S25" s="491">
        <v>0.6</v>
      </c>
      <c r="T25" s="270">
        <f t="shared" si="14"/>
        <v>0.5</v>
      </c>
      <c r="U25" s="486">
        <f>(1.7/100)*P25</f>
        <v>0.85000000000000009</v>
      </c>
      <c r="V25" s="485"/>
      <c r="W25" s="485"/>
      <c r="X25" s="485"/>
    </row>
    <row r="26" spans="1:28" ht="13" customHeight="1" x14ac:dyDescent="0.25">
      <c r="A26" s="1079"/>
      <c r="B26" s="1085" t="s">
        <v>271</v>
      </c>
      <c r="C26" s="1085"/>
      <c r="D26" s="1085"/>
      <c r="E26" s="1085"/>
      <c r="F26" s="1084" t="s">
        <v>385</v>
      </c>
      <c r="G26" s="1086" t="s">
        <v>251</v>
      </c>
      <c r="H26" s="1081"/>
      <c r="I26" s="1085" t="str">
        <f>B26</f>
        <v>Resistance</v>
      </c>
      <c r="J26" s="1085"/>
      <c r="K26" s="1085"/>
      <c r="L26" s="1085"/>
      <c r="M26" s="1084" t="s">
        <v>385</v>
      </c>
      <c r="N26" s="1084" t="s">
        <v>251</v>
      </c>
      <c r="O26" s="1081"/>
      <c r="P26" s="1085" t="str">
        <f>B26</f>
        <v>Resistance</v>
      </c>
      <c r="Q26" s="1085"/>
      <c r="R26" s="1085"/>
      <c r="S26" s="1085"/>
      <c r="T26" s="1084" t="s">
        <v>385</v>
      </c>
      <c r="U26" s="1084" t="s">
        <v>251</v>
      </c>
      <c r="V26" s="485"/>
      <c r="W26" s="485"/>
      <c r="X26" s="485"/>
    </row>
    <row r="27" spans="1:28" ht="14.5" x14ac:dyDescent="0.25">
      <c r="A27" s="1079"/>
      <c r="B27" s="691" t="s">
        <v>390</v>
      </c>
      <c r="C27" s="458">
        <f>C5</f>
        <v>2022</v>
      </c>
      <c r="D27" s="458">
        <f>D5</f>
        <v>2020</v>
      </c>
      <c r="E27" s="458">
        <f>E5</f>
        <v>2019</v>
      </c>
      <c r="F27" s="1084"/>
      <c r="G27" s="1087"/>
      <c r="H27" s="1081"/>
      <c r="I27" s="691" t="s">
        <v>390</v>
      </c>
      <c r="J27" s="458">
        <f>J5</f>
        <v>2022</v>
      </c>
      <c r="K27" s="458">
        <f>K5</f>
        <v>2019</v>
      </c>
      <c r="L27" s="458">
        <f>L5</f>
        <v>2017</v>
      </c>
      <c r="M27" s="1084"/>
      <c r="N27" s="1084"/>
      <c r="O27" s="1081"/>
      <c r="P27" s="691" t="s">
        <v>390</v>
      </c>
      <c r="Q27" s="458">
        <f>Q5</f>
        <v>2022</v>
      </c>
      <c r="R27" s="458">
        <f>R5</f>
        <v>2021</v>
      </c>
      <c r="S27" s="458">
        <f>S5</f>
        <v>2018</v>
      </c>
      <c r="T27" s="1084"/>
      <c r="U27" s="1084"/>
      <c r="V27" s="485"/>
      <c r="W27" s="485"/>
      <c r="X27" s="485"/>
    </row>
    <row r="28" spans="1:28" x14ac:dyDescent="0.25">
      <c r="A28" s="1079"/>
      <c r="B28" s="486">
        <v>0</v>
      </c>
      <c r="C28" s="501">
        <v>-2E-3</v>
      </c>
      <c r="D28" s="501">
        <v>9.9999999999999995E-7</v>
      </c>
      <c r="E28" s="501">
        <v>9.9999999999999995E-7</v>
      </c>
      <c r="F28" s="270">
        <f>0.5*(MAX(C28:E28)-MIN(C28:E28))</f>
        <v>1.0005000000000001E-3</v>
      </c>
      <c r="G28" s="692">
        <f>(1.2/100)*(B28-C28)</f>
        <v>2.4000000000000001E-5</v>
      </c>
      <c r="H28" s="1081"/>
      <c r="I28" s="486">
        <v>0.01</v>
      </c>
      <c r="J28" s="693">
        <v>0</v>
      </c>
      <c r="K28" s="501">
        <v>9.9999999999999995E-7</v>
      </c>
      <c r="L28" s="501">
        <v>9.9999999999999995E-7</v>
      </c>
      <c r="M28" s="270">
        <f>0.5*(MAX(K28:L28)-MIN(K28:L28))</f>
        <v>0</v>
      </c>
      <c r="N28" s="692">
        <f>(1.2/100)*(I28-J28)</f>
        <v>1.2E-4</v>
      </c>
      <c r="O28" s="1081"/>
      <c r="P28" s="486">
        <v>0</v>
      </c>
      <c r="Q28" s="492">
        <v>-1E-3</v>
      </c>
      <c r="R28" s="492">
        <v>9.9999999999999995E-7</v>
      </c>
      <c r="S28" s="492">
        <v>9.9999999999999995E-7</v>
      </c>
      <c r="T28" s="270">
        <f>0.5*(MAX(Q28:S28)-MIN(Q28:S28))</f>
        <v>5.0049999999999997E-4</v>
      </c>
      <c r="U28" s="486">
        <f>(1.2/100)*P28</f>
        <v>0</v>
      </c>
      <c r="V28" s="485"/>
      <c r="W28" s="485"/>
      <c r="X28" s="485"/>
    </row>
    <row r="29" spans="1:28" x14ac:dyDescent="0.25">
      <c r="A29" s="1079"/>
      <c r="B29" s="486">
        <v>0.1</v>
      </c>
      <c r="C29" s="501">
        <v>1E-3</v>
      </c>
      <c r="D29" s="501">
        <v>-1E-3</v>
      </c>
      <c r="E29" s="501">
        <v>2E-3</v>
      </c>
      <c r="F29" s="270">
        <f t="shared" ref="F29:F31" si="15">0.5*(MAX(C29:E29)-MIN(C29:E29))</f>
        <v>1.5E-3</v>
      </c>
      <c r="G29" s="692">
        <f t="shared" ref="G29:G30" si="16">(1.2/100)*(B29-C29)</f>
        <v>1.188E-3</v>
      </c>
      <c r="H29" s="1081"/>
      <c r="I29" s="486">
        <v>0.1</v>
      </c>
      <c r="J29" s="693">
        <v>5.0000000000000001E-3</v>
      </c>
      <c r="K29" s="501">
        <v>6.0000000000000001E-3</v>
      </c>
      <c r="L29" s="501">
        <v>5.0000000000000001E-3</v>
      </c>
      <c r="M29" s="270">
        <f>0.5*(MAX(K29:L29)-MIN(K29:L29))</f>
        <v>5.0000000000000001E-4</v>
      </c>
      <c r="N29" s="692">
        <f t="shared" ref="N29:N30" si="17">(1.2/100)*(I29-J29)</f>
        <v>1.14E-3</v>
      </c>
      <c r="O29" s="1081"/>
      <c r="P29" s="486">
        <v>0.5</v>
      </c>
      <c r="Q29" s="492">
        <v>-2E-3</v>
      </c>
      <c r="R29" s="492">
        <v>-1E-3</v>
      </c>
      <c r="S29" s="492">
        <v>9.9999999999999995E-7</v>
      </c>
      <c r="T29" s="270">
        <f t="shared" ref="T29:T31" si="18">0.5*(MAX(Q29:S29)-MIN(Q29:S29))</f>
        <v>1.0005000000000001E-3</v>
      </c>
      <c r="U29" s="486">
        <f>(1.2/100)*P29</f>
        <v>6.0000000000000001E-3</v>
      </c>
      <c r="V29" s="485"/>
      <c r="W29" s="485"/>
      <c r="X29" s="485"/>
    </row>
    <row r="30" spans="1:28" x14ac:dyDescent="0.25">
      <c r="A30" s="1079"/>
      <c r="B30" s="486">
        <v>1</v>
      </c>
      <c r="C30" s="501">
        <v>4.0000000000000001E-3</v>
      </c>
      <c r="D30" s="501">
        <v>4.0000000000000001E-3</v>
      </c>
      <c r="E30" s="501">
        <v>1.2E-2</v>
      </c>
      <c r="F30" s="270">
        <f t="shared" si="15"/>
        <v>4.0000000000000001E-3</v>
      </c>
      <c r="G30" s="692">
        <f t="shared" si="16"/>
        <v>1.1952000000000001E-2</v>
      </c>
      <c r="H30" s="1081"/>
      <c r="I30" s="486">
        <v>1</v>
      </c>
      <c r="J30" s="693">
        <v>5.8000000000000003E-2</v>
      </c>
      <c r="K30" s="501">
        <v>4.4999999999999998E-2</v>
      </c>
      <c r="L30" s="501">
        <v>5.5E-2</v>
      </c>
      <c r="M30" s="270">
        <f>0.5*(MAX(K30:L30)-MIN(K30:L30))</f>
        <v>5.000000000000001E-3</v>
      </c>
      <c r="N30" s="692">
        <f t="shared" si="17"/>
        <v>1.1304E-2</v>
      </c>
      <c r="O30" s="1081"/>
      <c r="P30" s="486">
        <v>1</v>
      </c>
      <c r="Q30" s="492">
        <v>-1.2E-2</v>
      </c>
      <c r="R30" s="492">
        <v>5.0000000000000001E-3</v>
      </c>
      <c r="S30" s="492">
        <v>9.9999999999999995E-7</v>
      </c>
      <c r="T30" s="270">
        <f t="shared" si="18"/>
        <v>8.5000000000000006E-3</v>
      </c>
      <c r="U30" s="486">
        <f>(1.2/100)*P30</f>
        <v>1.2E-2</v>
      </c>
      <c r="V30" s="485"/>
      <c r="W30" s="485"/>
      <c r="X30" s="485"/>
    </row>
    <row r="31" spans="1:28" x14ac:dyDescent="0.25">
      <c r="A31" s="1079"/>
      <c r="B31" s="486">
        <v>2</v>
      </c>
      <c r="C31" s="501">
        <v>1.2E-2</v>
      </c>
      <c r="D31" s="501">
        <v>7.0000000000000001E-3</v>
      </c>
      <c r="E31" s="501">
        <v>9.9999999999999995E-7</v>
      </c>
      <c r="F31" s="270">
        <f t="shared" si="15"/>
        <v>5.9995000000000005E-3</v>
      </c>
      <c r="G31" s="692">
        <f>(1.2/100)*(B31-C31)</f>
        <v>2.3855999999999999E-2</v>
      </c>
      <c r="H31" s="1081"/>
      <c r="I31" s="486">
        <v>2</v>
      </c>
      <c r="J31" s="693">
        <v>0.113</v>
      </c>
      <c r="K31" s="501">
        <v>9.9999999999999995E-7</v>
      </c>
      <c r="L31" s="501">
        <v>9.9999999999999995E-7</v>
      </c>
      <c r="M31" s="270">
        <f>0.5*(MAX(K31:L31)-MIN(K31:L31))</f>
        <v>0</v>
      </c>
      <c r="N31" s="692">
        <f>(1.2/100)*(I31-J31)</f>
        <v>2.2644000000000001E-2</v>
      </c>
      <c r="O31" s="1081"/>
      <c r="P31" s="486">
        <v>2</v>
      </c>
      <c r="Q31" s="492">
        <v>-8.0000000000000002E-3</v>
      </c>
      <c r="R31" s="492">
        <v>1.4E-2</v>
      </c>
      <c r="S31" s="492">
        <v>9.9999999999999995E-7</v>
      </c>
      <c r="T31" s="270">
        <f t="shared" si="18"/>
        <v>1.0999999999999999E-2</v>
      </c>
      <c r="U31" s="486">
        <f>(1.2/100)*P31</f>
        <v>2.4E-2</v>
      </c>
      <c r="V31" s="485"/>
      <c r="W31" s="485"/>
      <c r="X31" s="485"/>
    </row>
    <row r="32" spans="1:28" x14ac:dyDescent="0.25">
      <c r="A32" s="493"/>
      <c r="T32" s="494"/>
      <c r="V32" s="485"/>
      <c r="W32" s="485"/>
      <c r="X32" s="485"/>
    </row>
    <row r="33" spans="1:24" ht="14.5" x14ac:dyDescent="0.25">
      <c r="A33" s="1079" t="s">
        <v>391</v>
      </c>
      <c r="B33" s="1088" t="s">
        <v>392</v>
      </c>
      <c r="C33" s="1088"/>
      <c r="D33" s="1088"/>
      <c r="E33" s="1088"/>
      <c r="F33" s="1088"/>
      <c r="G33" s="1088"/>
      <c r="H33" s="1081" t="s">
        <v>393</v>
      </c>
      <c r="I33" s="1080" t="s">
        <v>394</v>
      </c>
      <c r="J33" s="1080"/>
      <c r="K33" s="1080"/>
      <c r="L33" s="1080"/>
      <c r="M33" s="1080"/>
      <c r="N33" s="1080"/>
      <c r="O33" s="1081" t="s">
        <v>395</v>
      </c>
      <c r="P33" s="1088" t="s">
        <v>396</v>
      </c>
      <c r="Q33" s="1088"/>
      <c r="R33" s="1088"/>
      <c r="S33" s="1088"/>
      <c r="T33" s="1088"/>
      <c r="U33" s="1088"/>
      <c r="V33" s="485"/>
      <c r="W33" s="485"/>
      <c r="X33" s="485"/>
    </row>
    <row r="34" spans="1:24" ht="14" x14ac:dyDescent="0.3">
      <c r="A34" s="1079"/>
      <c r="B34" s="1082" t="s">
        <v>383</v>
      </c>
      <c r="C34" s="1082"/>
      <c r="D34" s="1082"/>
      <c r="E34" s="1082"/>
      <c r="F34" s="1082"/>
      <c r="G34" s="1082"/>
      <c r="H34" s="1081"/>
      <c r="I34" s="1082" t="s">
        <v>383</v>
      </c>
      <c r="J34" s="1082"/>
      <c r="K34" s="1082"/>
      <c r="L34" s="1082"/>
      <c r="M34" s="1082"/>
      <c r="N34" s="1082"/>
      <c r="O34" s="1081"/>
      <c r="P34" s="1082" t="s">
        <v>383</v>
      </c>
      <c r="Q34" s="1082"/>
      <c r="R34" s="1082"/>
      <c r="S34" s="1082"/>
      <c r="T34" s="1082"/>
      <c r="U34" s="1082"/>
      <c r="V34" s="485"/>
      <c r="W34" s="485"/>
      <c r="X34" s="485"/>
    </row>
    <row r="35" spans="1:24" ht="13" x14ac:dyDescent="0.25">
      <c r="A35" s="1079"/>
      <c r="B35" s="1084" t="str">
        <f>B4</f>
        <v>Setting VAC</v>
      </c>
      <c r="C35" s="1084"/>
      <c r="D35" s="1084"/>
      <c r="E35" s="1084"/>
      <c r="F35" s="1084" t="s">
        <v>385</v>
      </c>
      <c r="G35" s="1084" t="s">
        <v>251</v>
      </c>
      <c r="H35" s="1081"/>
      <c r="I35" s="1084" t="str">
        <f>B35</f>
        <v>Setting VAC</v>
      </c>
      <c r="J35" s="1084"/>
      <c r="K35" s="1084"/>
      <c r="L35" s="1084"/>
      <c r="M35" s="1084" t="s">
        <v>385</v>
      </c>
      <c r="N35" s="1084" t="s">
        <v>251</v>
      </c>
      <c r="O35" s="1081"/>
      <c r="P35" s="1084" t="str">
        <f>I35</f>
        <v>Setting VAC</v>
      </c>
      <c r="Q35" s="1084"/>
      <c r="R35" s="1084"/>
      <c r="S35" s="1084"/>
      <c r="T35" s="1084" t="s">
        <v>385</v>
      </c>
      <c r="U35" s="1084" t="s">
        <v>251</v>
      </c>
      <c r="V35" s="485"/>
      <c r="W35" s="485"/>
      <c r="X35" s="485"/>
    </row>
    <row r="36" spans="1:24" ht="14" x14ac:dyDescent="0.25">
      <c r="A36" s="1079"/>
      <c r="B36" s="691" t="s">
        <v>386</v>
      </c>
      <c r="C36" s="458">
        <v>2022</v>
      </c>
      <c r="D36" s="458">
        <v>2021</v>
      </c>
      <c r="E36" s="458">
        <v>2019</v>
      </c>
      <c r="F36" s="1084"/>
      <c r="G36" s="1084"/>
      <c r="H36" s="1081"/>
      <c r="I36" s="691" t="s">
        <v>386</v>
      </c>
      <c r="J36" s="458">
        <v>2022</v>
      </c>
      <c r="K36" s="458">
        <v>2021</v>
      </c>
      <c r="L36" s="458">
        <v>2019</v>
      </c>
      <c r="M36" s="1084"/>
      <c r="N36" s="1084"/>
      <c r="O36" s="1081"/>
      <c r="P36" s="691" t="s">
        <v>386</v>
      </c>
      <c r="Q36" s="458">
        <v>2023</v>
      </c>
      <c r="R36" s="458">
        <v>2022</v>
      </c>
      <c r="S36" s="458">
        <v>2019</v>
      </c>
      <c r="T36" s="1084"/>
      <c r="U36" s="1084"/>
      <c r="V36" s="484"/>
      <c r="W36" s="484"/>
      <c r="X36" s="485"/>
    </row>
    <row r="37" spans="1:24" x14ac:dyDescent="0.25">
      <c r="A37" s="1079"/>
      <c r="B37" s="692">
        <v>150</v>
      </c>
      <c r="C37" s="487">
        <v>0.08</v>
      </c>
      <c r="D37" s="488">
        <v>-0.05</v>
      </c>
      <c r="E37" s="488">
        <v>0.11</v>
      </c>
      <c r="F37" s="270">
        <f t="shared" ref="F37:F42" si="19">0.5*(MAX(D37:E37)-MIN(D37:E37))</f>
        <v>0.08</v>
      </c>
      <c r="G37" s="692">
        <f t="shared" ref="G37:G42" si="20">(1.2/100)*B37</f>
        <v>1.8</v>
      </c>
      <c r="H37" s="1081"/>
      <c r="I37" s="692">
        <v>150</v>
      </c>
      <c r="J37" s="488">
        <v>0.02</v>
      </c>
      <c r="K37" s="488">
        <v>0.25</v>
      </c>
      <c r="L37" s="488">
        <v>0.02</v>
      </c>
      <c r="M37" s="270">
        <f>0.5*(MAX(J37:L37)-MIN(J37:L37))</f>
        <v>0.115</v>
      </c>
      <c r="N37" s="692">
        <f t="shared" ref="N37:N42" si="21">(1.2/100)*I37</f>
        <v>1.8</v>
      </c>
      <c r="O37" s="1081"/>
      <c r="P37" s="692">
        <v>150</v>
      </c>
      <c r="Q37" s="488">
        <v>0.14000000000000001</v>
      </c>
      <c r="R37" s="488">
        <v>0.15</v>
      </c>
      <c r="S37" s="488">
        <v>-0.15</v>
      </c>
      <c r="T37" s="270">
        <f>0.5*(MAX(Q37:S37)-MIN(Q37:S37))</f>
        <v>0.15</v>
      </c>
      <c r="U37" s="692">
        <f>(1.2/100)*P37</f>
        <v>1.8</v>
      </c>
      <c r="V37" s="489"/>
      <c r="W37" s="490"/>
      <c r="X37" s="485"/>
    </row>
    <row r="38" spans="1:24" x14ac:dyDescent="0.25">
      <c r="A38" s="1079"/>
      <c r="B38" s="692">
        <v>180</v>
      </c>
      <c r="C38" s="487">
        <v>0.11</v>
      </c>
      <c r="D38" s="488">
        <v>-0.04</v>
      </c>
      <c r="E38" s="488">
        <v>0.03</v>
      </c>
      <c r="F38" s="270">
        <f t="shared" si="19"/>
        <v>3.5000000000000003E-2</v>
      </c>
      <c r="G38" s="692">
        <f t="shared" si="20"/>
        <v>2.16</v>
      </c>
      <c r="H38" s="1081"/>
      <c r="I38" s="692">
        <v>180</v>
      </c>
      <c r="J38" s="488">
        <v>-0.08</v>
      </c>
      <c r="K38" s="488">
        <v>0.09</v>
      </c>
      <c r="L38" s="488">
        <v>0.1</v>
      </c>
      <c r="M38" s="270">
        <f t="shared" ref="M38:M42" si="22">0.5*(MAX(J38:L38)-MIN(J38:L38))</f>
        <v>0.09</v>
      </c>
      <c r="N38" s="692">
        <f t="shared" si="21"/>
        <v>2.16</v>
      </c>
      <c r="O38" s="1081"/>
      <c r="P38" s="692">
        <v>180</v>
      </c>
      <c r="Q38" s="488">
        <v>0.17</v>
      </c>
      <c r="R38" s="488">
        <v>0.17</v>
      </c>
      <c r="S38" s="488">
        <v>-0.11</v>
      </c>
      <c r="T38" s="270">
        <f t="shared" ref="T38:T42" si="23">0.5*(MAX(Q38:S38)-MIN(Q38:S38))</f>
        <v>0.14000000000000001</v>
      </c>
      <c r="U38" s="692">
        <f>(1.2/100)*P38</f>
        <v>2.16</v>
      </c>
      <c r="V38" s="489"/>
      <c r="W38" s="490"/>
      <c r="X38" s="485"/>
    </row>
    <row r="39" spans="1:24" x14ac:dyDescent="0.25">
      <c r="A39" s="1079"/>
      <c r="B39" s="692">
        <v>200</v>
      </c>
      <c r="C39" s="487">
        <v>0.11</v>
      </c>
      <c r="D39" s="488">
        <v>-0.67</v>
      </c>
      <c r="E39" s="488">
        <v>0.05</v>
      </c>
      <c r="F39" s="270">
        <f t="shared" si="19"/>
        <v>0.36000000000000004</v>
      </c>
      <c r="G39" s="692">
        <f t="shared" si="20"/>
        <v>2.4</v>
      </c>
      <c r="H39" s="1081"/>
      <c r="I39" s="692">
        <v>200</v>
      </c>
      <c r="J39" s="488">
        <v>-0.12</v>
      </c>
      <c r="K39" s="488">
        <v>0.18</v>
      </c>
      <c r="L39" s="488">
        <v>-0.03</v>
      </c>
      <c r="M39" s="270">
        <f t="shared" si="22"/>
        <v>0.15</v>
      </c>
      <c r="N39" s="692">
        <f t="shared" si="21"/>
        <v>2.4</v>
      </c>
      <c r="O39" s="1081"/>
      <c r="P39" s="486">
        <v>200</v>
      </c>
      <c r="Q39" s="488">
        <v>0.08</v>
      </c>
      <c r="R39" s="488">
        <v>0.1</v>
      </c>
      <c r="S39" s="488">
        <v>-0.1</v>
      </c>
      <c r="T39" s="270">
        <f t="shared" si="23"/>
        <v>0.1</v>
      </c>
      <c r="U39" s="692">
        <f>(1.2/100)*P39</f>
        <v>2.4</v>
      </c>
      <c r="V39" s="489"/>
      <c r="W39" s="490"/>
      <c r="X39" s="485"/>
    </row>
    <row r="40" spans="1:24" x14ac:dyDescent="0.25">
      <c r="A40" s="1079"/>
      <c r="B40" s="486">
        <v>220</v>
      </c>
      <c r="C40" s="487">
        <v>0.13</v>
      </c>
      <c r="D40" s="488">
        <v>9.9999999999999995E-7</v>
      </c>
      <c r="E40" s="488">
        <v>0.1</v>
      </c>
      <c r="F40" s="270">
        <f t="shared" si="19"/>
        <v>4.9999500000000002E-2</v>
      </c>
      <c r="G40" s="692">
        <f t="shared" si="20"/>
        <v>2.64</v>
      </c>
      <c r="H40" s="1081"/>
      <c r="I40" s="486">
        <v>220</v>
      </c>
      <c r="J40" s="488">
        <v>-0.17</v>
      </c>
      <c r="K40" s="488">
        <v>0.56000000000000005</v>
      </c>
      <c r="L40" s="488">
        <v>0.38</v>
      </c>
      <c r="M40" s="270">
        <f t="shared" si="22"/>
        <v>0.36500000000000005</v>
      </c>
      <c r="N40" s="692">
        <f t="shared" si="21"/>
        <v>2.64</v>
      </c>
      <c r="O40" s="1081"/>
      <c r="P40" s="486">
        <v>220</v>
      </c>
      <c r="Q40" s="488">
        <v>0.06</v>
      </c>
      <c r="R40" s="488">
        <v>7.0000000000000007E-2</v>
      </c>
      <c r="S40" s="488">
        <v>-0.13</v>
      </c>
      <c r="T40" s="270">
        <f t="shared" si="23"/>
        <v>0.1</v>
      </c>
      <c r="U40" s="692">
        <f>(1.2/100)*P40</f>
        <v>2.64</v>
      </c>
      <c r="V40" s="489"/>
      <c r="W40" s="490"/>
      <c r="X40" s="485"/>
    </row>
    <row r="41" spans="1:24" x14ac:dyDescent="0.25">
      <c r="A41" s="1079"/>
      <c r="B41" s="486">
        <v>230</v>
      </c>
      <c r="C41" s="487">
        <v>0.11</v>
      </c>
      <c r="D41" s="488">
        <v>-0.11</v>
      </c>
      <c r="E41" s="488">
        <v>1.1100000000000001</v>
      </c>
      <c r="F41" s="270">
        <f t="shared" si="19"/>
        <v>0.6100000000000001</v>
      </c>
      <c r="G41" s="692">
        <f t="shared" si="20"/>
        <v>2.7600000000000002</v>
      </c>
      <c r="H41" s="1081"/>
      <c r="I41" s="486">
        <v>230</v>
      </c>
      <c r="J41" s="488">
        <v>-0.14000000000000001</v>
      </c>
      <c r="K41" s="488">
        <v>0.73</v>
      </c>
      <c r="L41" s="488">
        <v>-0.16</v>
      </c>
      <c r="M41" s="270">
        <f t="shared" si="22"/>
        <v>0.44500000000000001</v>
      </c>
      <c r="N41" s="692">
        <f t="shared" si="21"/>
        <v>2.7600000000000002</v>
      </c>
      <c r="O41" s="1081"/>
      <c r="P41" s="486">
        <v>230</v>
      </c>
      <c r="Q41" s="488">
        <v>0.04</v>
      </c>
      <c r="R41" s="488">
        <v>0.08</v>
      </c>
      <c r="S41" s="488">
        <v>-0.15</v>
      </c>
      <c r="T41" s="270">
        <f t="shared" si="23"/>
        <v>0.11499999999999999</v>
      </c>
      <c r="U41" s="692">
        <f>(1.2/100)*P41</f>
        <v>2.7600000000000002</v>
      </c>
      <c r="V41" s="489"/>
      <c r="W41" s="490"/>
      <c r="X41" s="485"/>
    </row>
    <row r="42" spans="1:24" x14ac:dyDescent="0.25">
      <c r="A42" s="1079"/>
      <c r="B42" s="486">
        <v>250</v>
      </c>
      <c r="C42" s="487">
        <v>0</v>
      </c>
      <c r="D42" s="488">
        <v>9.9999999999999995E-7</v>
      </c>
      <c r="E42" s="488">
        <v>9.9999999999999995E-7</v>
      </c>
      <c r="F42" s="270">
        <f t="shared" si="19"/>
        <v>0</v>
      </c>
      <c r="G42" s="692">
        <f t="shared" si="20"/>
        <v>3</v>
      </c>
      <c r="H42" s="1081"/>
      <c r="I42" s="486">
        <v>240</v>
      </c>
      <c r="J42" s="488">
        <v>-0.31</v>
      </c>
      <c r="K42" s="488">
        <v>9.9999999999999995E-7</v>
      </c>
      <c r="L42" s="488">
        <v>9.9999999999999995E-7</v>
      </c>
      <c r="M42" s="270">
        <f t="shared" si="22"/>
        <v>0.15500049999999999</v>
      </c>
      <c r="N42" s="692">
        <f t="shared" si="21"/>
        <v>2.88</v>
      </c>
      <c r="O42" s="1081"/>
      <c r="P42" s="486">
        <v>250</v>
      </c>
      <c r="Q42" s="488">
        <v>0</v>
      </c>
      <c r="R42" s="488">
        <v>0</v>
      </c>
      <c r="S42" s="488">
        <v>9.9999999999999995E-7</v>
      </c>
      <c r="T42" s="270">
        <f t="shared" si="23"/>
        <v>4.9999999999999998E-7</v>
      </c>
      <c r="U42" s="692">
        <f>(0/100)*P42</f>
        <v>0</v>
      </c>
      <c r="V42" s="489"/>
      <c r="W42" s="490"/>
      <c r="X42" s="485"/>
    </row>
    <row r="43" spans="1:24" ht="12.75" customHeight="1" x14ac:dyDescent="0.25">
      <c r="A43" s="1079"/>
      <c r="B43" s="1085" t="str">
        <f>B12</f>
        <v>Current Leakage</v>
      </c>
      <c r="C43" s="1085"/>
      <c r="D43" s="1085"/>
      <c r="E43" s="1085"/>
      <c r="F43" s="1084" t="s">
        <v>385</v>
      </c>
      <c r="G43" s="1084" t="s">
        <v>251</v>
      </c>
      <c r="H43" s="1081"/>
      <c r="I43" s="1085" t="str">
        <f>B43</f>
        <v>Current Leakage</v>
      </c>
      <c r="J43" s="1085"/>
      <c r="K43" s="1085"/>
      <c r="L43" s="1085"/>
      <c r="M43" s="1084" t="s">
        <v>385</v>
      </c>
      <c r="N43" s="1084" t="s">
        <v>251</v>
      </c>
      <c r="O43" s="1081"/>
      <c r="P43" s="1085" t="str">
        <f>I43</f>
        <v>Current Leakage</v>
      </c>
      <c r="Q43" s="1085"/>
      <c r="R43" s="1085"/>
      <c r="S43" s="1085"/>
      <c r="T43" s="1084" t="s">
        <v>385</v>
      </c>
      <c r="U43" s="1084" t="s">
        <v>251</v>
      </c>
      <c r="V43" s="485"/>
      <c r="W43" s="485"/>
      <c r="X43" s="485"/>
    </row>
    <row r="44" spans="1:24" ht="14" x14ac:dyDescent="0.25">
      <c r="A44" s="1079"/>
      <c r="B44" s="691" t="s">
        <v>388</v>
      </c>
      <c r="C44" s="458">
        <f>C36</f>
        <v>2022</v>
      </c>
      <c r="D44" s="458">
        <f>D36</f>
        <v>2021</v>
      </c>
      <c r="E44" s="458">
        <f>E36</f>
        <v>2019</v>
      </c>
      <c r="F44" s="1084"/>
      <c r="G44" s="1084"/>
      <c r="H44" s="1081"/>
      <c r="I44" s="691" t="s">
        <v>388</v>
      </c>
      <c r="J44" s="458">
        <f>J36</f>
        <v>2022</v>
      </c>
      <c r="K44" s="458">
        <f>K36</f>
        <v>2021</v>
      </c>
      <c r="L44" s="458">
        <f>L36</f>
        <v>2019</v>
      </c>
      <c r="M44" s="1084"/>
      <c r="N44" s="1084"/>
      <c r="O44" s="1081"/>
      <c r="P44" s="691" t="s">
        <v>388</v>
      </c>
      <c r="Q44" s="458">
        <f>Q36</f>
        <v>2023</v>
      </c>
      <c r="R44" s="458">
        <f>R36</f>
        <v>2022</v>
      </c>
      <c r="S44" s="458">
        <f>S36</f>
        <v>2019</v>
      </c>
      <c r="T44" s="1084"/>
      <c r="U44" s="1084"/>
      <c r="V44" s="485"/>
      <c r="W44" s="485"/>
      <c r="X44" s="485"/>
    </row>
    <row r="45" spans="1:24" x14ac:dyDescent="0.25">
      <c r="A45" s="1079"/>
      <c r="B45" s="486">
        <v>0</v>
      </c>
      <c r="C45" s="487">
        <v>0</v>
      </c>
      <c r="D45" s="491">
        <v>9.9999999999999995E-7</v>
      </c>
      <c r="E45" s="486">
        <v>9.9999999999999995E-7</v>
      </c>
      <c r="F45" s="270">
        <f t="shared" ref="F45:F50" si="24">0.5*(MAX(D45:E45)-MIN(D45:E45))</f>
        <v>0</v>
      </c>
      <c r="G45" s="486">
        <f t="shared" ref="G45:G50" si="25">(0.59/100)*B45</f>
        <v>0</v>
      </c>
      <c r="H45" s="1081"/>
      <c r="I45" s="486">
        <v>0</v>
      </c>
      <c r="J45" s="491">
        <v>0</v>
      </c>
      <c r="K45" s="491">
        <v>9.9999999999999995E-7</v>
      </c>
      <c r="L45" s="491">
        <v>9.9999999999999995E-7</v>
      </c>
      <c r="M45" s="270">
        <f>0.5*(MAX(J45:L45)-MIN(J45:L45))</f>
        <v>4.9999999999999998E-7</v>
      </c>
      <c r="N45" s="486">
        <f>(0.59/100)*I45</f>
        <v>0</v>
      </c>
      <c r="O45" s="1081"/>
      <c r="P45" s="486">
        <v>0</v>
      </c>
      <c r="Q45" s="487">
        <v>0</v>
      </c>
      <c r="R45" s="491">
        <v>0</v>
      </c>
      <c r="S45" s="491">
        <v>9.9999999999999995E-7</v>
      </c>
      <c r="T45" s="270">
        <f t="shared" ref="T45:T50" si="26">0.5*(MAX(R45:S45)-MIN(R45:S45))</f>
        <v>4.9999999999999998E-7</v>
      </c>
      <c r="U45" s="486">
        <f>(0.59/100)*P45</f>
        <v>0</v>
      </c>
    </row>
    <row r="46" spans="1:24" x14ac:dyDescent="0.25">
      <c r="A46" s="1079"/>
      <c r="B46" s="486">
        <v>50</v>
      </c>
      <c r="C46" s="487">
        <v>2.2999999999999998</v>
      </c>
      <c r="D46" s="488">
        <v>-0.3</v>
      </c>
      <c r="E46" s="488">
        <v>-0.28999999999999998</v>
      </c>
      <c r="F46" s="270">
        <f t="shared" si="24"/>
        <v>5.0000000000000044E-3</v>
      </c>
      <c r="G46" s="486">
        <f t="shared" si="25"/>
        <v>0.29499999999999998</v>
      </c>
      <c r="H46" s="1081"/>
      <c r="I46" s="486">
        <v>50</v>
      </c>
      <c r="J46" s="488">
        <v>4.0999999999999996</v>
      </c>
      <c r="K46" s="488">
        <v>0.3</v>
      </c>
      <c r="L46" s="488">
        <v>-0.33</v>
      </c>
      <c r="M46" s="270">
        <f t="shared" ref="M46:M50" si="27">0.5*(MAX(J46:L46)-MIN(J46:L46))</f>
        <v>2.2149999999999999</v>
      </c>
      <c r="N46" s="486">
        <f t="shared" ref="N46:N49" si="28">(0.59/100)*I46</f>
        <v>0.29499999999999998</v>
      </c>
      <c r="O46" s="1081"/>
      <c r="P46" s="486">
        <v>50</v>
      </c>
      <c r="Q46" s="487">
        <v>4.5</v>
      </c>
      <c r="R46" s="488">
        <v>19.100000000000001</v>
      </c>
      <c r="S46" s="488">
        <v>0.02</v>
      </c>
      <c r="T46" s="270">
        <f t="shared" si="26"/>
        <v>9.5400000000000009</v>
      </c>
      <c r="U46" s="486">
        <f>(0.59/100)*P46</f>
        <v>0.29499999999999998</v>
      </c>
    </row>
    <row r="47" spans="1:24" x14ac:dyDescent="0.25">
      <c r="A47" s="1079"/>
      <c r="B47" s="486">
        <v>100</v>
      </c>
      <c r="C47" s="487">
        <v>4.0999999999999996</v>
      </c>
      <c r="D47" s="488">
        <v>-0.4</v>
      </c>
      <c r="E47" s="488">
        <v>-0.35</v>
      </c>
      <c r="F47" s="270">
        <f t="shared" si="24"/>
        <v>2.5000000000000022E-2</v>
      </c>
      <c r="G47" s="486">
        <f t="shared" si="25"/>
        <v>0.59</v>
      </c>
      <c r="H47" s="1081"/>
      <c r="I47" s="486">
        <v>100</v>
      </c>
      <c r="J47" s="488">
        <v>5</v>
      </c>
      <c r="K47" s="488">
        <v>-0.1</v>
      </c>
      <c r="L47" s="488">
        <v>-0.42</v>
      </c>
      <c r="M47" s="270">
        <f t="shared" si="27"/>
        <v>2.71</v>
      </c>
      <c r="N47" s="486">
        <f t="shared" si="28"/>
        <v>0.59</v>
      </c>
      <c r="O47" s="1081"/>
      <c r="P47" s="486">
        <v>100</v>
      </c>
      <c r="Q47" s="487">
        <v>6.2</v>
      </c>
      <c r="R47" s="488">
        <v>18.399999999999999</v>
      </c>
      <c r="S47" s="488">
        <v>0.22</v>
      </c>
      <c r="T47" s="270">
        <f t="shared" si="26"/>
        <v>9.09</v>
      </c>
      <c r="U47" s="486">
        <f t="shared" ref="U47:U50" si="29">(0.59/100)*P47</f>
        <v>0.59</v>
      </c>
    </row>
    <row r="48" spans="1:24" x14ac:dyDescent="0.25">
      <c r="A48" s="1079"/>
      <c r="B48" s="486">
        <v>200</v>
      </c>
      <c r="C48" s="487">
        <v>5</v>
      </c>
      <c r="D48" s="488">
        <v>0.3</v>
      </c>
      <c r="E48" s="488">
        <v>0.8</v>
      </c>
      <c r="F48" s="270">
        <f t="shared" si="24"/>
        <v>0.25</v>
      </c>
      <c r="G48" s="486">
        <f t="shared" si="25"/>
        <v>1.18</v>
      </c>
      <c r="H48" s="1081"/>
      <c r="I48" s="486">
        <v>200</v>
      </c>
      <c r="J48" s="488">
        <v>7.7</v>
      </c>
      <c r="K48" s="488">
        <v>1.3</v>
      </c>
      <c r="L48" s="488">
        <v>1.3</v>
      </c>
      <c r="M48" s="270">
        <f t="shared" si="27"/>
        <v>3.2</v>
      </c>
      <c r="N48" s="486">
        <f t="shared" si="28"/>
        <v>1.18</v>
      </c>
      <c r="O48" s="1081"/>
      <c r="P48" s="486">
        <v>200</v>
      </c>
      <c r="Q48" s="487">
        <v>9.4</v>
      </c>
      <c r="R48" s="488">
        <v>14.4</v>
      </c>
      <c r="S48" s="488">
        <v>0.8</v>
      </c>
      <c r="T48" s="270">
        <f t="shared" si="26"/>
        <v>6.8</v>
      </c>
      <c r="U48" s="486">
        <f t="shared" si="29"/>
        <v>1.18</v>
      </c>
    </row>
    <row r="49" spans="1:21" x14ac:dyDescent="0.25">
      <c r="A49" s="1079"/>
      <c r="B49" s="486">
        <v>500</v>
      </c>
      <c r="C49" s="487">
        <v>3.5</v>
      </c>
      <c r="D49" s="488">
        <v>0.2</v>
      </c>
      <c r="E49" s="488">
        <v>1.2</v>
      </c>
      <c r="F49" s="270">
        <f t="shared" si="24"/>
        <v>0.5</v>
      </c>
      <c r="G49" s="486">
        <f t="shared" si="25"/>
        <v>2.9499999999999997</v>
      </c>
      <c r="H49" s="1081"/>
      <c r="I49" s="486">
        <v>500</v>
      </c>
      <c r="J49" s="488">
        <v>5.7</v>
      </c>
      <c r="K49" s="488">
        <v>0.7</v>
      </c>
      <c r="L49" s="488">
        <v>0.7</v>
      </c>
      <c r="M49" s="270">
        <f t="shared" si="27"/>
        <v>2.5</v>
      </c>
      <c r="N49" s="486">
        <f t="shared" si="28"/>
        <v>2.9499999999999997</v>
      </c>
      <c r="O49" s="1081"/>
      <c r="P49" s="486">
        <v>500</v>
      </c>
      <c r="Q49" s="487">
        <v>10.8</v>
      </c>
      <c r="R49" s="488">
        <v>6.2</v>
      </c>
      <c r="S49" s="488">
        <v>1.1000000000000001</v>
      </c>
      <c r="T49" s="270">
        <f t="shared" si="26"/>
        <v>2.5499999999999998</v>
      </c>
      <c r="U49" s="486">
        <f t="shared" si="29"/>
        <v>2.9499999999999997</v>
      </c>
    </row>
    <row r="50" spans="1:21" x14ac:dyDescent="0.25">
      <c r="A50" s="1079"/>
      <c r="B50" s="486">
        <v>1000</v>
      </c>
      <c r="C50" s="487">
        <v>-1</v>
      </c>
      <c r="D50" s="488">
        <v>2</v>
      </c>
      <c r="E50" s="488">
        <v>2</v>
      </c>
      <c r="F50" s="270">
        <f t="shared" si="24"/>
        <v>0</v>
      </c>
      <c r="G50" s="486">
        <f t="shared" si="25"/>
        <v>5.8999999999999995</v>
      </c>
      <c r="H50" s="1081"/>
      <c r="I50" s="486">
        <v>1000</v>
      </c>
      <c r="J50" s="488">
        <v>-88</v>
      </c>
      <c r="K50" s="488">
        <v>9.9999999999999995E-7</v>
      </c>
      <c r="L50" s="488">
        <v>9.9999999999999995E-7</v>
      </c>
      <c r="M50" s="270">
        <f t="shared" si="27"/>
        <v>44.000000499999999</v>
      </c>
      <c r="N50" s="486">
        <f>(0.59/100)*I50</f>
        <v>5.8999999999999995</v>
      </c>
      <c r="O50" s="1081"/>
      <c r="P50" s="486">
        <v>1000</v>
      </c>
      <c r="Q50" s="487">
        <v>-88</v>
      </c>
      <c r="R50" s="488">
        <v>0</v>
      </c>
      <c r="S50" s="488">
        <v>9.9999999999999995E-7</v>
      </c>
      <c r="T50" s="270">
        <f t="shared" si="26"/>
        <v>4.9999999999999998E-7</v>
      </c>
      <c r="U50" s="486">
        <f t="shared" si="29"/>
        <v>5.8999999999999995</v>
      </c>
    </row>
    <row r="51" spans="1:21" ht="13" x14ac:dyDescent="0.25">
      <c r="A51" s="1079"/>
      <c r="B51" s="1085" t="str">
        <f>B20</f>
        <v>Main-PE</v>
      </c>
      <c r="C51" s="1085"/>
      <c r="D51" s="1085"/>
      <c r="E51" s="1085"/>
      <c r="F51" s="1084" t="s">
        <v>385</v>
      </c>
      <c r="G51" s="1084" t="s">
        <v>251</v>
      </c>
      <c r="H51" s="1081"/>
      <c r="I51" s="1085" t="str">
        <f>B51</f>
        <v>Main-PE</v>
      </c>
      <c r="J51" s="1085"/>
      <c r="K51" s="1085"/>
      <c r="L51" s="1085"/>
      <c r="M51" s="1084" t="s">
        <v>385</v>
      </c>
      <c r="N51" s="1084" t="s">
        <v>251</v>
      </c>
      <c r="O51" s="1081"/>
      <c r="P51" s="1085" t="str">
        <f>I51</f>
        <v>Main-PE</v>
      </c>
      <c r="Q51" s="1085"/>
      <c r="R51" s="1085"/>
      <c r="S51" s="1085"/>
      <c r="T51" s="1084" t="s">
        <v>385</v>
      </c>
      <c r="U51" s="1084" t="s">
        <v>251</v>
      </c>
    </row>
    <row r="52" spans="1:21" ht="14.5" x14ac:dyDescent="0.25">
      <c r="A52" s="1079"/>
      <c r="B52" s="691" t="s">
        <v>389</v>
      </c>
      <c r="C52" s="458">
        <f>C36</f>
        <v>2022</v>
      </c>
      <c r="D52" s="458">
        <f>D36</f>
        <v>2021</v>
      </c>
      <c r="E52" s="458">
        <f>E36</f>
        <v>2019</v>
      </c>
      <c r="F52" s="1084"/>
      <c r="G52" s="1084"/>
      <c r="H52" s="1081"/>
      <c r="I52" s="691" t="s">
        <v>389</v>
      </c>
      <c r="J52" s="458">
        <f>J36</f>
        <v>2022</v>
      </c>
      <c r="K52" s="458">
        <f>K36</f>
        <v>2021</v>
      </c>
      <c r="L52" s="458">
        <f>L36</f>
        <v>2019</v>
      </c>
      <c r="M52" s="1084"/>
      <c r="N52" s="1084"/>
      <c r="O52" s="1081"/>
      <c r="P52" s="691" t="s">
        <v>389</v>
      </c>
      <c r="Q52" s="458">
        <f>Q36</f>
        <v>2023</v>
      </c>
      <c r="R52" s="458">
        <f>R36</f>
        <v>2022</v>
      </c>
      <c r="S52" s="458">
        <f>S36</f>
        <v>2019</v>
      </c>
      <c r="T52" s="1084"/>
      <c r="U52" s="1084"/>
    </row>
    <row r="53" spans="1:21" x14ac:dyDescent="0.25">
      <c r="A53" s="1079"/>
      <c r="B53" s="486">
        <v>10</v>
      </c>
      <c r="C53" s="487">
        <v>0</v>
      </c>
      <c r="D53" s="488">
        <v>9.9999999999999995E-7</v>
      </c>
      <c r="E53" s="488">
        <v>0.1</v>
      </c>
      <c r="F53" s="270">
        <f>0.5*(MAX(D53:E53)-MIN(D53:E53))</f>
        <v>4.9999500000000002E-2</v>
      </c>
      <c r="G53" s="486">
        <f>(1.7/100)*(B53-C53)</f>
        <v>0.17</v>
      </c>
      <c r="H53" s="1081"/>
      <c r="I53" s="486">
        <v>10</v>
      </c>
      <c r="J53" s="488">
        <v>0</v>
      </c>
      <c r="K53" s="488">
        <v>9.9999999999999995E-7</v>
      </c>
      <c r="L53" s="488">
        <v>0.1</v>
      </c>
      <c r="M53" s="270">
        <f>0.5*(MAX(J53:L53)-MIN(J53:L53))</f>
        <v>0.05</v>
      </c>
      <c r="N53" s="486">
        <f>(1.7/100)*(I53-J53)</f>
        <v>0.17</v>
      </c>
      <c r="O53" s="1081"/>
      <c r="P53" s="486">
        <v>10</v>
      </c>
      <c r="Q53" s="487">
        <v>0</v>
      </c>
      <c r="R53" s="488">
        <v>0.1</v>
      </c>
      <c r="S53" s="488">
        <v>0.1</v>
      </c>
      <c r="T53" s="270">
        <f>0.5*(MAX(R53:S53)-MIN(R53:S53))</f>
        <v>0</v>
      </c>
      <c r="U53" s="486">
        <f>(1.7/100)*(P53-Q53)</f>
        <v>0.17</v>
      </c>
    </row>
    <row r="54" spans="1:21" x14ac:dyDescent="0.25">
      <c r="A54" s="1079"/>
      <c r="B54" s="486">
        <v>20</v>
      </c>
      <c r="C54" s="487">
        <v>0.1</v>
      </c>
      <c r="D54" s="488">
        <v>0.1</v>
      </c>
      <c r="E54" s="488">
        <v>0.2</v>
      </c>
      <c r="F54" s="270">
        <f>0.5*(MAX(D54:E54)-MIN(D54:E54))</f>
        <v>0.05</v>
      </c>
      <c r="G54" s="486">
        <f t="shared" ref="G54:G55" si="30">(1.7/100)*(B54-C54)</f>
        <v>0.33829999999999999</v>
      </c>
      <c r="H54" s="1081"/>
      <c r="I54" s="486">
        <v>20</v>
      </c>
      <c r="J54" s="488">
        <v>0.1</v>
      </c>
      <c r="K54" s="488">
        <v>0.1</v>
      </c>
      <c r="L54" s="488">
        <v>0.1</v>
      </c>
      <c r="M54" s="270">
        <f t="shared" ref="M54:M56" si="31">0.5*(MAX(J54:L54)-MIN(J54:L54))</f>
        <v>0</v>
      </c>
      <c r="N54" s="486">
        <f t="shared" ref="N54:N56" si="32">(1.7/100)*(I54-J54)</f>
        <v>0.33829999999999999</v>
      </c>
      <c r="O54" s="1081"/>
      <c r="P54" s="486">
        <v>20</v>
      </c>
      <c r="Q54" s="487">
        <v>0.1</v>
      </c>
      <c r="R54" s="488">
        <v>0.1</v>
      </c>
      <c r="S54" s="488">
        <v>0.1</v>
      </c>
      <c r="T54" s="270">
        <f>0.5*(MAX(R54:S54)-MIN(R54:S54))</f>
        <v>0</v>
      </c>
      <c r="U54" s="486">
        <f t="shared" ref="U54:U56" si="33">(1.7/100)*(P54-Q54)</f>
        <v>0.33829999999999999</v>
      </c>
    </row>
    <row r="55" spans="1:21" x14ac:dyDescent="0.25">
      <c r="A55" s="1079"/>
      <c r="B55" s="486">
        <v>50</v>
      </c>
      <c r="C55" s="487">
        <v>0.4</v>
      </c>
      <c r="D55" s="491">
        <v>0.4</v>
      </c>
      <c r="E55" s="491">
        <v>0.5</v>
      </c>
      <c r="F55" s="270">
        <f>0.5*(MAX(D55:E55)-MIN(D55:E55))</f>
        <v>4.9999999999999989E-2</v>
      </c>
      <c r="G55" s="486">
        <f t="shared" si="30"/>
        <v>0.84320000000000006</v>
      </c>
      <c r="H55" s="1081"/>
      <c r="I55" s="486">
        <v>50</v>
      </c>
      <c r="J55" s="491">
        <v>0.3</v>
      </c>
      <c r="K55" s="491">
        <v>0.6</v>
      </c>
      <c r="L55" s="491">
        <v>0.4</v>
      </c>
      <c r="M55" s="270">
        <f t="shared" si="31"/>
        <v>0.15</v>
      </c>
      <c r="N55" s="486">
        <f t="shared" si="32"/>
        <v>0.8449000000000001</v>
      </c>
      <c r="O55" s="1081"/>
      <c r="P55" s="486">
        <v>50</v>
      </c>
      <c r="Q55" s="487">
        <v>0.1</v>
      </c>
      <c r="R55" s="491">
        <v>0.3</v>
      </c>
      <c r="S55" s="491">
        <v>0.3</v>
      </c>
      <c r="T55" s="270">
        <f>0.5*(MAX(R55:S55)-MIN(R55:S55))</f>
        <v>0</v>
      </c>
      <c r="U55" s="486">
        <f t="shared" si="33"/>
        <v>0.84830000000000005</v>
      </c>
    </row>
    <row r="56" spans="1:21" x14ac:dyDescent="0.25">
      <c r="A56" s="1079"/>
      <c r="B56" s="486">
        <v>100</v>
      </c>
      <c r="C56" s="487">
        <v>0.8</v>
      </c>
      <c r="D56" s="491">
        <v>1.4</v>
      </c>
      <c r="E56" s="491">
        <v>1</v>
      </c>
      <c r="F56" s="270">
        <f>0.5*(MAX(D56:E56)-MIN(D56:E56))</f>
        <v>0.19999999999999996</v>
      </c>
      <c r="G56" s="486">
        <f>(1.7/100)*(B56-C56)</f>
        <v>1.6864000000000001</v>
      </c>
      <c r="H56" s="1081"/>
      <c r="I56" s="486">
        <v>100</v>
      </c>
      <c r="J56" s="491">
        <v>0.4</v>
      </c>
      <c r="K56" s="491">
        <v>1.5</v>
      </c>
      <c r="L56" s="491">
        <v>0.8</v>
      </c>
      <c r="M56" s="270">
        <f t="shared" si="31"/>
        <v>0.55000000000000004</v>
      </c>
      <c r="N56" s="486">
        <f t="shared" si="32"/>
        <v>1.6932</v>
      </c>
      <c r="O56" s="1081"/>
      <c r="P56" s="486">
        <v>100</v>
      </c>
      <c r="Q56" s="487">
        <v>2</v>
      </c>
      <c r="R56" s="491">
        <v>0.6</v>
      </c>
      <c r="S56" s="491">
        <v>0.6</v>
      </c>
      <c r="T56" s="270">
        <f>0.5*(MAX(R56:S56)-MIN(R56:S56))</f>
        <v>0</v>
      </c>
      <c r="U56" s="486">
        <f t="shared" si="33"/>
        <v>1.6660000000000001</v>
      </c>
    </row>
    <row r="57" spans="1:21" ht="12.75" customHeight="1" x14ac:dyDescent="0.25">
      <c r="A57" s="1079"/>
      <c r="B57" s="1085" t="str">
        <f>B26</f>
        <v>Resistance</v>
      </c>
      <c r="C57" s="1085"/>
      <c r="D57" s="1085"/>
      <c r="E57" s="1085"/>
      <c r="F57" s="1084" t="s">
        <v>385</v>
      </c>
      <c r="G57" s="1084" t="s">
        <v>251</v>
      </c>
      <c r="H57" s="1081"/>
      <c r="I57" s="1085" t="str">
        <f>B57</f>
        <v>Resistance</v>
      </c>
      <c r="J57" s="1085"/>
      <c r="K57" s="1085"/>
      <c r="L57" s="1085"/>
      <c r="M57" s="1084" t="s">
        <v>385</v>
      </c>
      <c r="N57" s="1084" t="s">
        <v>251</v>
      </c>
      <c r="O57" s="1081"/>
      <c r="P57" s="1085" t="str">
        <f>I57</f>
        <v>Resistance</v>
      </c>
      <c r="Q57" s="1085"/>
      <c r="R57" s="1085"/>
      <c r="S57" s="1085"/>
      <c r="T57" s="1084" t="s">
        <v>385</v>
      </c>
      <c r="U57" s="1084" t="s">
        <v>251</v>
      </c>
    </row>
    <row r="58" spans="1:21" ht="14.5" x14ac:dyDescent="0.25">
      <c r="A58" s="1079"/>
      <c r="B58" s="691" t="s">
        <v>390</v>
      </c>
      <c r="C58" s="458">
        <f>C36</f>
        <v>2022</v>
      </c>
      <c r="D58" s="458">
        <f>D36</f>
        <v>2021</v>
      </c>
      <c r="E58" s="458">
        <f>E36</f>
        <v>2019</v>
      </c>
      <c r="F58" s="1084"/>
      <c r="G58" s="1084"/>
      <c r="H58" s="1081"/>
      <c r="I58" s="691" t="s">
        <v>390</v>
      </c>
      <c r="J58" s="458">
        <f>J36</f>
        <v>2022</v>
      </c>
      <c r="K58" s="458">
        <f>K36</f>
        <v>2021</v>
      </c>
      <c r="L58" s="458">
        <f>L36</f>
        <v>2019</v>
      </c>
      <c r="M58" s="1084"/>
      <c r="N58" s="1084"/>
      <c r="O58" s="1081"/>
      <c r="P58" s="691" t="s">
        <v>390</v>
      </c>
      <c r="Q58" s="458">
        <f>Q36</f>
        <v>2023</v>
      </c>
      <c r="R58" s="458">
        <f>R36</f>
        <v>2022</v>
      </c>
      <c r="S58" s="458">
        <f>S36</f>
        <v>2019</v>
      </c>
      <c r="T58" s="1084"/>
      <c r="U58" s="1084"/>
    </row>
    <row r="59" spans="1:21" x14ac:dyDescent="0.25">
      <c r="A59" s="1079"/>
      <c r="B59" s="486">
        <v>0.01</v>
      </c>
      <c r="C59" s="693">
        <v>0</v>
      </c>
      <c r="D59" s="492">
        <v>9.9999999999999995E-7</v>
      </c>
      <c r="E59" s="492">
        <v>9.9999999999999995E-7</v>
      </c>
      <c r="F59" s="270">
        <f>0.5*(MAX(D59:E59)-MIN(D59:E59))</f>
        <v>0</v>
      </c>
      <c r="G59" s="486">
        <f t="shared" ref="G59:G61" si="34">(1.2/100)*(B59-C59)</f>
        <v>1.2E-4</v>
      </c>
      <c r="H59" s="1081"/>
      <c r="I59" s="486">
        <v>0.01</v>
      </c>
      <c r="J59" s="492">
        <v>0</v>
      </c>
      <c r="K59" s="492">
        <v>9.9999999999999995E-7</v>
      </c>
      <c r="L59" s="492">
        <v>9.9999999999999995E-7</v>
      </c>
      <c r="M59" s="270">
        <f>0.5*(MAX(J59:L59)-MIN(J59:L59))</f>
        <v>4.9999999999999998E-7</v>
      </c>
      <c r="N59" s="486">
        <f>(1.2/100)*(I59-J59)</f>
        <v>1.2E-4</v>
      </c>
      <c r="O59" s="1081"/>
      <c r="P59" s="486">
        <v>0.01</v>
      </c>
      <c r="Q59" s="693">
        <v>0</v>
      </c>
      <c r="R59" s="492">
        <v>0</v>
      </c>
      <c r="S59" s="492">
        <v>9.9999999999999995E-7</v>
      </c>
      <c r="T59" s="270">
        <f>0.5*(MAX(R59:S59)-MIN(R59:S59))</f>
        <v>4.9999999999999998E-7</v>
      </c>
      <c r="U59" s="486">
        <f>(1.2/100)*(P59-Q59)</f>
        <v>1.2E-4</v>
      </c>
    </row>
    <row r="60" spans="1:21" x14ac:dyDescent="0.25">
      <c r="A60" s="1079"/>
      <c r="B60" s="486">
        <v>0.1</v>
      </c>
      <c r="C60" s="693">
        <v>0</v>
      </c>
      <c r="D60" s="492">
        <v>-2E-3</v>
      </c>
      <c r="E60" s="492">
        <v>9.9999999999999995E-7</v>
      </c>
      <c r="F60" s="270">
        <f>0.5*(MAX(D60:E60)-MIN(D60:E60))</f>
        <v>1.0005000000000001E-3</v>
      </c>
      <c r="G60" s="486">
        <f>(1.2/100)*(B60-C60)</f>
        <v>1.2000000000000001E-3</v>
      </c>
      <c r="H60" s="1081"/>
      <c r="I60" s="486">
        <v>0.1</v>
      </c>
      <c r="J60" s="492">
        <v>-6.0000000000000001E-3</v>
      </c>
      <c r="K60" s="492">
        <v>5.0000000000000001E-3</v>
      </c>
      <c r="L60" s="492">
        <v>2E-3</v>
      </c>
      <c r="M60" s="270">
        <f t="shared" ref="M60:M62" si="35">0.5*(MAX(J60:L60)-MIN(J60:L60))</f>
        <v>5.4999999999999997E-3</v>
      </c>
      <c r="N60" s="486">
        <f t="shared" ref="N60:N62" si="36">(1.2/100)*(I60-J60)</f>
        <v>1.2720000000000001E-3</v>
      </c>
      <c r="O60" s="1081"/>
      <c r="P60" s="486">
        <v>0.1</v>
      </c>
      <c r="Q60" s="693">
        <v>0</v>
      </c>
      <c r="R60" s="492">
        <v>-3.0000000000000001E-3</v>
      </c>
      <c r="S60" s="492">
        <v>-2E-3</v>
      </c>
      <c r="T60" s="270">
        <f>0.5*(MAX(R60:S60)-MIN(R60:S60))</f>
        <v>5.0000000000000001E-4</v>
      </c>
      <c r="U60" s="486">
        <f t="shared" ref="U60:U61" si="37">(1.2/100)*(P60-Q60)</f>
        <v>1.2000000000000001E-3</v>
      </c>
    </row>
    <row r="61" spans="1:21" x14ac:dyDescent="0.25">
      <c r="A61" s="1079"/>
      <c r="B61" s="486">
        <v>1</v>
      </c>
      <c r="C61" s="693">
        <v>-2E-3</v>
      </c>
      <c r="D61" s="492">
        <v>-8.0000000000000002E-3</v>
      </c>
      <c r="E61" s="492">
        <v>-1E-3</v>
      </c>
      <c r="F61" s="270">
        <f>0.5*(MAX(D61:E61)-MIN(D61:E61))</f>
        <v>3.5000000000000001E-3</v>
      </c>
      <c r="G61" s="486">
        <f t="shared" si="34"/>
        <v>1.2024E-2</v>
      </c>
      <c r="H61" s="1081"/>
      <c r="I61" s="486">
        <v>1</v>
      </c>
      <c r="J61" s="492">
        <v>-2E-3</v>
      </c>
      <c r="K61" s="492">
        <v>1.7999999999999999E-2</v>
      </c>
      <c r="L61" s="492">
        <v>1.2E-2</v>
      </c>
      <c r="M61" s="270">
        <f t="shared" si="35"/>
        <v>9.9999999999999985E-3</v>
      </c>
      <c r="N61" s="486">
        <f t="shared" si="36"/>
        <v>1.2024E-2</v>
      </c>
      <c r="O61" s="1081"/>
      <c r="P61" s="486">
        <v>1</v>
      </c>
      <c r="Q61" s="693">
        <v>-6.0000000000000001E-3</v>
      </c>
      <c r="R61" s="492">
        <v>-7.0000000000000001E-3</v>
      </c>
      <c r="S61" s="492">
        <v>-1E-3</v>
      </c>
      <c r="T61" s="270">
        <f>0.5*(MAX(R61:S61)-MIN(R61:S61))</f>
        <v>3.0000000000000001E-3</v>
      </c>
      <c r="U61" s="486">
        <f t="shared" si="37"/>
        <v>1.2072000000000001E-2</v>
      </c>
    </row>
    <row r="62" spans="1:21" x14ac:dyDescent="0.25">
      <c r="A62" s="1079"/>
      <c r="B62" s="486">
        <v>2</v>
      </c>
      <c r="C62" s="693">
        <v>-6.0000000000000001E-3</v>
      </c>
      <c r="D62" s="492">
        <v>-7.0000000000000001E-3</v>
      </c>
      <c r="E62" s="492">
        <v>9.9999999999999995E-7</v>
      </c>
      <c r="F62" s="270">
        <f>0.5*(MAX(D62:E62)-MIN(D62:E62))</f>
        <v>3.5005000000000001E-3</v>
      </c>
      <c r="G62" s="486">
        <f>(1.2/100)*(B62-C62)</f>
        <v>2.4071999999999996E-2</v>
      </c>
      <c r="H62" s="1081"/>
      <c r="I62" s="495">
        <v>2</v>
      </c>
      <c r="J62" s="694">
        <v>-4.0000000000000001E-3</v>
      </c>
      <c r="K62" s="694">
        <v>0.113</v>
      </c>
      <c r="L62" s="694">
        <v>9.9999999999999995E-7</v>
      </c>
      <c r="M62" s="180">
        <f t="shared" si="35"/>
        <v>5.8500000000000003E-2</v>
      </c>
      <c r="N62" s="486">
        <f t="shared" si="36"/>
        <v>2.4048E-2</v>
      </c>
      <c r="O62" s="1081"/>
      <c r="P62" s="486">
        <v>2</v>
      </c>
      <c r="Q62" s="693">
        <v>-7.0000000000000001E-3</v>
      </c>
      <c r="R62" s="492">
        <v>-7.0000000000000001E-3</v>
      </c>
      <c r="S62" s="492">
        <v>9.9999999999999995E-7</v>
      </c>
      <c r="T62" s="270">
        <f>0.5*(MAX(R62:S62)-MIN(R62:S62))</f>
        <v>3.5005000000000001E-3</v>
      </c>
      <c r="U62" s="486">
        <f>(1.2/100)*(P62-Q62)</f>
        <v>2.4084000000000001E-2</v>
      </c>
    </row>
    <row r="63" spans="1:21" ht="15.5" x14ac:dyDescent="0.25">
      <c r="A63" s="496"/>
      <c r="B63" s="276"/>
      <c r="C63" s="276"/>
      <c r="D63" s="497"/>
      <c r="E63" s="497"/>
      <c r="F63" s="497"/>
      <c r="H63" s="498"/>
      <c r="I63" s="499"/>
      <c r="J63" s="276"/>
      <c r="K63" s="497"/>
      <c r="L63" s="497"/>
      <c r="M63" s="497"/>
      <c r="O63" s="498"/>
      <c r="P63" s="276"/>
      <c r="Q63" s="276"/>
      <c r="T63" s="494"/>
    </row>
    <row r="64" spans="1:21" ht="14.5" customHeight="1" x14ac:dyDescent="0.25">
      <c r="A64" s="1079" t="s">
        <v>159</v>
      </c>
      <c r="B64" s="1088" t="s">
        <v>397</v>
      </c>
      <c r="C64" s="1088"/>
      <c r="D64" s="1088"/>
      <c r="E64" s="1088"/>
      <c r="F64" s="1088"/>
      <c r="G64" s="1088"/>
      <c r="H64" s="1081" t="s">
        <v>398</v>
      </c>
      <c r="I64" s="1088" t="s">
        <v>399</v>
      </c>
      <c r="J64" s="1088"/>
      <c r="K64" s="1088"/>
      <c r="L64" s="1088"/>
      <c r="M64" s="1088"/>
      <c r="N64" s="1088"/>
      <c r="O64" s="1081" t="s">
        <v>95</v>
      </c>
      <c r="P64" s="1088" t="s">
        <v>400</v>
      </c>
      <c r="Q64" s="1088"/>
      <c r="R64" s="1088"/>
      <c r="S64" s="1088"/>
      <c r="T64" s="1088"/>
      <c r="U64" s="1088"/>
    </row>
    <row r="65" spans="1:21" ht="14" x14ac:dyDescent="0.3">
      <c r="A65" s="1079"/>
      <c r="B65" s="1082" t="s">
        <v>383</v>
      </c>
      <c r="C65" s="1082"/>
      <c r="D65" s="1082"/>
      <c r="E65" s="1082"/>
      <c r="F65" s="1082"/>
      <c r="G65" s="1082"/>
      <c r="H65" s="1081"/>
      <c r="I65" s="1083" t="s">
        <v>383</v>
      </c>
      <c r="J65" s="1083"/>
      <c r="K65" s="1083"/>
      <c r="L65" s="1083"/>
      <c r="M65" s="1083"/>
      <c r="N65" s="1083"/>
      <c r="O65" s="1081"/>
      <c r="P65" s="1083" t="s">
        <v>383</v>
      </c>
      <c r="Q65" s="1083"/>
      <c r="R65" s="1083"/>
      <c r="S65" s="1083"/>
      <c r="T65" s="1083"/>
      <c r="U65" s="1083"/>
    </row>
    <row r="66" spans="1:21" ht="13" x14ac:dyDescent="0.25">
      <c r="A66" s="1079"/>
      <c r="B66" s="1084" t="s">
        <v>384</v>
      </c>
      <c r="C66" s="1084"/>
      <c r="D66" s="1084"/>
      <c r="E66" s="1084"/>
      <c r="F66" s="1084" t="s">
        <v>385</v>
      </c>
      <c r="G66" s="1084" t="s">
        <v>251</v>
      </c>
      <c r="H66" s="1081"/>
      <c r="I66" s="1084" t="str">
        <f>B66</f>
        <v>Setting VAC</v>
      </c>
      <c r="J66" s="1084"/>
      <c r="K66" s="1084"/>
      <c r="L66" s="1084"/>
      <c r="M66" s="1084" t="s">
        <v>385</v>
      </c>
      <c r="N66" s="1084" t="s">
        <v>251</v>
      </c>
      <c r="O66" s="1081"/>
      <c r="P66" s="1084" t="str">
        <f>B66</f>
        <v>Setting VAC</v>
      </c>
      <c r="Q66" s="1084"/>
      <c r="R66" s="1084"/>
      <c r="S66" s="1084"/>
      <c r="T66" s="1084" t="s">
        <v>385</v>
      </c>
      <c r="U66" s="1084" t="s">
        <v>251</v>
      </c>
    </row>
    <row r="67" spans="1:21" ht="14" x14ac:dyDescent="0.25">
      <c r="A67" s="1079"/>
      <c r="B67" s="691" t="s">
        <v>386</v>
      </c>
      <c r="C67" s="458">
        <v>2023</v>
      </c>
      <c r="D67" s="458">
        <v>2022</v>
      </c>
      <c r="E67" s="458">
        <v>2020</v>
      </c>
      <c r="F67" s="1084"/>
      <c r="G67" s="1084"/>
      <c r="H67" s="1081"/>
      <c r="I67" s="691" t="s">
        <v>386</v>
      </c>
      <c r="J67" s="458">
        <v>2022</v>
      </c>
      <c r="K67" s="458">
        <v>2020</v>
      </c>
      <c r="L67" s="458">
        <v>2016</v>
      </c>
      <c r="M67" s="1084"/>
      <c r="N67" s="1084"/>
      <c r="O67" s="1081"/>
      <c r="P67" s="691" t="s">
        <v>386</v>
      </c>
      <c r="Q67" s="458">
        <v>2022</v>
      </c>
      <c r="R67" s="458">
        <v>2020</v>
      </c>
      <c r="S67" s="458">
        <v>2016</v>
      </c>
      <c r="T67" s="1084"/>
      <c r="U67" s="1084"/>
    </row>
    <row r="68" spans="1:21" ht="13" x14ac:dyDescent="0.25">
      <c r="A68" s="1079"/>
      <c r="B68" s="692">
        <v>150</v>
      </c>
      <c r="C68" s="487">
        <v>0.14000000000000001</v>
      </c>
      <c r="D68" s="486">
        <v>0.36</v>
      </c>
      <c r="E68" s="486">
        <v>0.21</v>
      </c>
      <c r="F68" s="270">
        <f t="shared" ref="F68:F73" si="38">0.5*(MAX(D68:E68)-MIN(D68:E68))</f>
        <v>7.4999999999999997E-2</v>
      </c>
      <c r="G68" s="692">
        <f t="shared" ref="G68:G73" si="39">(1.2/100)*B68</f>
        <v>1.8</v>
      </c>
      <c r="H68" s="1081"/>
      <c r="I68" s="692">
        <v>150</v>
      </c>
      <c r="J68" s="500">
        <v>-0.17</v>
      </c>
      <c r="K68" s="500">
        <v>-0.24</v>
      </c>
      <c r="L68" s="487"/>
      <c r="M68" s="270">
        <f>0.5*(MAX(J68:L68)-MIN(J68:L68))</f>
        <v>3.4999999999999989E-2</v>
      </c>
      <c r="N68" s="692">
        <f t="shared" ref="N68:N73" si="40">(1.2/100)*I68</f>
        <v>1.8</v>
      </c>
      <c r="O68" s="1081"/>
      <c r="P68" s="692">
        <v>150</v>
      </c>
      <c r="Q68" s="500">
        <v>-0.08</v>
      </c>
      <c r="R68" s="500">
        <v>-0.17</v>
      </c>
      <c r="S68" s="487"/>
      <c r="T68" s="270">
        <f>0.5*(MAX(Q68:S68)-MIN(Q68:S68))</f>
        <v>4.5000000000000005E-2</v>
      </c>
      <c r="U68" s="692">
        <f t="shared" ref="U68:U73" si="41">(1.2/100)*P68</f>
        <v>1.8</v>
      </c>
    </row>
    <row r="69" spans="1:21" ht="13" x14ac:dyDescent="0.25">
      <c r="A69" s="1079"/>
      <c r="B69" s="692">
        <v>180</v>
      </c>
      <c r="C69" s="487">
        <v>0.34</v>
      </c>
      <c r="D69" s="486">
        <v>0.46</v>
      </c>
      <c r="E69" s="486">
        <v>0.33</v>
      </c>
      <c r="F69" s="270">
        <f t="shared" si="38"/>
        <v>6.5000000000000002E-2</v>
      </c>
      <c r="G69" s="692">
        <f t="shared" si="39"/>
        <v>2.16</v>
      </c>
      <c r="H69" s="1081"/>
      <c r="I69" s="692">
        <v>180</v>
      </c>
      <c r="J69" s="500">
        <v>-0.39</v>
      </c>
      <c r="K69" s="500">
        <v>-0.14000000000000001</v>
      </c>
      <c r="L69" s="487"/>
      <c r="M69" s="270">
        <f t="shared" ref="M69:M73" si="42">0.5*(MAX(J69:L69)-MIN(J69:L69))</f>
        <v>0.125</v>
      </c>
      <c r="N69" s="692">
        <f t="shared" si="40"/>
        <v>2.16</v>
      </c>
      <c r="O69" s="1081"/>
      <c r="P69" s="692">
        <v>180</v>
      </c>
      <c r="Q69" s="500">
        <v>-0.2</v>
      </c>
      <c r="R69" s="500">
        <v>-0.22</v>
      </c>
      <c r="S69" s="487"/>
      <c r="T69" s="270">
        <f t="shared" ref="T69:T73" si="43">0.5*(MAX(Q69:S69)-MIN(Q69:S69))</f>
        <v>9.999999999999995E-3</v>
      </c>
      <c r="U69" s="692">
        <f t="shared" si="41"/>
        <v>2.16</v>
      </c>
    </row>
    <row r="70" spans="1:21" x14ac:dyDescent="0.25">
      <c r="A70" s="1079"/>
      <c r="B70" s="486">
        <v>200</v>
      </c>
      <c r="C70" s="487">
        <v>0.42</v>
      </c>
      <c r="D70" s="486">
        <v>0.52</v>
      </c>
      <c r="E70" s="486">
        <v>0.34</v>
      </c>
      <c r="F70" s="270">
        <f t="shared" si="38"/>
        <v>0.09</v>
      </c>
      <c r="G70" s="692">
        <f t="shared" si="39"/>
        <v>2.4</v>
      </c>
      <c r="H70" s="1081"/>
      <c r="I70" s="486">
        <v>200</v>
      </c>
      <c r="J70" s="486">
        <v>-0.23</v>
      </c>
      <c r="K70" s="486">
        <v>-0.33</v>
      </c>
      <c r="L70" s="487"/>
      <c r="M70" s="270">
        <f t="shared" si="42"/>
        <v>0.05</v>
      </c>
      <c r="N70" s="692">
        <f>(1.2/100)*I70</f>
        <v>2.4</v>
      </c>
      <c r="O70" s="1081"/>
      <c r="P70" s="486">
        <v>200</v>
      </c>
      <c r="Q70" s="486">
        <v>-0.25</v>
      </c>
      <c r="R70" s="486">
        <v>-0.33</v>
      </c>
      <c r="S70" s="487"/>
      <c r="T70" s="270">
        <f t="shared" si="43"/>
        <v>4.0000000000000008E-2</v>
      </c>
      <c r="U70" s="692">
        <f t="shared" si="41"/>
        <v>2.4</v>
      </c>
    </row>
    <row r="71" spans="1:21" x14ac:dyDescent="0.25">
      <c r="A71" s="1079"/>
      <c r="B71" s="486">
        <v>220</v>
      </c>
      <c r="C71" s="487">
        <v>0.32</v>
      </c>
      <c r="D71" s="486">
        <v>0.57999999999999996</v>
      </c>
      <c r="E71" s="486">
        <v>0.37</v>
      </c>
      <c r="F71" s="270">
        <f t="shared" si="38"/>
        <v>0.10499999999999998</v>
      </c>
      <c r="G71" s="692">
        <f t="shared" si="39"/>
        <v>2.64</v>
      </c>
      <c r="H71" s="1081"/>
      <c r="I71" s="486">
        <v>220</v>
      </c>
      <c r="J71" s="486">
        <v>-0.16</v>
      </c>
      <c r="K71" s="486">
        <v>-0.45</v>
      </c>
      <c r="L71" s="487"/>
      <c r="M71" s="270">
        <f t="shared" si="42"/>
        <v>0.14500000000000002</v>
      </c>
      <c r="N71" s="692">
        <f t="shared" si="40"/>
        <v>2.64</v>
      </c>
      <c r="O71" s="1081"/>
      <c r="P71" s="486">
        <v>220</v>
      </c>
      <c r="Q71" s="486">
        <v>-0.28999999999999998</v>
      </c>
      <c r="R71" s="486">
        <v>-0.39</v>
      </c>
      <c r="S71" s="487"/>
      <c r="T71" s="270">
        <f t="shared" si="43"/>
        <v>5.0000000000000017E-2</v>
      </c>
      <c r="U71" s="692">
        <f t="shared" si="41"/>
        <v>2.64</v>
      </c>
    </row>
    <row r="72" spans="1:21" x14ac:dyDescent="0.25">
      <c r="A72" s="1079"/>
      <c r="B72" s="486">
        <v>230</v>
      </c>
      <c r="C72" s="487">
        <v>0.38</v>
      </c>
      <c r="D72" s="486">
        <v>0.47</v>
      </c>
      <c r="E72" s="486">
        <v>0.47</v>
      </c>
      <c r="F72" s="270">
        <f t="shared" si="38"/>
        <v>0</v>
      </c>
      <c r="G72" s="692">
        <f t="shared" si="39"/>
        <v>2.7600000000000002</v>
      </c>
      <c r="H72" s="1081"/>
      <c r="I72" s="486">
        <v>230</v>
      </c>
      <c r="J72" s="486">
        <v>-0.15</v>
      </c>
      <c r="K72" s="486">
        <v>-0.54</v>
      </c>
      <c r="L72" s="487"/>
      <c r="M72" s="270">
        <f t="shared" si="42"/>
        <v>0.19500000000000001</v>
      </c>
      <c r="N72" s="692">
        <f t="shared" si="40"/>
        <v>2.7600000000000002</v>
      </c>
      <c r="O72" s="1081"/>
      <c r="P72" s="486">
        <v>230</v>
      </c>
      <c r="Q72" s="486">
        <v>-0.34</v>
      </c>
      <c r="R72" s="486">
        <v>-0.39</v>
      </c>
      <c r="S72" s="487"/>
      <c r="T72" s="270">
        <f t="shared" si="43"/>
        <v>2.4999999999999994E-2</v>
      </c>
      <c r="U72" s="692">
        <f t="shared" si="41"/>
        <v>2.7600000000000002</v>
      </c>
    </row>
    <row r="73" spans="1:21" x14ac:dyDescent="0.25">
      <c r="A73" s="1079"/>
      <c r="B73" s="486">
        <v>240</v>
      </c>
      <c r="C73" s="487">
        <v>0.44</v>
      </c>
      <c r="D73" s="486">
        <v>0</v>
      </c>
      <c r="E73" s="486">
        <v>0.38</v>
      </c>
      <c r="F73" s="270">
        <f t="shared" si="38"/>
        <v>0.19</v>
      </c>
      <c r="G73" s="692">
        <f t="shared" si="39"/>
        <v>2.88</v>
      </c>
      <c r="H73" s="1081"/>
      <c r="I73" s="486">
        <v>250</v>
      </c>
      <c r="J73" s="486">
        <v>9.9999999999999995E-7</v>
      </c>
      <c r="K73" s="486">
        <v>-0.49</v>
      </c>
      <c r="L73" s="487"/>
      <c r="M73" s="270">
        <f t="shared" si="42"/>
        <v>0.24500049999999998</v>
      </c>
      <c r="N73" s="692">
        <f t="shared" si="40"/>
        <v>3</v>
      </c>
      <c r="O73" s="1081"/>
      <c r="P73" s="486">
        <v>250</v>
      </c>
      <c r="Q73" s="486">
        <v>0</v>
      </c>
      <c r="R73" s="486">
        <v>-0.39</v>
      </c>
      <c r="S73" s="487"/>
      <c r="T73" s="270">
        <f t="shared" si="43"/>
        <v>0.19500000000000001</v>
      </c>
      <c r="U73" s="692">
        <f t="shared" si="41"/>
        <v>3</v>
      </c>
    </row>
    <row r="74" spans="1:21" ht="12.75" customHeight="1" x14ac:dyDescent="0.25">
      <c r="A74" s="1079"/>
      <c r="B74" s="1085" t="s">
        <v>387</v>
      </c>
      <c r="C74" s="1085"/>
      <c r="D74" s="1085"/>
      <c r="E74" s="1085"/>
      <c r="F74" s="1084" t="s">
        <v>385</v>
      </c>
      <c r="G74" s="1084" t="s">
        <v>251</v>
      </c>
      <c r="H74" s="1081"/>
      <c r="I74" s="1085" t="str">
        <f>B74</f>
        <v>Current Leakage</v>
      </c>
      <c r="J74" s="1085"/>
      <c r="K74" s="1085"/>
      <c r="L74" s="1085"/>
      <c r="M74" s="1084" t="s">
        <v>385</v>
      </c>
      <c r="N74" s="1084" t="s">
        <v>251</v>
      </c>
      <c r="O74" s="1081"/>
      <c r="P74" s="1085" t="str">
        <f>B74</f>
        <v>Current Leakage</v>
      </c>
      <c r="Q74" s="1085"/>
      <c r="R74" s="1085"/>
      <c r="S74" s="1085"/>
      <c r="T74" s="1084" t="s">
        <v>385</v>
      </c>
      <c r="U74" s="1084" t="s">
        <v>251</v>
      </c>
    </row>
    <row r="75" spans="1:21" ht="14" x14ac:dyDescent="0.25">
      <c r="A75" s="1079"/>
      <c r="B75" s="691" t="s">
        <v>388</v>
      </c>
      <c r="C75" s="458">
        <f>C67</f>
        <v>2023</v>
      </c>
      <c r="D75" s="458">
        <f>D67</f>
        <v>2022</v>
      </c>
      <c r="E75" s="458">
        <f>E67</f>
        <v>2020</v>
      </c>
      <c r="F75" s="1084"/>
      <c r="G75" s="1084"/>
      <c r="H75" s="1081"/>
      <c r="I75" s="691" t="s">
        <v>388</v>
      </c>
      <c r="J75" s="458">
        <f>J67</f>
        <v>2022</v>
      </c>
      <c r="K75" s="458">
        <f>K67</f>
        <v>2020</v>
      </c>
      <c r="L75" s="458">
        <f>L67</f>
        <v>2016</v>
      </c>
      <c r="M75" s="1084"/>
      <c r="N75" s="1084"/>
      <c r="O75" s="1081"/>
      <c r="P75" s="691" t="s">
        <v>388</v>
      </c>
      <c r="Q75" s="458">
        <f>Q67</f>
        <v>2022</v>
      </c>
      <c r="R75" s="458">
        <f>R67</f>
        <v>2020</v>
      </c>
      <c r="S75" s="458">
        <f>S67</f>
        <v>2016</v>
      </c>
      <c r="T75" s="1084"/>
      <c r="U75" s="1084"/>
    </row>
    <row r="76" spans="1:21" x14ac:dyDescent="0.25">
      <c r="A76" s="1079"/>
      <c r="B76" s="486">
        <v>0</v>
      </c>
      <c r="C76" s="487">
        <v>0</v>
      </c>
      <c r="D76" s="486">
        <v>0</v>
      </c>
      <c r="E76" s="486">
        <v>9.9999999999999995E-7</v>
      </c>
      <c r="F76" s="270">
        <f t="shared" ref="F76:F81" si="44">0.5*(MAX(D76:E76)-MIN(D76:E76))</f>
        <v>4.9999999999999998E-7</v>
      </c>
      <c r="G76" s="486">
        <f>(0.59/100)*B76</f>
        <v>0</v>
      </c>
      <c r="H76" s="1081"/>
      <c r="I76" s="486">
        <v>0</v>
      </c>
      <c r="J76" s="486">
        <v>9.9999999999999995E-7</v>
      </c>
      <c r="K76" s="486">
        <v>9.9999999999999995E-7</v>
      </c>
      <c r="L76" s="487"/>
      <c r="M76" s="270">
        <f>0.5*(MAX(J76:L76)-MIN(J76:L76))</f>
        <v>0</v>
      </c>
      <c r="N76" s="486">
        <f>(0.59/100)*I76</f>
        <v>0</v>
      </c>
      <c r="O76" s="1081"/>
      <c r="P76" s="486">
        <v>0</v>
      </c>
      <c r="Q76" s="486">
        <v>0</v>
      </c>
      <c r="R76" s="486">
        <v>9.9999999999999995E-7</v>
      </c>
      <c r="S76" s="487"/>
      <c r="T76" s="270">
        <f>0.5*(MAX(Q76:S76)-MIN(Q76:S76))</f>
        <v>4.9999999999999998E-7</v>
      </c>
      <c r="U76" s="486">
        <v>0.12</v>
      </c>
    </row>
    <row r="77" spans="1:21" x14ac:dyDescent="0.25">
      <c r="A77" s="1079"/>
      <c r="B77" s="486">
        <v>50</v>
      </c>
      <c r="C77" s="487">
        <v>5</v>
      </c>
      <c r="D77" s="486">
        <v>1.9</v>
      </c>
      <c r="E77" s="486">
        <v>1.7</v>
      </c>
      <c r="F77" s="270">
        <f t="shared" si="44"/>
        <v>9.9999999999999978E-2</v>
      </c>
      <c r="G77" s="486">
        <f>(0.59/100)*B77</f>
        <v>0.29499999999999998</v>
      </c>
      <c r="H77" s="1081"/>
      <c r="I77" s="486">
        <v>20</v>
      </c>
      <c r="J77" s="66">
        <v>6.6</v>
      </c>
      <c r="K77" s="486">
        <v>0.9</v>
      </c>
      <c r="L77" s="487"/>
      <c r="M77" s="270">
        <f t="shared" ref="M77:M81" si="45">0.5*(MAX(J77:L77)-MIN(J77:L77))</f>
        <v>2.8499999999999996</v>
      </c>
      <c r="N77" s="486">
        <f t="shared" ref="N77:N81" si="46">(0.59/100)*I77</f>
        <v>0.11799999999999999</v>
      </c>
      <c r="O77" s="1081"/>
      <c r="P77" s="486">
        <v>20</v>
      </c>
      <c r="Q77" s="486">
        <v>4.9000000000000004</v>
      </c>
      <c r="R77" s="486">
        <v>0.8</v>
      </c>
      <c r="S77" s="487"/>
      <c r="T77" s="270">
        <f t="shared" ref="T77:T81" si="47">0.5*(MAX(Q77:S77)-MIN(Q77:S77))</f>
        <v>2.0500000000000003</v>
      </c>
      <c r="U77" s="486">
        <f>(0.59/100)*P77</f>
        <v>0.11799999999999999</v>
      </c>
    </row>
    <row r="78" spans="1:21" x14ac:dyDescent="0.25">
      <c r="A78" s="1079"/>
      <c r="B78" s="486">
        <v>100</v>
      </c>
      <c r="C78" s="487">
        <v>6.2</v>
      </c>
      <c r="D78" s="486">
        <v>1.7</v>
      </c>
      <c r="E78" s="486">
        <v>1.7</v>
      </c>
      <c r="F78" s="270">
        <f t="shared" si="44"/>
        <v>0</v>
      </c>
      <c r="G78" s="486">
        <f t="shared" ref="G78:G81" si="48">(0.59/100)*B78</f>
        <v>0.59</v>
      </c>
      <c r="H78" s="1081"/>
      <c r="I78" s="486">
        <v>50</v>
      </c>
      <c r="J78" s="66">
        <v>5</v>
      </c>
      <c r="K78" s="66">
        <v>2.1</v>
      </c>
      <c r="L78" s="487"/>
      <c r="M78" s="270">
        <f t="shared" si="45"/>
        <v>1.45</v>
      </c>
      <c r="N78" s="486">
        <f t="shared" si="46"/>
        <v>0.29499999999999998</v>
      </c>
      <c r="O78" s="1081"/>
      <c r="P78" s="486">
        <v>50</v>
      </c>
      <c r="Q78" s="66">
        <v>9.1999999999999993</v>
      </c>
      <c r="R78" s="66">
        <v>1.7</v>
      </c>
      <c r="S78" s="487"/>
      <c r="T78" s="270">
        <f t="shared" si="47"/>
        <v>3.7499999999999996</v>
      </c>
      <c r="U78" s="486">
        <f>(0.59/100)*P78</f>
        <v>0.29499999999999998</v>
      </c>
    </row>
    <row r="79" spans="1:21" x14ac:dyDescent="0.25">
      <c r="A79" s="1079"/>
      <c r="B79" s="486">
        <v>200</v>
      </c>
      <c r="C79" s="487">
        <v>8.6</v>
      </c>
      <c r="D79" s="486">
        <v>1.5</v>
      </c>
      <c r="E79" s="486">
        <v>0.4</v>
      </c>
      <c r="F79" s="270">
        <f t="shared" si="44"/>
        <v>0.55000000000000004</v>
      </c>
      <c r="G79" s="486">
        <f t="shared" si="48"/>
        <v>1.18</v>
      </c>
      <c r="H79" s="1081"/>
      <c r="I79" s="486">
        <v>200</v>
      </c>
      <c r="J79" s="486">
        <v>-8.1999999999999993</v>
      </c>
      <c r="K79" s="486">
        <v>3.7</v>
      </c>
      <c r="L79" s="487"/>
      <c r="M79" s="270">
        <f t="shared" si="45"/>
        <v>5.9499999999999993</v>
      </c>
      <c r="N79" s="486">
        <f t="shared" si="46"/>
        <v>1.18</v>
      </c>
      <c r="O79" s="1081"/>
      <c r="P79" s="486">
        <v>200</v>
      </c>
      <c r="Q79" s="486">
        <v>-0.2</v>
      </c>
      <c r="R79" s="486">
        <v>3.4</v>
      </c>
      <c r="S79" s="487"/>
      <c r="T79" s="270">
        <f t="shared" si="47"/>
        <v>1.8</v>
      </c>
      <c r="U79" s="486">
        <f>(0.59/100)*P79</f>
        <v>1.18</v>
      </c>
    </row>
    <row r="80" spans="1:21" x14ac:dyDescent="0.25">
      <c r="A80" s="1079"/>
      <c r="B80" s="486">
        <v>500</v>
      </c>
      <c r="C80" s="487">
        <v>9.3000000000000007</v>
      </c>
      <c r="D80" s="486">
        <v>0.9</v>
      </c>
      <c r="E80" s="486">
        <v>3</v>
      </c>
      <c r="F80" s="270">
        <f t="shared" si="44"/>
        <v>1.05</v>
      </c>
      <c r="G80" s="486">
        <f t="shared" si="48"/>
        <v>2.9499999999999997</v>
      </c>
      <c r="H80" s="1081"/>
      <c r="I80" s="486">
        <v>500</v>
      </c>
      <c r="J80" s="486">
        <v>-31.8</v>
      </c>
      <c r="K80" s="486">
        <v>8.3000000000000007</v>
      </c>
      <c r="L80" s="487"/>
      <c r="M80" s="270">
        <f t="shared" si="45"/>
        <v>20.05</v>
      </c>
      <c r="N80" s="486">
        <f t="shared" si="46"/>
        <v>2.9499999999999997</v>
      </c>
      <c r="O80" s="1081"/>
      <c r="P80" s="486">
        <v>500</v>
      </c>
      <c r="Q80" s="486">
        <v>-25.1</v>
      </c>
      <c r="R80" s="486">
        <v>7.2</v>
      </c>
      <c r="S80" s="487"/>
      <c r="T80" s="270">
        <f t="shared" si="47"/>
        <v>16.150000000000002</v>
      </c>
      <c r="U80" s="486">
        <f>(0.59/100)*P80</f>
        <v>2.9499999999999997</v>
      </c>
    </row>
    <row r="81" spans="1:21" x14ac:dyDescent="0.25">
      <c r="A81" s="1079"/>
      <c r="B81" s="486">
        <v>1000</v>
      </c>
      <c r="C81" s="487">
        <v>-88</v>
      </c>
      <c r="D81" s="486">
        <v>0</v>
      </c>
      <c r="E81" s="486">
        <v>9.9999999999999995E-7</v>
      </c>
      <c r="F81" s="270">
        <f t="shared" si="44"/>
        <v>4.9999999999999998E-7</v>
      </c>
      <c r="G81" s="486">
        <f t="shared" si="48"/>
        <v>5.8999999999999995</v>
      </c>
      <c r="H81" s="1081"/>
      <c r="I81" s="486">
        <v>1000</v>
      </c>
      <c r="J81" s="486">
        <v>-74</v>
      </c>
      <c r="K81" s="486">
        <v>9.9999999999999995E-7</v>
      </c>
      <c r="L81" s="487"/>
      <c r="M81" s="270">
        <f t="shared" si="45"/>
        <v>37.000000499999999</v>
      </c>
      <c r="N81" s="486">
        <f t="shared" si="46"/>
        <v>5.8999999999999995</v>
      </c>
      <c r="O81" s="1081"/>
      <c r="P81" s="486">
        <v>1000</v>
      </c>
      <c r="Q81" s="486">
        <v>-6.6000000000000003E-2</v>
      </c>
      <c r="R81" s="486">
        <v>9.9999999999999995E-7</v>
      </c>
      <c r="S81" s="487"/>
      <c r="T81" s="270">
        <f t="shared" si="47"/>
        <v>3.3000500000000002E-2</v>
      </c>
      <c r="U81" s="486">
        <v>2.99</v>
      </c>
    </row>
    <row r="82" spans="1:21" ht="13" x14ac:dyDescent="0.25">
      <c r="A82" s="1079"/>
      <c r="B82" s="1085" t="s">
        <v>272</v>
      </c>
      <c r="C82" s="1085"/>
      <c r="D82" s="1085"/>
      <c r="E82" s="1085"/>
      <c r="F82" s="1084" t="s">
        <v>385</v>
      </c>
      <c r="G82" s="1084" t="s">
        <v>251</v>
      </c>
      <c r="H82" s="1081"/>
      <c r="I82" s="1085" t="s">
        <v>272</v>
      </c>
      <c r="J82" s="1085"/>
      <c r="K82" s="1085"/>
      <c r="L82" s="1085"/>
      <c r="M82" s="1084" t="s">
        <v>385</v>
      </c>
      <c r="N82" s="1084" t="s">
        <v>251</v>
      </c>
      <c r="O82" s="1081"/>
      <c r="P82" s="1085" t="str">
        <f>B82</f>
        <v>Main-PE</v>
      </c>
      <c r="Q82" s="1085"/>
      <c r="R82" s="1085"/>
      <c r="S82" s="1085"/>
      <c r="T82" s="1084" t="s">
        <v>385</v>
      </c>
      <c r="U82" s="1084" t="s">
        <v>251</v>
      </c>
    </row>
    <row r="83" spans="1:21" ht="14.5" x14ac:dyDescent="0.25">
      <c r="A83" s="1079"/>
      <c r="B83" s="691" t="s">
        <v>389</v>
      </c>
      <c r="C83" s="458">
        <f>C67</f>
        <v>2023</v>
      </c>
      <c r="D83" s="458">
        <f>D67</f>
        <v>2022</v>
      </c>
      <c r="E83" s="458">
        <f>E67</f>
        <v>2020</v>
      </c>
      <c r="F83" s="1084"/>
      <c r="G83" s="1084"/>
      <c r="H83" s="1081"/>
      <c r="I83" s="691" t="s">
        <v>389</v>
      </c>
      <c r="J83" s="458">
        <f>J67</f>
        <v>2022</v>
      </c>
      <c r="K83" s="458">
        <f>K67</f>
        <v>2020</v>
      </c>
      <c r="L83" s="458">
        <f>L67</f>
        <v>2016</v>
      </c>
      <c r="M83" s="1084"/>
      <c r="N83" s="1084"/>
      <c r="O83" s="1081"/>
      <c r="P83" s="691" t="s">
        <v>389</v>
      </c>
      <c r="Q83" s="458">
        <f>Q67</f>
        <v>2022</v>
      </c>
      <c r="R83" s="458">
        <f>R67</f>
        <v>2020</v>
      </c>
      <c r="S83" s="458">
        <f>S67</f>
        <v>2016</v>
      </c>
      <c r="T83" s="1084"/>
      <c r="U83" s="1084"/>
    </row>
    <row r="84" spans="1:21" x14ac:dyDescent="0.25">
      <c r="A84" s="1079"/>
      <c r="B84" s="486">
        <v>10</v>
      </c>
      <c r="C84" s="487">
        <v>0</v>
      </c>
      <c r="D84" s="486">
        <v>0</v>
      </c>
      <c r="E84" s="486">
        <v>9.9999999999999995E-7</v>
      </c>
      <c r="F84" s="270">
        <f>0.5*(MAX(D84:E84)-MIN(D84:E84))</f>
        <v>4.9999999999999998E-7</v>
      </c>
      <c r="G84" s="486">
        <f>(1.7/100)*(B84-C84)</f>
        <v>0.17</v>
      </c>
      <c r="H84" s="1081"/>
      <c r="I84" s="486">
        <v>10</v>
      </c>
      <c r="J84" s="486">
        <v>9.9999999999999995E-7</v>
      </c>
      <c r="K84" s="486">
        <v>9.9999999999999995E-7</v>
      </c>
      <c r="L84" s="487"/>
      <c r="M84" s="270">
        <f>0.5*(MAX(J84:L84)-MIN(J84:L84))</f>
        <v>0</v>
      </c>
      <c r="N84" s="486">
        <f>(1.7/100)*I84</f>
        <v>0.17</v>
      </c>
      <c r="O84" s="1081"/>
      <c r="P84" s="486">
        <v>10</v>
      </c>
      <c r="Q84" s="486">
        <v>0</v>
      </c>
      <c r="R84" s="486">
        <v>9.9999999999999995E-7</v>
      </c>
      <c r="S84" s="487"/>
      <c r="T84" s="270">
        <f>0.5*(MAX(Q84:S84)-MIN(Q84:S84))</f>
        <v>4.9999999999999998E-7</v>
      </c>
      <c r="U84" s="486">
        <v>0</v>
      </c>
    </row>
    <row r="85" spans="1:21" x14ac:dyDescent="0.25">
      <c r="A85" s="1079"/>
      <c r="B85" s="486">
        <v>20</v>
      </c>
      <c r="C85" s="487">
        <v>0.1</v>
      </c>
      <c r="D85" s="486">
        <v>0.1</v>
      </c>
      <c r="E85" s="486">
        <v>9.9999999999999995E-7</v>
      </c>
      <c r="F85" s="270">
        <f>0.5*(MAX(D85:E85)-MIN(D85:E85))</f>
        <v>4.9999500000000002E-2</v>
      </c>
      <c r="G85" s="486">
        <f t="shared" ref="G85:G86" si="49">(1.7/100)*(B85-C85)</f>
        <v>0.33829999999999999</v>
      </c>
      <c r="H85" s="1081"/>
      <c r="I85" s="486">
        <v>20</v>
      </c>
      <c r="J85" s="486">
        <v>9.9999999999999995E-7</v>
      </c>
      <c r="K85" s="486">
        <v>9.9999999999999995E-7</v>
      </c>
      <c r="L85" s="487"/>
      <c r="M85" s="270">
        <f t="shared" ref="M85:M87" si="50">0.5*(MAX(J85:L85)-MIN(J85:L85))</f>
        <v>0</v>
      </c>
      <c r="N85" s="486">
        <f t="shared" ref="N85:N87" si="51">(1.7/100)*I85</f>
        <v>0.34</v>
      </c>
      <c r="O85" s="1081"/>
      <c r="P85" s="486">
        <v>20</v>
      </c>
      <c r="Q85" s="486">
        <v>0</v>
      </c>
      <c r="R85" s="486">
        <v>9.9999999999999995E-7</v>
      </c>
      <c r="S85" s="487"/>
      <c r="T85" s="270">
        <f t="shared" ref="T85:T87" si="52">0.5*(MAX(Q85:S85)-MIN(Q85:S85))</f>
        <v>4.9999999999999998E-7</v>
      </c>
      <c r="U85" s="486">
        <v>0</v>
      </c>
    </row>
    <row r="86" spans="1:21" x14ac:dyDescent="0.25">
      <c r="A86" s="1079"/>
      <c r="B86" s="486">
        <v>50</v>
      </c>
      <c r="C86" s="487">
        <v>0.3</v>
      </c>
      <c r="D86" s="486">
        <v>0.5</v>
      </c>
      <c r="E86" s="486">
        <v>9.9999999999999995E-7</v>
      </c>
      <c r="F86" s="270">
        <f>0.5*(MAX(D86:E86)-MIN(D86:E86))</f>
        <v>0.24999950000000001</v>
      </c>
      <c r="G86" s="486">
        <f t="shared" si="49"/>
        <v>0.8449000000000001</v>
      </c>
      <c r="H86" s="1081"/>
      <c r="I86" s="486">
        <v>50</v>
      </c>
      <c r="J86" s="486">
        <v>0.2</v>
      </c>
      <c r="K86" s="486">
        <v>9.9999999999999995E-7</v>
      </c>
      <c r="L86" s="487"/>
      <c r="M86" s="270">
        <f t="shared" si="50"/>
        <v>9.9999500000000005E-2</v>
      </c>
      <c r="N86" s="486">
        <f t="shared" si="51"/>
        <v>0.85000000000000009</v>
      </c>
      <c r="O86" s="1081"/>
      <c r="P86" s="486">
        <v>50</v>
      </c>
      <c r="Q86" s="486">
        <v>0.2</v>
      </c>
      <c r="R86" s="486">
        <v>9.9999999999999995E-7</v>
      </c>
      <c r="S86" s="487"/>
      <c r="T86" s="270">
        <f t="shared" si="52"/>
        <v>9.9999500000000005E-2</v>
      </c>
      <c r="U86" s="486">
        <v>0</v>
      </c>
    </row>
    <row r="87" spans="1:21" x14ac:dyDescent="0.25">
      <c r="A87" s="1079"/>
      <c r="B87" s="486">
        <v>100</v>
      </c>
      <c r="C87" s="487">
        <v>0.8</v>
      </c>
      <c r="D87" s="486">
        <v>0.9</v>
      </c>
      <c r="E87" s="486">
        <v>9.9999999999999995E-7</v>
      </c>
      <c r="F87" s="270">
        <f>0.5*(MAX(D87:E87)-MIN(D87:E87))</f>
        <v>0.4499995</v>
      </c>
      <c r="G87" s="486">
        <f>(1.7/100)*(B87-C87)</f>
        <v>1.6864000000000001</v>
      </c>
      <c r="H87" s="1081"/>
      <c r="I87" s="486">
        <v>100</v>
      </c>
      <c r="J87" s="486">
        <v>0.4</v>
      </c>
      <c r="K87" s="486">
        <v>9.9999999999999995E-7</v>
      </c>
      <c r="L87" s="487"/>
      <c r="M87" s="270">
        <f t="shared" si="50"/>
        <v>0.19999950000000002</v>
      </c>
      <c r="N87" s="486">
        <f t="shared" si="51"/>
        <v>1.7000000000000002</v>
      </c>
      <c r="O87" s="1081"/>
      <c r="P87" s="486">
        <v>100</v>
      </c>
      <c r="Q87" s="486">
        <v>0.6</v>
      </c>
      <c r="R87" s="486">
        <v>9.9999999999999995E-7</v>
      </c>
      <c r="S87" s="487"/>
      <c r="T87" s="270">
        <f t="shared" si="52"/>
        <v>0.29999949999999997</v>
      </c>
      <c r="U87" s="486">
        <v>0</v>
      </c>
    </row>
    <row r="88" spans="1:21" ht="12.75" customHeight="1" x14ac:dyDescent="0.25">
      <c r="A88" s="1079"/>
      <c r="B88" s="1085" t="s">
        <v>271</v>
      </c>
      <c r="C88" s="1085"/>
      <c r="D88" s="1085"/>
      <c r="E88" s="1085"/>
      <c r="F88" s="1084" t="s">
        <v>385</v>
      </c>
      <c r="G88" s="1084" t="s">
        <v>251</v>
      </c>
      <c r="H88" s="1081"/>
      <c r="I88" s="1085" t="s">
        <v>271</v>
      </c>
      <c r="J88" s="1085"/>
      <c r="K88" s="1085"/>
      <c r="L88" s="1085"/>
      <c r="M88" s="1084" t="s">
        <v>385</v>
      </c>
      <c r="N88" s="1089" t="s">
        <v>251</v>
      </c>
      <c r="O88" s="1081"/>
      <c r="P88" s="1085" t="str">
        <f>B88</f>
        <v>Resistance</v>
      </c>
      <c r="Q88" s="1085"/>
      <c r="R88" s="1085"/>
      <c r="S88" s="1085"/>
      <c r="T88" s="1084" t="s">
        <v>385</v>
      </c>
      <c r="U88" s="1084" t="s">
        <v>251</v>
      </c>
    </row>
    <row r="89" spans="1:21" ht="14.5" x14ac:dyDescent="0.25">
      <c r="A89" s="1079"/>
      <c r="B89" s="691" t="s">
        <v>390</v>
      </c>
      <c r="C89" s="458">
        <f>C67</f>
        <v>2023</v>
      </c>
      <c r="D89" s="458">
        <f>D67</f>
        <v>2022</v>
      </c>
      <c r="E89" s="458">
        <f>E67</f>
        <v>2020</v>
      </c>
      <c r="F89" s="1084"/>
      <c r="G89" s="1084"/>
      <c r="H89" s="1081"/>
      <c r="I89" s="691" t="s">
        <v>390</v>
      </c>
      <c r="J89" s="458">
        <f>J67</f>
        <v>2022</v>
      </c>
      <c r="K89" s="458">
        <f>K67</f>
        <v>2020</v>
      </c>
      <c r="L89" s="458">
        <f>L67</f>
        <v>2016</v>
      </c>
      <c r="M89" s="1084"/>
      <c r="N89" s="1090"/>
      <c r="O89" s="1081"/>
      <c r="P89" s="691" t="s">
        <v>390</v>
      </c>
      <c r="Q89" s="458">
        <f>Q67</f>
        <v>2022</v>
      </c>
      <c r="R89" s="458">
        <f>R67</f>
        <v>2020</v>
      </c>
      <c r="S89" s="458">
        <f>S67</f>
        <v>2016</v>
      </c>
      <c r="T89" s="1084"/>
      <c r="U89" s="1084"/>
    </row>
    <row r="90" spans="1:21" x14ac:dyDescent="0.25">
      <c r="A90" s="1079"/>
      <c r="B90" s="486">
        <v>0.01</v>
      </c>
      <c r="C90" s="693">
        <v>0</v>
      </c>
      <c r="D90" s="501">
        <v>0</v>
      </c>
      <c r="E90" s="501">
        <v>9.9999999999999995E-7</v>
      </c>
      <c r="F90" s="270">
        <f>0.5*(MAX(D90:E90)-MIN(D90:E90))</f>
        <v>4.9999999999999998E-7</v>
      </c>
      <c r="G90" s="486">
        <f>(1.2/100)*(B90-C90)</f>
        <v>1.2E-4</v>
      </c>
      <c r="H90" s="1081"/>
      <c r="I90" s="486">
        <v>0.1</v>
      </c>
      <c r="J90" s="78">
        <v>-1E-3</v>
      </c>
      <c r="K90" s="78">
        <v>-1E-3</v>
      </c>
      <c r="L90" s="487"/>
      <c r="M90" s="294">
        <f>0.5*(MAX(J90:L90)-MIN(J90:L90))</f>
        <v>0</v>
      </c>
      <c r="N90" s="486">
        <f>(1.2/100)*I90</f>
        <v>1.2000000000000001E-3</v>
      </c>
      <c r="O90" s="1081"/>
      <c r="P90" s="486">
        <v>1E-3</v>
      </c>
      <c r="Q90" s="66">
        <v>0</v>
      </c>
      <c r="R90" s="66">
        <v>-1E-3</v>
      </c>
      <c r="S90" s="487"/>
      <c r="T90" s="270">
        <f>0.5*(MAX(Q90:S90)-MIN(Q90:S90))</f>
        <v>5.0000000000000001E-4</v>
      </c>
      <c r="U90" s="486">
        <f>(1.2/100)*P90</f>
        <v>1.2E-5</v>
      </c>
    </row>
    <row r="91" spans="1:21" x14ac:dyDescent="0.25">
      <c r="A91" s="1079"/>
      <c r="B91" s="486">
        <v>0.5</v>
      </c>
      <c r="C91" s="693">
        <v>8.0000000000000002E-3</v>
      </c>
      <c r="D91" s="501">
        <v>3.0000000000000001E-3</v>
      </c>
      <c r="E91" s="501">
        <v>9.9999999999999995E-7</v>
      </c>
      <c r="F91" s="270">
        <f>0.5*(MAX(D91:E91)-MIN(D91:E91))</f>
        <v>1.4995E-3</v>
      </c>
      <c r="G91" s="486">
        <f t="shared" ref="G91:G93" si="53">(1.2/100)*(B91-C91)</f>
        <v>5.9040000000000004E-3</v>
      </c>
      <c r="H91" s="1081"/>
      <c r="I91" s="486">
        <v>0.5</v>
      </c>
      <c r="J91" s="501">
        <v>4.0000000000000001E-3</v>
      </c>
      <c r="K91" s="501">
        <v>-3.0000000000000001E-3</v>
      </c>
      <c r="L91" s="487"/>
      <c r="M91" s="294">
        <f t="shared" ref="M91:M93" si="54">0.5*(MAX(J91:L91)-MIN(J91:L91))</f>
        <v>3.5000000000000001E-3</v>
      </c>
      <c r="N91" s="486">
        <f>(1.2/100)*I91</f>
        <v>6.0000000000000001E-3</v>
      </c>
      <c r="O91" s="1081"/>
      <c r="P91" s="486">
        <v>0.10199999999999999</v>
      </c>
      <c r="Q91" s="486">
        <v>1E-3</v>
      </c>
      <c r="R91" s="486">
        <v>-2E-3</v>
      </c>
      <c r="S91" s="487"/>
      <c r="T91" s="270">
        <f t="shared" ref="T91:T93" si="55">0.5*(MAX(Q91:S91)-MIN(Q91:S91))</f>
        <v>1.5E-3</v>
      </c>
      <c r="U91" s="486">
        <f>(1.2/100)*P91</f>
        <v>1.224E-3</v>
      </c>
    </row>
    <row r="92" spans="1:21" x14ac:dyDescent="0.25">
      <c r="A92" s="1079"/>
      <c r="B92" s="486">
        <v>1</v>
      </c>
      <c r="C92" s="693">
        <v>-6.0000000000000001E-3</v>
      </c>
      <c r="D92" s="501">
        <v>2E-3</v>
      </c>
      <c r="E92" s="501">
        <v>-2E-3</v>
      </c>
      <c r="F92" s="270">
        <f>0.5*(MAX(D92:E92)-MIN(D92:E92))</f>
        <v>2E-3</v>
      </c>
      <c r="G92" s="486">
        <f t="shared" si="53"/>
        <v>1.2072000000000001E-2</v>
      </c>
      <c r="H92" s="1081"/>
      <c r="I92" s="486">
        <v>1</v>
      </c>
      <c r="J92" s="501">
        <v>5.0000000000000001E-3</v>
      </c>
      <c r="K92" s="501">
        <v>1E-3</v>
      </c>
      <c r="L92" s="487"/>
      <c r="M92" s="294">
        <f t="shared" si="54"/>
        <v>2E-3</v>
      </c>
      <c r="N92" s="486">
        <f>(1.2/100)*I92</f>
        <v>1.2E-2</v>
      </c>
      <c r="O92" s="1081"/>
      <c r="P92" s="486">
        <v>0.5</v>
      </c>
      <c r="Q92" s="486">
        <v>4.0000000000000001E-3</v>
      </c>
      <c r="R92" s="486">
        <v>9.9999999999999995E-7</v>
      </c>
      <c r="S92" s="487"/>
      <c r="T92" s="270">
        <f t="shared" si="55"/>
        <v>1.9995E-3</v>
      </c>
      <c r="U92" s="486">
        <f>(1.2/100)*P92</f>
        <v>6.0000000000000001E-3</v>
      </c>
    </row>
    <row r="93" spans="1:21" x14ac:dyDescent="0.25">
      <c r="A93" s="1079"/>
      <c r="B93" s="486">
        <v>2</v>
      </c>
      <c r="C93" s="693">
        <v>-8.0000000000000002E-3</v>
      </c>
      <c r="D93" s="501">
        <v>-1E-3</v>
      </c>
      <c r="E93" s="501">
        <v>9.9999999999999995E-7</v>
      </c>
      <c r="F93" s="270">
        <f>0.5*(MAX(D93:E93)-MIN(D93:E93))</f>
        <v>5.0049999999999997E-4</v>
      </c>
      <c r="G93" s="486">
        <f t="shared" si="53"/>
        <v>2.4095999999999999E-2</v>
      </c>
      <c r="H93" s="1081"/>
      <c r="I93" s="486">
        <v>2</v>
      </c>
      <c r="J93" s="501">
        <v>5.0000000000000001E-3</v>
      </c>
      <c r="K93" s="501">
        <v>-1E-3</v>
      </c>
      <c r="L93" s="487"/>
      <c r="M93" s="294">
        <f t="shared" si="54"/>
        <v>3.0000000000000001E-3</v>
      </c>
      <c r="N93" s="486">
        <f>(1.2/100)*I93</f>
        <v>2.4E-2</v>
      </c>
      <c r="O93" s="1081"/>
      <c r="P93" s="495">
        <v>1</v>
      </c>
      <c r="Q93" s="495">
        <v>0</v>
      </c>
      <c r="R93" s="495">
        <v>-1E-3</v>
      </c>
      <c r="S93" s="487"/>
      <c r="T93" s="180">
        <f t="shared" si="55"/>
        <v>5.0000000000000001E-4</v>
      </c>
      <c r="U93" s="486">
        <f>(1.2/100)*P93</f>
        <v>1.2E-2</v>
      </c>
    </row>
    <row r="94" spans="1:21" ht="15.5" x14ac:dyDescent="0.25">
      <c r="A94" s="502"/>
      <c r="B94" s="276"/>
      <c r="C94" s="276"/>
      <c r="D94" s="497"/>
      <c r="E94" s="265"/>
      <c r="F94" s="503"/>
      <c r="H94" s="498"/>
      <c r="I94" s="276"/>
      <c r="J94" s="276"/>
      <c r="K94" s="497"/>
      <c r="L94" s="497"/>
      <c r="M94" s="497"/>
      <c r="O94" s="498"/>
      <c r="P94" s="276"/>
      <c r="Q94" s="276"/>
      <c r="R94" s="497"/>
      <c r="S94" s="497"/>
      <c r="T94" s="497"/>
    </row>
    <row r="95" spans="1:21" ht="14.5" x14ac:dyDescent="0.25">
      <c r="A95" s="1079" t="s">
        <v>401</v>
      </c>
      <c r="B95" s="1088">
        <v>10</v>
      </c>
      <c r="C95" s="1088"/>
      <c r="D95" s="1088"/>
      <c r="E95" s="1088"/>
      <c r="F95" s="1088"/>
      <c r="G95" s="1088"/>
      <c r="H95" s="1081" t="s">
        <v>402</v>
      </c>
      <c r="I95" s="1080">
        <v>11</v>
      </c>
      <c r="J95" s="1080"/>
      <c r="K95" s="1080"/>
      <c r="L95" s="1080"/>
      <c r="M95" s="1080"/>
      <c r="N95" s="1080"/>
      <c r="O95" s="1081" t="s">
        <v>403</v>
      </c>
      <c r="P95" s="1080">
        <v>12</v>
      </c>
      <c r="Q95" s="1080"/>
      <c r="R95" s="1080"/>
      <c r="S95" s="1080"/>
      <c r="T95" s="1080"/>
      <c r="U95" s="1080"/>
    </row>
    <row r="96" spans="1:21" ht="14" x14ac:dyDescent="0.3">
      <c r="A96" s="1079"/>
      <c r="B96" s="1082" t="s">
        <v>383</v>
      </c>
      <c r="C96" s="1082"/>
      <c r="D96" s="1082"/>
      <c r="E96" s="1082"/>
      <c r="F96" s="1082"/>
      <c r="G96" s="1082"/>
      <c r="H96" s="1081"/>
      <c r="I96" s="1083" t="s">
        <v>383</v>
      </c>
      <c r="J96" s="1083"/>
      <c r="K96" s="1083"/>
      <c r="L96" s="1083"/>
      <c r="M96" s="1083"/>
      <c r="N96" s="1083"/>
      <c r="O96" s="1081"/>
      <c r="P96" s="1083" t="s">
        <v>383</v>
      </c>
      <c r="Q96" s="1083"/>
      <c r="R96" s="1083"/>
      <c r="S96" s="1083"/>
      <c r="T96" s="1083"/>
      <c r="U96" s="1083"/>
    </row>
    <row r="97" spans="1:21" ht="13" x14ac:dyDescent="0.25">
      <c r="A97" s="1079"/>
      <c r="B97" s="1084" t="s">
        <v>384</v>
      </c>
      <c r="C97" s="1084"/>
      <c r="D97" s="1084"/>
      <c r="E97" s="1084"/>
      <c r="F97" s="1084" t="s">
        <v>385</v>
      </c>
      <c r="G97" s="1084" t="s">
        <v>251</v>
      </c>
      <c r="H97" s="1081"/>
      <c r="I97" s="1084" t="str">
        <f>B97</f>
        <v>Setting VAC</v>
      </c>
      <c r="J97" s="1084"/>
      <c r="K97" s="1084"/>
      <c r="L97" s="1084"/>
      <c r="M97" s="1084" t="s">
        <v>385</v>
      </c>
      <c r="N97" s="1084" t="s">
        <v>251</v>
      </c>
      <c r="O97" s="1081"/>
      <c r="P97" s="1084" t="str">
        <f>B97</f>
        <v>Setting VAC</v>
      </c>
      <c r="Q97" s="1084"/>
      <c r="R97" s="1084"/>
      <c r="S97" s="1084"/>
      <c r="T97" s="1084" t="s">
        <v>385</v>
      </c>
      <c r="U97" s="1084" t="s">
        <v>251</v>
      </c>
    </row>
    <row r="98" spans="1:21" ht="14" x14ac:dyDescent="0.25">
      <c r="A98" s="1079"/>
      <c r="B98" s="691" t="s">
        <v>386</v>
      </c>
      <c r="C98" s="483">
        <v>2021</v>
      </c>
      <c r="D98" s="483" t="s">
        <v>16</v>
      </c>
      <c r="E98" s="458">
        <v>2016</v>
      </c>
      <c r="F98" s="1084"/>
      <c r="G98" s="1084"/>
      <c r="H98" s="1081"/>
      <c r="I98" s="691" t="s">
        <v>386</v>
      </c>
      <c r="J98" s="483" t="s">
        <v>16</v>
      </c>
      <c r="K98" s="483" t="s">
        <v>16</v>
      </c>
      <c r="L98" s="458">
        <v>2016</v>
      </c>
      <c r="M98" s="1084"/>
      <c r="N98" s="1084"/>
      <c r="O98" s="1081"/>
      <c r="P98" s="691" t="s">
        <v>386</v>
      </c>
      <c r="Q98" s="483" t="s">
        <v>16</v>
      </c>
      <c r="R98" s="483" t="s">
        <v>16</v>
      </c>
      <c r="S98" s="458">
        <v>2016</v>
      </c>
      <c r="T98" s="1084"/>
      <c r="U98" s="1084"/>
    </row>
    <row r="99" spans="1:21" ht="13" x14ac:dyDescent="0.25">
      <c r="A99" s="1079"/>
      <c r="B99" s="692">
        <v>150</v>
      </c>
      <c r="C99" s="486">
        <v>-0.05</v>
      </c>
      <c r="D99" s="504" t="s">
        <v>16</v>
      </c>
      <c r="E99" s="487"/>
      <c r="F99" s="270">
        <f>0.5*(MAX(C99:E99)-MIN(C99:E99))</f>
        <v>0</v>
      </c>
      <c r="G99" s="504" t="s">
        <v>16</v>
      </c>
      <c r="H99" s="1081"/>
      <c r="I99" s="692">
        <v>150</v>
      </c>
      <c r="J99" s="66">
        <v>9.9999999999999995E-7</v>
      </c>
      <c r="K99" s="504" t="s">
        <v>16</v>
      </c>
      <c r="L99" s="487"/>
      <c r="M99" s="270">
        <f>0.5*(MAX(J99:L99)-MIN(J99:L99))</f>
        <v>0</v>
      </c>
      <c r="N99" s="504" t="s">
        <v>16</v>
      </c>
      <c r="O99" s="1081"/>
      <c r="P99" s="692">
        <v>150</v>
      </c>
      <c r="Q99" s="66">
        <v>9.9999999999999995E-7</v>
      </c>
      <c r="R99" s="504" t="s">
        <v>16</v>
      </c>
      <c r="S99" s="487"/>
      <c r="T99" s="270">
        <f>0.5*(MAX(Q99:S99)-MIN(Q99:S99))</f>
        <v>0</v>
      </c>
      <c r="U99" s="504" t="s">
        <v>16</v>
      </c>
    </row>
    <row r="100" spans="1:21" ht="13" x14ac:dyDescent="0.25">
      <c r="A100" s="1079"/>
      <c r="B100" s="692">
        <v>180</v>
      </c>
      <c r="C100" s="486">
        <v>-0.04</v>
      </c>
      <c r="D100" s="488" t="s">
        <v>16</v>
      </c>
      <c r="E100" s="487"/>
      <c r="F100" s="270">
        <f t="shared" ref="F100:F104" si="56">0.5*(MAX(C100:E100)-MIN(C100:E100))</f>
        <v>0</v>
      </c>
      <c r="G100" s="504" t="s">
        <v>16</v>
      </c>
      <c r="H100" s="1081"/>
      <c r="I100" s="692">
        <v>180</v>
      </c>
      <c r="J100" s="66">
        <v>9.9999999999999995E-7</v>
      </c>
      <c r="K100" s="488" t="s">
        <v>16</v>
      </c>
      <c r="L100" s="487"/>
      <c r="M100" s="270">
        <f t="shared" ref="M100:M104" si="57">0.5*(MAX(J100:L100)-MIN(J100:L100))</f>
        <v>0</v>
      </c>
      <c r="N100" s="488" t="s">
        <v>16</v>
      </c>
      <c r="O100" s="1081"/>
      <c r="P100" s="692">
        <v>180</v>
      </c>
      <c r="Q100" s="66">
        <v>9.9999999999999995E-7</v>
      </c>
      <c r="R100" s="488" t="s">
        <v>16</v>
      </c>
      <c r="S100" s="487"/>
      <c r="T100" s="270">
        <f t="shared" ref="T100:T104" si="58">0.5*(MAX(Q100:S100)-MIN(Q100:S100))</f>
        <v>0</v>
      </c>
      <c r="U100" s="488" t="s">
        <v>16</v>
      </c>
    </row>
    <row r="101" spans="1:21" ht="13" x14ac:dyDescent="0.25">
      <c r="A101" s="1079"/>
      <c r="B101" s="486">
        <v>200</v>
      </c>
      <c r="C101" s="486">
        <v>-0.67</v>
      </c>
      <c r="D101" s="488" t="s">
        <v>16</v>
      </c>
      <c r="E101" s="487"/>
      <c r="F101" s="270">
        <f t="shared" si="56"/>
        <v>0</v>
      </c>
      <c r="G101" s="504" t="s">
        <v>16</v>
      </c>
      <c r="H101" s="1081"/>
      <c r="I101" s="486">
        <v>200</v>
      </c>
      <c r="J101" s="486">
        <v>9.9999999999999995E-7</v>
      </c>
      <c r="K101" s="488" t="s">
        <v>16</v>
      </c>
      <c r="L101" s="487"/>
      <c r="M101" s="270">
        <f t="shared" si="57"/>
        <v>0</v>
      </c>
      <c r="N101" s="488" t="s">
        <v>16</v>
      </c>
      <c r="O101" s="1081"/>
      <c r="P101" s="486">
        <v>200</v>
      </c>
      <c r="Q101" s="66">
        <v>9.9999999999999995E-7</v>
      </c>
      <c r="R101" s="488" t="s">
        <v>16</v>
      </c>
      <c r="S101" s="487"/>
      <c r="T101" s="270">
        <f t="shared" si="58"/>
        <v>0</v>
      </c>
      <c r="U101" s="488" t="s">
        <v>16</v>
      </c>
    </row>
    <row r="102" spans="1:21" ht="13" x14ac:dyDescent="0.25">
      <c r="A102" s="1079"/>
      <c r="B102" s="486">
        <v>220</v>
      </c>
      <c r="C102" s="486">
        <v>9.9999999999999995E-7</v>
      </c>
      <c r="D102" s="488" t="s">
        <v>16</v>
      </c>
      <c r="E102" s="487"/>
      <c r="F102" s="270">
        <f t="shared" si="56"/>
        <v>0</v>
      </c>
      <c r="G102" s="504" t="s">
        <v>16</v>
      </c>
      <c r="H102" s="1081"/>
      <c r="I102" s="486">
        <v>220</v>
      </c>
      <c r="J102" s="486">
        <v>9.9999999999999995E-7</v>
      </c>
      <c r="K102" s="488" t="s">
        <v>16</v>
      </c>
      <c r="L102" s="487"/>
      <c r="M102" s="270">
        <f t="shared" si="57"/>
        <v>0</v>
      </c>
      <c r="N102" s="488" t="s">
        <v>16</v>
      </c>
      <c r="O102" s="1081"/>
      <c r="P102" s="486">
        <v>220</v>
      </c>
      <c r="Q102" s="66">
        <v>9.9999999999999995E-7</v>
      </c>
      <c r="R102" s="488" t="s">
        <v>16</v>
      </c>
      <c r="S102" s="487"/>
      <c r="T102" s="270">
        <f t="shared" si="58"/>
        <v>0</v>
      </c>
      <c r="U102" s="488" t="s">
        <v>16</v>
      </c>
    </row>
    <row r="103" spans="1:21" ht="13" x14ac:dyDescent="0.25">
      <c r="A103" s="1079"/>
      <c r="B103" s="486">
        <v>230</v>
      </c>
      <c r="C103" s="486">
        <v>-0.11</v>
      </c>
      <c r="D103" s="488" t="s">
        <v>16</v>
      </c>
      <c r="E103" s="487"/>
      <c r="F103" s="270">
        <f t="shared" si="56"/>
        <v>0</v>
      </c>
      <c r="G103" s="504" t="s">
        <v>16</v>
      </c>
      <c r="H103" s="1081"/>
      <c r="I103" s="486">
        <v>230</v>
      </c>
      <c r="J103" s="486">
        <v>9.9999999999999995E-7</v>
      </c>
      <c r="K103" s="488" t="s">
        <v>16</v>
      </c>
      <c r="L103" s="487"/>
      <c r="M103" s="270">
        <f t="shared" si="57"/>
        <v>0</v>
      </c>
      <c r="N103" s="488" t="s">
        <v>16</v>
      </c>
      <c r="O103" s="1081"/>
      <c r="P103" s="486">
        <v>230</v>
      </c>
      <c r="Q103" s="66">
        <v>9.9999999999999995E-7</v>
      </c>
      <c r="R103" s="488" t="s">
        <v>16</v>
      </c>
      <c r="S103" s="487"/>
      <c r="T103" s="270">
        <f t="shared" si="58"/>
        <v>0</v>
      </c>
      <c r="U103" s="488" t="s">
        <v>16</v>
      </c>
    </row>
    <row r="104" spans="1:21" ht="13" x14ac:dyDescent="0.25">
      <c r="A104" s="1079"/>
      <c r="B104" s="486">
        <v>250</v>
      </c>
      <c r="C104" s="486">
        <v>-0.11</v>
      </c>
      <c r="D104" s="488" t="s">
        <v>16</v>
      </c>
      <c r="E104" s="487"/>
      <c r="F104" s="270">
        <f t="shared" si="56"/>
        <v>0</v>
      </c>
      <c r="G104" s="504" t="s">
        <v>16</v>
      </c>
      <c r="H104" s="1081"/>
      <c r="I104" s="486">
        <v>250</v>
      </c>
      <c r="J104" s="486">
        <v>9.9999999999999995E-7</v>
      </c>
      <c r="K104" s="488" t="s">
        <v>16</v>
      </c>
      <c r="L104" s="487"/>
      <c r="M104" s="270">
        <f t="shared" si="57"/>
        <v>0</v>
      </c>
      <c r="N104" s="488" t="s">
        <v>16</v>
      </c>
      <c r="O104" s="1081"/>
      <c r="P104" s="486">
        <v>250</v>
      </c>
      <c r="Q104" s="66">
        <v>9.9999999999999995E-7</v>
      </c>
      <c r="R104" s="488" t="s">
        <v>16</v>
      </c>
      <c r="S104" s="487"/>
      <c r="T104" s="270">
        <f t="shared" si="58"/>
        <v>0</v>
      </c>
      <c r="U104" s="488" t="s">
        <v>16</v>
      </c>
    </row>
    <row r="105" spans="1:21" ht="13" customHeight="1" x14ac:dyDescent="0.25">
      <c r="A105" s="1079"/>
      <c r="B105" s="1085" t="s">
        <v>387</v>
      </c>
      <c r="C105" s="1085"/>
      <c r="D105" s="1085"/>
      <c r="E105" s="1085"/>
      <c r="F105" s="1084" t="s">
        <v>385</v>
      </c>
      <c r="G105" s="1084" t="s">
        <v>251</v>
      </c>
      <c r="H105" s="1081"/>
      <c r="I105" s="1085" t="str">
        <f>B105</f>
        <v>Current Leakage</v>
      </c>
      <c r="J105" s="1085"/>
      <c r="K105" s="1085"/>
      <c r="L105" s="1085"/>
      <c r="M105" s="1084" t="s">
        <v>385</v>
      </c>
      <c r="N105" s="1084" t="s">
        <v>251</v>
      </c>
      <c r="O105" s="1081"/>
      <c r="P105" s="1085" t="str">
        <f>B105</f>
        <v>Current Leakage</v>
      </c>
      <c r="Q105" s="1085"/>
      <c r="R105" s="1085"/>
      <c r="S105" s="1085"/>
      <c r="T105" s="1084" t="s">
        <v>385</v>
      </c>
      <c r="U105" s="1084" t="s">
        <v>251</v>
      </c>
    </row>
    <row r="106" spans="1:21" ht="14" x14ac:dyDescent="0.25">
      <c r="A106" s="1079"/>
      <c r="B106" s="691" t="s">
        <v>388</v>
      </c>
      <c r="C106" s="458">
        <f>C98</f>
        <v>2021</v>
      </c>
      <c r="D106" s="458" t="str">
        <f>D98</f>
        <v>-</v>
      </c>
      <c r="E106" s="458">
        <f>E98</f>
        <v>2016</v>
      </c>
      <c r="F106" s="1084"/>
      <c r="G106" s="1084"/>
      <c r="H106" s="1081"/>
      <c r="I106" s="691" t="s">
        <v>388</v>
      </c>
      <c r="J106" s="458" t="str">
        <f>J98</f>
        <v>-</v>
      </c>
      <c r="K106" s="458" t="str">
        <f>K98</f>
        <v>-</v>
      </c>
      <c r="L106" s="458">
        <f>L98</f>
        <v>2016</v>
      </c>
      <c r="M106" s="1084"/>
      <c r="N106" s="1084"/>
      <c r="O106" s="1081"/>
      <c r="P106" s="691" t="s">
        <v>388</v>
      </c>
      <c r="Q106" s="458" t="str">
        <f>Q98</f>
        <v>-</v>
      </c>
      <c r="R106" s="458" t="str">
        <f>R98</f>
        <v>-</v>
      </c>
      <c r="S106" s="458">
        <f>S98</f>
        <v>2016</v>
      </c>
      <c r="T106" s="1084"/>
      <c r="U106" s="1084"/>
    </row>
    <row r="107" spans="1:21" ht="13" x14ac:dyDescent="0.25">
      <c r="A107" s="1079"/>
      <c r="B107" s="486">
        <v>0</v>
      </c>
      <c r="C107" s="486">
        <v>9.9999999999999995E-7</v>
      </c>
      <c r="D107" s="504" t="s">
        <v>16</v>
      </c>
      <c r="E107" s="487"/>
      <c r="F107" s="270">
        <f>0.5*(MAX(C107:E107)-MIN(C107:E107))</f>
        <v>0</v>
      </c>
      <c r="G107" s="504" t="s">
        <v>16</v>
      </c>
      <c r="H107" s="1081"/>
      <c r="I107" s="486">
        <v>0</v>
      </c>
      <c r="J107" s="486">
        <v>9.9999999999999995E-7</v>
      </c>
      <c r="K107" s="504" t="s">
        <v>16</v>
      </c>
      <c r="L107" s="487"/>
      <c r="M107" s="270">
        <f>0.5*(MAX(J107:L107)-MIN(J107:L107))</f>
        <v>0</v>
      </c>
      <c r="N107" s="504" t="s">
        <v>16</v>
      </c>
      <c r="O107" s="1081"/>
      <c r="P107" s="486">
        <v>0</v>
      </c>
      <c r="Q107" s="486">
        <v>9.9999999999999995E-7</v>
      </c>
      <c r="R107" s="504" t="s">
        <v>16</v>
      </c>
      <c r="S107" s="487"/>
      <c r="T107" s="270">
        <f>0.5*(MAX(Q107:S107)-MIN(Q107:S107))</f>
        <v>0</v>
      </c>
      <c r="U107" s="504" t="s">
        <v>16</v>
      </c>
    </row>
    <row r="108" spans="1:21" ht="13" x14ac:dyDescent="0.25">
      <c r="A108" s="1079"/>
      <c r="B108" s="486">
        <v>50</v>
      </c>
      <c r="C108" s="486">
        <v>0.4</v>
      </c>
      <c r="D108" s="488" t="s">
        <v>16</v>
      </c>
      <c r="E108" s="487"/>
      <c r="F108" s="270">
        <f t="shared" ref="F108:F112" si="59">0.5*(MAX(C108:E108)-MIN(C108:E108))</f>
        <v>0</v>
      </c>
      <c r="G108" s="504" t="s">
        <v>16</v>
      </c>
      <c r="H108" s="1081"/>
      <c r="I108" s="486">
        <v>50</v>
      </c>
      <c r="J108" s="486">
        <v>9.9999999999999995E-7</v>
      </c>
      <c r="K108" s="488" t="s">
        <v>16</v>
      </c>
      <c r="L108" s="487"/>
      <c r="M108" s="270">
        <f t="shared" ref="M108:M112" si="60">0.5*(MAX(J108:L108)-MIN(J108:L108))</f>
        <v>0</v>
      </c>
      <c r="N108" s="488" t="s">
        <v>16</v>
      </c>
      <c r="O108" s="1081"/>
      <c r="P108" s="486">
        <v>50</v>
      </c>
      <c r="Q108" s="486">
        <v>9.9999999999999995E-7</v>
      </c>
      <c r="R108" s="488" t="s">
        <v>16</v>
      </c>
      <c r="S108" s="487"/>
      <c r="T108" s="270">
        <f t="shared" ref="T108:T112" si="61">0.5*(MAX(Q108:S108)-MIN(Q108:S108))</f>
        <v>0</v>
      </c>
      <c r="U108" s="488" t="s">
        <v>16</v>
      </c>
    </row>
    <row r="109" spans="1:21" ht="13" x14ac:dyDescent="0.25">
      <c r="A109" s="1079"/>
      <c r="B109" s="486">
        <v>100</v>
      </c>
      <c r="C109" s="486">
        <v>0.4</v>
      </c>
      <c r="D109" s="488" t="s">
        <v>16</v>
      </c>
      <c r="E109" s="487"/>
      <c r="F109" s="270">
        <f t="shared" si="59"/>
        <v>0</v>
      </c>
      <c r="G109" s="504" t="s">
        <v>16</v>
      </c>
      <c r="H109" s="1081"/>
      <c r="I109" s="486">
        <v>100</v>
      </c>
      <c r="J109" s="66">
        <v>9.9999999999999995E-7</v>
      </c>
      <c r="K109" s="488" t="s">
        <v>16</v>
      </c>
      <c r="L109" s="487"/>
      <c r="M109" s="270">
        <f t="shared" si="60"/>
        <v>0</v>
      </c>
      <c r="N109" s="488" t="s">
        <v>16</v>
      </c>
      <c r="O109" s="1081"/>
      <c r="P109" s="486">
        <v>100</v>
      </c>
      <c r="Q109" s="486">
        <v>9.9999999999999995E-7</v>
      </c>
      <c r="R109" s="488" t="s">
        <v>16</v>
      </c>
      <c r="S109" s="487"/>
      <c r="T109" s="270">
        <f t="shared" si="61"/>
        <v>0</v>
      </c>
      <c r="U109" s="488" t="s">
        <v>16</v>
      </c>
    </row>
    <row r="110" spans="1:21" ht="13" x14ac:dyDescent="0.25">
      <c r="A110" s="1079"/>
      <c r="B110" s="486">
        <v>200</v>
      </c>
      <c r="C110" s="486">
        <v>0.4</v>
      </c>
      <c r="D110" s="488" t="s">
        <v>16</v>
      </c>
      <c r="E110" s="487"/>
      <c r="F110" s="270">
        <f t="shared" si="59"/>
        <v>0</v>
      </c>
      <c r="G110" s="504" t="s">
        <v>16</v>
      </c>
      <c r="H110" s="1081"/>
      <c r="I110" s="486">
        <v>200</v>
      </c>
      <c r="J110" s="486">
        <v>9.9999999999999995E-7</v>
      </c>
      <c r="K110" s="488" t="s">
        <v>16</v>
      </c>
      <c r="L110" s="487"/>
      <c r="M110" s="270">
        <f t="shared" si="60"/>
        <v>0</v>
      </c>
      <c r="N110" s="488" t="s">
        <v>16</v>
      </c>
      <c r="O110" s="1081"/>
      <c r="P110" s="486">
        <v>200</v>
      </c>
      <c r="Q110" s="486">
        <v>9.9999999999999995E-7</v>
      </c>
      <c r="R110" s="488" t="s">
        <v>16</v>
      </c>
      <c r="S110" s="487"/>
      <c r="T110" s="270">
        <f t="shared" si="61"/>
        <v>0</v>
      </c>
      <c r="U110" s="488" t="s">
        <v>16</v>
      </c>
    </row>
    <row r="111" spans="1:21" ht="13" x14ac:dyDescent="0.25">
      <c r="A111" s="1079"/>
      <c r="B111" s="486">
        <v>500</v>
      </c>
      <c r="C111" s="486">
        <v>1.5</v>
      </c>
      <c r="D111" s="488" t="s">
        <v>16</v>
      </c>
      <c r="E111" s="487"/>
      <c r="F111" s="270">
        <f t="shared" si="59"/>
        <v>0</v>
      </c>
      <c r="G111" s="504" t="s">
        <v>16</v>
      </c>
      <c r="H111" s="1081"/>
      <c r="I111" s="486">
        <v>500</v>
      </c>
      <c r="J111" s="486">
        <v>9.9999999999999995E-7</v>
      </c>
      <c r="K111" s="488" t="s">
        <v>16</v>
      </c>
      <c r="L111" s="487"/>
      <c r="M111" s="270">
        <f t="shared" si="60"/>
        <v>0</v>
      </c>
      <c r="N111" s="488" t="s">
        <v>16</v>
      </c>
      <c r="O111" s="1081"/>
      <c r="P111" s="486">
        <v>500</v>
      </c>
      <c r="Q111" s="486">
        <v>9.9999999999999995E-7</v>
      </c>
      <c r="R111" s="488" t="s">
        <v>16</v>
      </c>
      <c r="S111" s="487"/>
      <c r="T111" s="270">
        <f t="shared" si="61"/>
        <v>0</v>
      </c>
      <c r="U111" s="488" t="s">
        <v>16</v>
      </c>
    </row>
    <row r="112" spans="1:21" ht="13" x14ac:dyDescent="0.25">
      <c r="A112" s="1079"/>
      <c r="B112" s="486">
        <v>1000</v>
      </c>
      <c r="C112" s="486">
        <v>2</v>
      </c>
      <c r="D112" s="488" t="s">
        <v>16</v>
      </c>
      <c r="E112" s="487"/>
      <c r="F112" s="270">
        <f t="shared" si="59"/>
        <v>0</v>
      </c>
      <c r="G112" s="504" t="s">
        <v>16</v>
      </c>
      <c r="H112" s="1081"/>
      <c r="I112" s="486">
        <v>1000</v>
      </c>
      <c r="J112" s="486">
        <v>9.9999999999999995E-7</v>
      </c>
      <c r="K112" s="488" t="s">
        <v>16</v>
      </c>
      <c r="L112" s="487"/>
      <c r="M112" s="270">
        <f t="shared" si="60"/>
        <v>0</v>
      </c>
      <c r="N112" s="488" t="s">
        <v>16</v>
      </c>
      <c r="O112" s="1081"/>
      <c r="P112" s="486">
        <v>1000</v>
      </c>
      <c r="Q112" s="486">
        <v>9.9999999999999995E-7</v>
      </c>
      <c r="R112" s="488" t="s">
        <v>16</v>
      </c>
      <c r="S112" s="487"/>
      <c r="T112" s="270">
        <f t="shared" si="61"/>
        <v>0</v>
      </c>
      <c r="U112" s="488" t="s">
        <v>16</v>
      </c>
    </row>
    <row r="113" spans="1:21" ht="13" x14ac:dyDescent="0.25">
      <c r="A113" s="1079"/>
      <c r="B113" s="1085" t="s">
        <v>272</v>
      </c>
      <c r="C113" s="1085"/>
      <c r="D113" s="1085"/>
      <c r="E113" s="1085"/>
      <c r="F113" s="1084" t="s">
        <v>385</v>
      </c>
      <c r="G113" s="1084" t="s">
        <v>251</v>
      </c>
      <c r="H113" s="1081"/>
      <c r="I113" s="1085" t="s">
        <v>272</v>
      </c>
      <c r="J113" s="1085"/>
      <c r="K113" s="1085"/>
      <c r="L113" s="1085"/>
      <c r="M113" s="1084" t="s">
        <v>385</v>
      </c>
      <c r="N113" s="1084" t="s">
        <v>251</v>
      </c>
      <c r="O113" s="1081"/>
      <c r="P113" s="1085" t="str">
        <f>B113</f>
        <v>Main-PE</v>
      </c>
      <c r="Q113" s="1085"/>
      <c r="R113" s="1085"/>
      <c r="S113" s="1085"/>
      <c r="T113" s="1084" t="s">
        <v>385</v>
      </c>
      <c r="U113" s="1084" t="s">
        <v>251</v>
      </c>
    </row>
    <row r="114" spans="1:21" ht="14.5" x14ac:dyDescent="0.25">
      <c r="A114" s="1079"/>
      <c r="B114" s="691" t="s">
        <v>389</v>
      </c>
      <c r="C114" s="458">
        <f>C98</f>
        <v>2021</v>
      </c>
      <c r="D114" s="458" t="str">
        <f>D98</f>
        <v>-</v>
      </c>
      <c r="E114" s="458">
        <f>E98</f>
        <v>2016</v>
      </c>
      <c r="F114" s="1084"/>
      <c r="G114" s="1084"/>
      <c r="H114" s="1081"/>
      <c r="I114" s="691" t="s">
        <v>389</v>
      </c>
      <c r="J114" s="458" t="str">
        <f>J98</f>
        <v>-</v>
      </c>
      <c r="K114" s="458" t="str">
        <f>K98</f>
        <v>-</v>
      </c>
      <c r="L114" s="458">
        <f>L98</f>
        <v>2016</v>
      </c>
      <c r="M114" s="1084"/>
      <c r="N114" s="1084"/>
      <c r="O114" s="1081"/>
      <c r="P114" s="691" t="s">
        <v>389</v>
      </c>
      <c r="Q114" s="458" t="str">
        <f>Q98</f>
        <v>-</v>
      </c>
      <c r="R114" s="458" t="str">
        <f>R98</f>
        <v>-</v>
      </c>
      <c r="S114" s="458">
        <f>S98</f>
        <v>2016</v>
      </c>
      <c r="T114" s="1084"/>
      <c r="U114" s="1084"/>
    </row>
    <row r="115" spans="1:21" x14ac:dyDescent="0.25">
      <c r="A115" s="1079"/>
      <c r="B115" s="486">
        <v>10</v>
      </c>
      <c r="C115" s="486">
        <v>9.9999999999999995E-7</v>
      </c>
      <c r="D115" s="488" t="s">
        <v>16</v>
      </c>
      <c r="E115" s="487"/>
      <c r="F115" s="270">
        <f>0.5*(MAX(C115:E115)-MIN(C115:E115))</f>
        <v>0</v>
      </c>
      <c r="G115" s="491" t="s">
        <v>16</v>
      </c>
      <c r="H115" s="1081"/>
      <c r="I115" s="486">
        <v>10</v>
      </c>
      <c r="J115" s="486">
        <v>9.9999999999999995E-7</v>
      </c>
      <c r="K115" s="488" t="s">
        <v>16</v>
      </c>
      <c r="L115" s="487"/>
      <c r="M115" s="270">
        <f>0.5*(MAX(J115:L115)-MIN(J115:L115))</f>
        <v>0</v>
      </c>
      <c r="N115" s="488" t="s">
        <v>16</v>
      </c>
      <c r="O115" s="1081"/>
      <c r="P115" s="486">
        <v>10</v>
      </c>
      <c r="Q115" s="486">
        <v>9.9999999999999995E-7</v>
      </c>
      <c r="R115" s="488" t="s">
        <v>16</v>
      </c>
      <c r="S115" s="487"/>
      <c r="T115" s="270">
        <f>0.5*(MAX(Q115:S115)-MIN(Q115:S115))</f>
        <v>0</v>
      </c>
      <c r="U115" s="488" t="s">
        <v>16</v>
      </c>
    </row>
    <row r="116" spans="1:21" x14ac:dyDescent="0.25">
      <c r="A116" s="1079"/>
      <c r="B116" s="486">
        <v>20</v>
      </c>
      <c r="C116" s="486">
        <v>0.1</v>
      </c>
      <c r="D116" s="488" t="s">
        <v>16</v>
      </c>
      <c r="E116" s="487"/>
      <c r="F116" s="270">
        <f t="shared" ref="F116:F118" si="62">0.5*(MAX(C116:E116)-MIN(C116:E116))</f>
        <v>0</v>
      </c>
      <c r="G116" s="491" t="s">
        <v>16</v>
      </c>
      <c r="H116" s="1081"/>
      <c r="I116" s="486">
        <v>20</v>
      </c>
      <c r="J116" s="486">
        <v>9.9999999999999995E-7</v>
      </c>
      <c r="K116" s="488" t="s">
        <v>16</v>
      </c>
      <c r="L116" s="487"/>
      <c r="M116" s="270">
        <f t="shared" ref="M116:M118" si="63">0.5*(MAX(J116:L116)-MIN(J116:L116))</f>
        <v>0</v>
      </c>
      <c r="N116" s="488" t="s">
        <v>16</v>
      </c>
      <c r="O116" s="1081"/>
      <c r="P116" s="486">
        <v>20</v>
      </c>
      <c r="Q116" s="486">
        <v>9.9999999999999995E-7</v>
      </c>
      <c r="R116" s="488" t="s">
        <v>16</v>
      </c>
      <c r="S116" s="487"/>
      <c r="T116" s="270">
        <f t="shared" ref="T116:T118" si="64">0.5*(MAX(Q116:S116)-MIN(Q116:S116))</f>
        <v>0</v>
      </c>
      <c r="U116" s="488" t="s">
        <v>16</v>
      </c>
    </row>
    <row r="117" spans="1:21" x14ac:dyDescent="0.25">
      <c r="A117" s="1079"/>
      <c r="B117" s="486">
        <v>50</v>
      </c>
      <c r="C117" s="486">
        <v>0.4</v>
      </c>
      <c r="D117" s="491" t="s">
        <v>16</v>
      </c>
      <c r="E117" s="487"/>
      <c r="F117" s="270">
        <f t="shared" si="62"/>
        <v>0</v>
      </c>
      <c r="G117" s="491" t="s">
        <v>16</v>
      </c>
      <c r="H117" s="1081"/>
      <c r="I117" s="486">
        <v>50</v>
      </c>
      <c r="J117" s="486">
        <v>9.9999999999999995E-7</v>
      </c>
      <c r="K117" s="491" t="s">
        <v>16</v>
      </c>
      <c r="L117" s="487"/>
      <c r="M117" s="270">
        <f t="shared" si="63"/>
        <v>0</v>
      </c>
      <c r="N117" s="491" t="s">
        <v>16</v>
      </c>
      <c r="O117" s="1081"/>
      <c r="P117" s="486">
        <v>50</v>
      </c>
      <c r="Q117" s="486">
        <v>9.9999999999999995E-7</v>
      </c>
      <c r="R117" s="491" t="s">
        <v>16</v>
      </c>
      <c r="S117" s="487"/>
      <c r="T117" s="270">
        <f t="shared" si="64"/>
        <v>0</v>
      </c>
      <c r="U117" s="491" t="s">
        <v>16</v>
      </c>
    </row>
    <row r="118" spans="1:21" x14ac:dyDescent="0.25">
      <c r="A118" s="1079"/>
      <c r="B118" s="486">
        <v>100</v>
      </c>
      <c r="C118" s="486">
        <v>1.4</v>
      </c>
      <c r="D118" s="491" t="s">
        <v>16</v>
      </c>
      <c r="E118" s="487"/>
      <c r="F118" s="270">
        <f t="shared" si="62"/>
        <v>0</v>
      </c>
      <c r="G118" s="491" t="s">
        <v>16</v>
      </c>
      <c r="H118" s="1081"/>
      <c r="I118" s="486">
        <v>100</v>
      </c>
      <c r="J118" s="486">
        <v>9.9999999999999995E-7</v>
      </c>
      <c r="K118" s="491" t="s">
        <v>16</v>
      </c>
      <c r="L118" s="487"/>
      <c r="M118" s="270">
        <f t="shared" si="63"/>
        <v>0</v>
      </c>
      <c r="N118" s="491" t="s">
        <v>16</v>
      </c>
      <c r="O118" s="1081"/>
      <c r="P118" s="486">
        <v>100</v>
      </c>
      <c r="Q118" s="486">
        <v>9.9999999999999995E-7</v>
      </c>
      <c r="R118" s="491" t="s">
        <v>16</v>
      </c>
      <c r="S118" s="487"/>
      <c r="T118" s="270">
        <f t="shared" si="64"/>
        <v>0</v>
      </c>
      <c r="U118" s="491" t="s">
        <v>16</v>
      </c>
    </row>
    <row r="119" spans="1:21" ht="13" customHeight="1" x14ac:dyDescent="0.25">
      <c r="A119" s="1079"/>
      <c r="B119" s="1085" t="s">
        <v>271</v>
      </c>
      <c r="C119" s="1085"/>
      <c r="D119" s="1085"/>
      <c r="E119" s="1085"/>
      <c r="F119" s="1084" t="s">
        <v>385</v>
      </c>
      <c r="G119" s="1084" t="s">
        <v>251</v>
      </c>
      <c r="H119" s="1081"/>
      <c r="I119" s="1085" t="s">
        <v>271</v>
      </c>
      <c r="J119" s="1085"/>
      <c r="K119" s="1085"/>
      <c r="L119" s="1085"/>
      <c r="M119" s="1084" t="s">
        <v>385</v>
      </c>
      <c r="N119" s="1084" t="s">
        <v>251</v>
      </c>
      <c r="O119" s="1081"/>
      <c r="P119" s="1085" t="str">
        <f>B119</f>
        <v>Resistance</v>
      </c>
      <c r="Q119" s="1085"/>
      <c r="R119" s="1085"/>
      <c r="S119" s="1085"/>
      <c r="T119" s="1084" t="s">
        <v>385</v>
      </c>
      <c r="U119" s="1084" t="s">
        <v>251</v>
      </c>
    </row>
    <row r="120" spans="1:21" ht="14.5" x14ac:dyDescent="0.25">
      <c r="A120" s="1079"/>
      <c r="B120" s="691" t="s">
        <v>390</v>
      </c>
      <c r="C120" s="458">
        <f>C98</f>
        <v>2021</v>
      </c>
      <c r="D120" s="458" t="str">
        <f>D98</f>
        <v>-</v>
      </c>
      <c r="E120" s="458">
        <f>E98</f>
        <v>2016</v>
      </c>
      <c r="F120" s="1084"/>
      <c r="G120" s="1084"/>
      <c r="H120" s="1081"/>
      <c r="I120" s="691" t="s">
        <v>390</v>
      </c>
      <c r="J120" s="458" t="str">
        <f>J98</f>
        <v>-</v>
      </c>
      <c r="K120" s="458" t="str">
        <f>K98</f>
        <v>-</v>
      </c>
      <c r="L120" s="458">
        <f>L98</f>
        <v>2016</v>
      </c>
      <c r="M120" s="1084"/>
      <c r="N120" s="1084"/>
      <c r="O120" s="1081"/>
      <c r="P120" s="691" t="s">
        <v>390</v>
      </c>
      <c r="Q120" s="458" t="str">
        <f>Q98</f>
        <v>-</v>
      </c>
      <c r="R120" s="458" t="str">
        <f>R98</f>
        <v>-</v>
      </c>
      <c r="S120" s="458">
        <f>S98</f>
        <v>2016</v>
      </c>
      <c r="T120" s="1084"/>
      <c r="U120" s="1084"/>
    </row>
    <row r="121" spans="1:21" x14ac:dyDescent="0.25">
      <c r="A121" s="1079"/>
      <c r="B121" s="486">
        <v>0</v>
      </c>
      <c r="C121" s="486">
        <v>9.9999999999999995E-7</v>
      </c>
      <c r="D121" s="491" t="s">
        <v>16</v>
      </c>
      <c r="E121" s="487"/>
      <c r="F121" s="270">
        <f>0.5*(MAX(C121:E121)-MIN(C121:E121))</f>
        <v>0</v>
      </c>
      <c r="G121" s="491" t="s">
        <v>16</v>
      </c>
      <c r="H121" s="1081"/>
      <c r="I121" s="486">
        <v>0.01</v>
      </c>
      <c r="J121" s="66">
        <v>9.9999999999999995E-7</v>
      </c>
      <c r="K121" s="491" t="s">
        <v>16</v>
      </c>
      <c r="L121" s="487"/>
      <c r="M121" s="270">
        <f>0.5*(MAX(J121:L121)-MIN(J121:L121))</f>
        <v>0</v>
      </c>
      <c r="N121" s="491" t="s">
        <v>16</v>
      </c>
      <c r="O121" s="1081"/>
      <c r="P121" s="486">
        <v>0.01</v>
      </c>
      <c r="Q121" s="66">
        <v>9.9999999999999995E-7</v>
      </c>
      <c r="R121" s="491" t="s">
        <v>16</v>
      </c>
      <c r="S121" s="487"/>
      <c r="T121" s="270">
        <f>0.5*(MAX(Q121:S121)-MIN(Q121:S121))</f>
        <v>0</v>
      </c>
      <c r="U121" s="491" t="s">
        <v>16</v>
      </c>
    </row>
    <row r="122" spans="1:21" x14ac:dyDescent="0.25">
      <c r="A122" s="1079"/>
      <c r="B122" s="486">
        <v>0.1</v>
      </c>
      <c r="C122" s="486">
        <v>-2E-3</v>
      </c>
      <c r="D122" s="488" t="s">
        <v>16</v>
      </c>
      <c r="E122" s="487"/>
      <c r="F122" s="270">
        <f t="shared" ref="F122:F124" si="65">0.5*(MAX(C122:E122)-MIN(C122:E122))</f>
        <v>0</v>
      </c>
      <c r="G122" s="491" t="s">
        <v>16</v>
      </c>
      <c r="H122" s="1081"/>
      <c r="I122" s="486">
        <v>0.1</v>
      </c>
      <c r="J122" s="486">
        <v>9.9999999999999995E-7</v>
      </c>
      <c r="K122" s="488" t="s">
        <v>16</v>
      </c>
      <c r="L122" s="487"/>
      <c r="M122" s="270">
        <f t="shared" ref="M122:M124" si="66">0.5*(MAX(J122:L122)-MIN(J122:L122))</f>
        <v>0</v>
      </c>
      <c r="N122" s="488" t="s">
        <v>16</v>
      </c>
      <c r="O122" s="1081"/>
      <c r="P122" s="486">
        <v>0.1</v>
      </c>
      <c r="Q122" s="66">
        <v>9.9999999999999995E-7</v>
      </c>
      <c r="R122" s="488" t="s">
        <v>16</v>
      </c>
      <c r="S122" s="487"/>
      <c r="T122" s="270">
        <f t="shared" ref="T122:T124" si="67">0.5*(MAX(Q122:S122)-MIN(Q122:S122))</f>
        <v>0</v>
      </c>
      <c r="U122" s="488" t="s">
        <v>16</v>
      </c>
    </row>
    <row r="123" spans="1:21" x14ac:dyDescent="0.25">
      <c r="A123" s="1079"/>
      <c r="B123" s="486">
        <v>1</v>
      </c>
      <c r="C123" s="486">
        <v>-8.0000000000000002E-3</v>
      </c>
      <c r="D123" s="488" t="s">
        <v>16</v>
      </c>
      <c r="E123" s="487"/>
      <c r="F123" s="270">
        <f t="shared" si="65"/>
        <v>0</v>
      </c>
      <c r="G123" s="491" t="s">
        <v>16</v>
      </c>
      <c r="H123" s="1081"/>
      <c r="I123" s="486">
        <v>1</v>
      </c>
      <c r="J123" s="486">
        <v>9.9999999999999995E-7</v>
      </c>
      <c r="K123" s="488" t="s">
        <v>16</v>
      </c>
      <c r="L123" s="487"/>
      <c r="M123" s="270">
        <f t="shared" si="66"/>
        <v>0</v>
      </c>
      <c r="N123" s="488" t="s">
        <v>16</v>
      </c>
      <c r="O123" s="1081"/>
      <c r="P123" s="486">
        <v>1</v>
      </c>
      <c r="Q123" s="66">
        <v>9.9999999999999995E-7</v>
      </c>
      <c r="R123" s="488" t="s">
        <v>16</v>
      </c>
      <c r="S123" s="487"/>
      <c r="T123" s="270">
        <f t="shared" si="67"/>
        <v>0</v>
      </c>
      <c r="U123" s="488" t="s">
        <v>16</v>
      </c>
    </row>
    <row r="124" spans="1:21" x14ac:dyDescent="0.25">
      <c r="A124" s="1079"/>
      <c r="B124" s="486">
        <v>2</v>
      </c>
      <c r="C124" s="486">
        <v>-7.0000000000000001E-3</v>
      </c>
      <c r="D124" s="488" t="s">
        <v>16</v>
      </c>
      <c r="E124" s="487"/>
      <c r="F124" s="270">
        <f t="shared" si="65"/>
        <v>0</v>
      </c>
      <c r="G124" s="491" t="s">
        <v>16</v>
      </c>
      <c r="H124" s="1081"/>
      <c r="I124" s="486">
        <v>2</v>
      </c>
      <c r="J124" s="486">
        <v>9.9999999999999995E-7</v>
      </c>
      <c r="K124" s="488" t="s">
        <v>16</v>
      </c>
      <c r="L124" s="487"/>
      <c r="M124" s="270">
        <f t="shared" si="66"/>
        <v>0</v>
      </c>
      <c r="N124" s="488" t="s">
        <v>16</v>
      </c>
      <c r="O124" s="1081"/>
      <c r="P124" s="486">
        <v>2</v>
      </c>
      <c r="Q124" s="66">
        <v>9.9999999999999995E-7</v>
      </c>
      <c r="R124" s="488" t="s">
        <v>16</v>
      </c>
      <c r="S124" s="487"/>
      <c r="T124" s="270">
        <f t="shared" si="67"/>
        <v>0</v>
      </c>
      <c r="U124" s="488" t="s">
        <v>16</v>
      </c>
    </row>
    <row r="125" spans="1:21" ht="15.5" x14ac:dyDescent="0.25">
      <c r="A125" s="1092"/>
      <c r="B125" s="1093"/>
      <c r="C125" s="1093"/>
      <c r="D125" s="1093"/>
      <c r="E125" s="1093"/>
      <c r="F125" s="1093"/>
      <c r="G125" s="1093"/>
      <c r="H125" s="1093"/>
      <c r="I125" s="1093"/>
      <c r="J125" s="1093"/>
      <c r="K125" s="1093"/>
      <c r="L125" s="1093"/>
      <c r="M125" s="1093"/>
      <c r="N125" s="1093"/>
      <c r="O125" s="1093"/>
      <c r="P125" s="1093"/>
      <c r="Q125" s="1093"/>
      <c r="R125" s="1093"/>
      <c r="S125" s="1093"/>
      <c r="T125" s="1093"/>
      <c r="U125" s="1093"/>
    </row>
    <row r="126" spans="1:21" ht="15.5" x14ac:dyDescent="0.25">
      <c r="A126" s="1092"/>
      <c r="B126" s="1093"/>
      <c r="C126" s="1093"/>
      <c r="D126" s="1093"/>
      <c r="E126" s="1093"/>
      <c r="F126" s="1093"/>
      <c r="G126" s="1093"/>
      <c r="H126" s="1093"/>
      <c r="I126" s="1093"/>
      <c r="J126" s="1093"/>
      <c r="K126" s="1093"/>
      <c r="L126" s="1093"/>
      <c r="M126" s="1093"/>
      <c r="N126" s="1093"/>
      <c r="O126" s="1093"/>
      <c r="P126" s="1093"/>
      <c r="Q126" s="1093"/>
      <c r="R126" s="1093"/>
      <c r="S126" s="1093"/>
      <c r="T126" s="1093"/>
      <c r="U126" s="1093"/>
    </row>
    <row r="127" spans="1:21" x14ac:dyDescent="0.25">
      <c r="A127" s="505"/>
      <c r="B127" s="280"/>
      <c r="C127" s="280"/>
      <c r="D127" s="506"/>
      <c r="E127" s="506"/>
      <c r="F127" s="506"/>
      <c r="G127" s="506"/>
      <c r="H127" s="506"/>
      <c r="I127" s="506"/>
      <c r="J127" s="506"/>
      <c r="K127" s="506"/>
      <c r="L127" s="506"/>
      <c r="M127" s="506"/>
      <c r="N127" s="506"/>
      <c r="O127" s="506"/>
      <c r="P127" s="506"/>
      <c r="Q127" s="506"/>
    </row>
    <row r="128" spans="1:21" ht="14" x14ac:dyDescent="0.3">
      <c r="A128" s="1072" t="s">
        <v>404</v>
      </c>
      <c r="B128" s="1073"/>
      <c r="C128" s="1074" t="s">
        <v>383</v>
      </c>
      <c r="D128" s="1074"/>
      <c r="E128" s="1074"/>
      <c r="F128" s="1074"/>
      <c r="G128" s="1074"/>
      <c r="H128" s="1074"/>
      <c r="J128" s="1072" t="str">
        <f>A128</f>
        <v>No. Urut</v>
      </c>
      <c r="K128" s="1073"/>
      <c r="L128" s="1094" t="s">
        <v>383</v>
      </c>
      <c r="M128" s="1095"/>
      <c r="N128" s="1095"/>
      <c r="O128" s="1096"/>
      <c r="P128" s="695"/>
      <c r="Q128" s="695"/>
    </row>
    <row r="129" spans="1:17" ht="13" customHeight="1" x14ac:dyDescent="0.25">
      <c r="A129" s="1072"/>
      <c r="B129" s="1073"/>
      <c r="C129" s="1075" t="str">
        <f>B4</f>
        <v>Setting VAC</v>
      </c>
      <c r="D129" s="1075"/>
      <c r="E129" s="1075"/>
      <c r="F129" s="1075"/>
      <c r="G129" s="507" t="s">
        <v>385</v>
      </c>
      <c r="H129" s="507" t="s">
        <v>251</v>
      </c>
      <c r="J129" s="1072"/>
      <c r="K129" s="1073"/>
      <c r="L129" s="1091" t="str">
        <f>B12</f>
        <v>Current Leakage</v>
      </c>
      <c r="M129" s="1091"/>
      <c r="N129" s="1091"/>
      <c r="O129" s="1091"/>
      <c r="P129" s="507" t="s">
        <v>385</v>
      </c>
      <c r="Q129" s="507" t="s">
        <v>251</v>
      </c>
    </row>
    <row r="130" spans="1:17" ht="14" x14ac:dyDescent="0.25">
      <c r="A130" s="1072"/>
      <c r="B130" s="1073"/>
      <c r="C130" s="696" t="s">
        <v>386</v>
      </c>
      <c r="D130" s="507"/>
      <c r="E130" s="507"/>
      <c r="F130" s="487"/>
      <c r="G130" s="507"/>
      <c r="H130" s="507"/>
      <c r="J130" s="1072"/>
      <c r="K130" s="1073"/>
      <c r="L130" s="696" t="s">
        <v>388</v>
      </c>
      <c r="M130" s="507"/>
      <c r="N130" s="507"/>
      <c r="O130" s="487"/>
      <c r="P130" s="507"/>
      <c r="Q130" s="507"/>
    </row>
    <row r="131" spans="1:17" ht="14" x14ac:dyDescent="0.25">
      <c r="A131" s="1076" t="s">
        <v>95</v>
      </c>
      <c r="B131" s="697">
        <v>1</v>
      </c>
      <c r="C131" s="697">
        <f t="shared" ref="C131:H131" si="68">B6</f>
        <v>150</v>
      </c>
      <c r="D131" s="697">
        <f t="shared" si="68"/>
        <v>0.35</v>
      </c>
      <c r="E131" s="697">
        <f t="shared" si="68"/>
        <v>0.31</v>
      </c>
      <c r="F131" s="697">
        <f t="shared" si="68"/>
        <v>0.76</v>
      </c>
      <c r="G131" s="697">
        <f t="shared" si="68"/>
        <v>0.22500000000000001</v>
      </c>
      <c r="H131" s="697">
        <f t="shared" si="68"/>
        <v>1.8</v>
      </c>
      <c r="I131" s="697"/>
      <c r="J131" s="697" t="s">
        <v>95</v>
      </c>
      <c r="K131" s="697">
        <v>1</v>
      </c>
      <c r="L131" s="697">
        <f t="shared" ref="L131:Q131" si="69">B14</f>
        <v>0</v>
      </c>
      <c r="M131" s="697">
        <f t="shared" si="69"/>
        <v>0</v>
      </c>
      <c r="N131" s="697">
        <f t="shared" si="69"/>
        <v>9.9999999999999995E-7</v>
      </c>
      <c r="O131" s="697">
        <f t="shared" si="69"/>
        <v>9.9999999999999995E-7</v>
      </c>
      <c r="P131" s="697">
        <f t="shared" si="69"/>
        <v>4.9999999999999998E-7</v>
      </c>
      <c r="Q131" s="697">
        <f t="shared" si="69"/>
        <v>0</v>
      </c>
    </row>
    <row r="132" spans="1:17" ht="14" x14ac:dyDescent="0.25">
      <c r="A132" s="1076"/>
      <c r="B132" s="697">
        <v>2</v>
      </c>
      <c r="C132" s="697">
        <f t="shared" ref="C132:H132" si="70">I6</f>
        <v>150</v>
      </c>
      <c r="D132" s="697">
        <f t="shared" si="70"/>
        <v>0.22</v>
      </c>
      <c r="E132" s="697">
        <f t="shared" si="70"/>
        <v>0.15</v>
      </c>
      <c r="F132" s="697">
        <f t="shared" si="70"/>
        <v>0.23</v>
      </c>
      <c r="G132" s="697">
        <f t="shared" si="70"/>
        <v>4.0000000000000008E-2</v>
      </c>
      <c r="H132" s="697">
        <f t="shared" si="70"/>
        <v>1.8</v>
      </c>
      <c r="I132" s="697"/>
      <c r="J132" s="697"/>
      <c r="K132" s="697">
        <v>2</v>
      </c>
      <c r="L132" s="697">
        <f t="shared" ref="L132:Q132" si="71">I14</f>
        <v>0</v>
      </c>
      <c r="M132" s="697">
        <f t="shared" si="71"/>
        <v>0</v>
      </c>
      <c r="N132" s="697">
        <f t="shared" si="71"/>
        <v>9.9999999999999995E-7</v>
      </c>
      <c r="O132" s="697">
        <f t="shared" si="71"/>
        <v>9.9999999999999995E-7</v>
      </c>
      <c r="P132" s="697">
        <f t="shared" si="71"/>
        <v>0</v>
      </c>
      <c r="Q132" s="697">
        <f t="shared" si="71"/>
        <v>0</v>
      </c>
    </row>
    <row r="133" spans="1:17" ht="14" x14ac:dyDescent="0.25">
      <c r="A133" s="1076"/>
      <c r="B133" s="698">
        <v>3</v>
      </c>
      <c r="C133" s="697">
        <f t="shared" ref="C133:H133" si="72">P6</f>
        <v>150</v>
      </c>
      <c r="D133" s="697">
        <f t="shared" si="72"/>
        <v>-1.43</v>
      </c>
      <c r="E133" s="697">
        <f t="shared" si="72"/>
        <v>-1.6</v>
      </c>
      <c r="F133" s="697">
        <f t="shared" si="72"/>
        <v>-7.0000000000000007E-2</v>
      </c>
      <c r="G133" s="697">
        <f t="shared" si="72"/>
        <v>0.76500000000000001</v>
      </c>
      <c r="H133" s="697">
        <f t="shared" si="72"/>
        <v>1.8</v>
      </c>
      <c r="I133" s="697"/>
      <c r="J133" s="697"/>
      <c r="K133" s="697">
        <v>3</v>
      </c>
      <c r="L133" s="697">
        <f t="shared" ref="L133:Q133" si="73">P14</f>
        <v>9.9999999999999995E-7</v>
      </c>
      <c r="M133" s="697">
        <f t="shared" si="73"/>
        <v>9.9999999999999995E-7</v>
      </c>
      <c r="N133" s="697">
        <f t="shared" si="73"/>
        <v>9.9999999999999995E-7</v>
      </c>
      <c r="O133" s="697">
        <f t="shared" si="73"/>
        <v>9.9999999999999995E-7</v>
      </c>
      <c r="P133" s="697">
        <f t="shared" si="73"/>
        <v>0</v>
      </c>
      <c r="Q133" s="697">
        <f t="shared" si="73"/>
        <v>5.8999999999999999E-9</v>
      </c>
    </row>
    <row r="134" spans="1:17" ht="14" x14ac:dyDescent="0.25">
      <c r="A134" s="1076"/>
      <c r="B134" s="698">
        <v>4</v>
      </c>
      <c r="C134" s="697">
        <f t="shared" ref="C134:H134" si="74">B37</f>
        <v>150</v>
      </c>
      <c r="D134" s="697">
        <f t="shared" si="74"/>
        <v>0.08</v>
      </c>
      <c r="E134" s="697">
        <f t="shared" si="74"/>
        <v>-0.05</v>
      </c>
      <c r="F134" s="697">
        <f t="shared" si="74"/>
        <v>0.11</v>
      </c>
      <c r="G134" s="697">
        <f t="shared" si="74"/>
        <v>0.08</v>
      </c>
      <c r="H134" s="697">
        <f t="shared" si="74"/>
        <v>1.8</v>
      </c>
      <c r="I134" s="697"/>
      <c r="J134" s="697"/>
      <c r="K134" s="697">
        <v>4</v>
      </c>
      <c r="L134" s="697">
        <f t="shared" ref="L134:Q134" si="75">B45</f>
        <v>0</v>
      </c>
      <c r="M134" s="697">
        <f t="shared" si="75"/>
        <v>0</v>
      </c>
      <c r="N134" s="697">
        <f t="shared" si="75"/>
        <v>9.9999999999999995E-7</v>
      </c>
      <c r="O134" s="697">
        <f t="shared" si="75"/>
        <v>9.9999999999999995E-7</v>
      </c>
      <c r="P134" s="697">
        <f t="shared" si="75"/>
        <v>0</v>
      </c>
      <c r="Q134" s="697">
        <f t="shared" si="75"/>
        <v>0</v>
      </c>
    </row>
    <row r="135" spans="1:17" ht="14" x14ac:dyDescent="0.25">
      <c r="A135" s="1076"/>
      <c r="B135" s="508">
        <v>5</v>
      </c>
      <c r="C135" s="697">
        <f t="shared" ref="C135:H135" si="76">I37</f>
        <v>150</v>
      </c>
      <c r="D135" s="697">
        <f t="shared" si="76"/>
        <v>0.02</v>
      </c>
      <c r="E135" s="697">
        <f t="shared" si="76"/>
        <v>0.25</v>
      </c>
      <c r="F135" s="697">
        <f t="shared" si="76"/>
        <v>0.02</v>
      </c>
      <c r="G135" s="697">
        <f t="shared" si="76"/>
        <v>0.115</v>
      </c>
      <c r="H135" s="697">
        <f t="shared" si="76"/>
        <v>1.8</v>
      </c>
      <c r="I135" s="697"/>
      <c r="J135" s="697"/>
      <c r="K135" s="697">
        <v>5</v>
      </c>
      <c r="L135" s="697">
        <f t="shared" ref="L135:Q135" si="77">I45</f>
        <v>0</v>
      </c>
      <c r="M135" s="697">
        <f t="shared" si="77"/>
        <v>0</v>
      </c>
      <c r="N135" s="697">
        <f t="shared" si="77"/>
        <v>9.9999999999999995E-7</v>
      </c>
      <c r="O135" s="697">
        <f t="shared" si="77"/>
        <v>9.9999999999999995E-7</v>
      </c>
      <c r="P135" s="697">
        <f t="shared" si="77"/>
        <v>4.9999999999999998E-7</v>
      </c>
      <c r="Q135" s="697">
        <f t="shared" si="77"/>
        <v>0</v>
      </c>
    </row>
    <row r="136" spans="1:17" ht="14" x14ac:dyDescent="0.25">
      <c r="A136" s="1076"/>
      <c r="B136" s="508">
        <v>6</v>
      </c>
      <c r="C136" s="697">
        <f t="shared" ref="C136:H136" si="78">P37</f>
        <v>150</v>
      </c>
      <c r="D136" s="697">
        <f t="shared" si="78"/>
        <v>0.14000000000000001</v>
      </c>
      <c r="E136" s="697">
        <f t="shared" si="78"/>
        <v>0.15</v>
      </c>
      <c r="F136" s="697">
        <f t="shared" si="78"/>
        <v>-0.15</v>
      </c>
      <c r="G136" s="697">
        <f t="shared" si="78"/>
        <v>0.15</v>
      </c>
      <c r="H136" s="697">
        <f t="shared" si="78"/>
        <v>1.8</v>
      </c>
      <c r="I136" s="697"/>
      <c r="J136" s="697"/>
      <c r="K136" s="697">
        <v>6</v>
      </c>
      <c r="L136" s="697">
        <f t="shared" ref="L136:Q136" si="79">P45</f>
        <v>0</v>
      </c>
      <c r="M136" s="697">
        <f t="shared" si="79"/>
        <v>0</v>
      </c>
      <c r="N136" s="697">
        <f t="shared" si="79"/>
        <v>0</v>
      </c>
      <c r="O136" s="697">
        <f t="shared" si="79"/>
        <v>9.9999999999999995E-7</v>
      </c>
      <c r="P136" s="697">
        <f t="shared" si="79"/>
        <v>4.9999999999999998E-7</v>
      </c>
      <c r="Q136" s="697">
        <f t="shared" si="79"/>
        <v>0</v>
      </c>
    </row>
    <row r="137" spans="1:17" ht="14" x14ac:dyDescent="0.25">
      <c r="A137" s="1076"/>
      <c r="B137" s="508">
        <v>7</v>
      </c>
      <c r="C137" s="697">
        <f t="shared" ref="C137:H137" si="80">B68</f>
        <v>150</v>
      </c>
      <c r="D137" s="697">
        <f t="shared" si="80"/>
        <v>0.14000000000000001</v>
      </c>
      <c r="E137" s="697">
        <f t="shared" si="80"/>
        <v>0.36</v>
      </c>
      <c r="F137" s="697">
        <f t="shared" si="80"/>
        <v>0.21</v>
      </c>
      <c r="G137" s="697">
        <f t="shared" si="80"/>
        <v>7.4999999999999997E-2</v>
      </c>
      <c r="H137" s="697">
        <f t="shared" si="80"/>
        <v>1.8</v>
      </c>
      <c r="I137" s="697"/>
      <c r="J137" s="697"/>
      <c r="K137" s="697">
        <v>7</v>
      </c>
      <c r="L137" s="697">
        <f t="shared" ref="L137:Q137" si="81">B76</f>
        <v>0</v>
      </c>
      <c r="M137" s="697">
        <f t="shared" si="81"/>
        <v>0</v>
      </c>
      <c r="N137" s="697">
        <f t="shared" si="81"/>
        <v>0</v>
      </c>
      <c r="O137" s="697">
        <f t="shared" si="81"/>
        <v>9.9999999999999995E-7</v>
      </c>
      <c r="P137" s="697">
        <f t="shared" si="81"/>
        <v>4.9999999999999998E-7</v>
      </c>
      <c r="Q137" s="697">
        <f t="shared" si="81"/>
        <v>0</v>
      </c>
    </row>
    <row r="138" spans="1:17" ht="14" x14ac:dyDescent="0.25">
      <c r="A138" s="1076"/>
      <c r="B138" s="508">
        <v>8</v>
      </c>
      <c r="C138" s="697">
        <f t="shared" ref="C138:H138" si="82">I68</f>
        <v>150</v>
      </c>
      <c r="D138" s="697">
        <f t="shared" si="82"/>
        <v>-0.17</v>
      </c>
      <c r="E138" s="697">
        <f t="shared" si="82"/>
        <v>-0.24</v>
      </c>
      <c r="F138" s="697">
        <f t="shared" si="82"/>
        <v>0</v>
      </c>
      <c r="G138" s="697">
        <f t="shared" si="82"/>
        <v>3.4999999999999989E-2</v>
      </c>
      <c r="H138" s="697">
        <f t="shared" si="82"/>
        <v>1.8</v>
      </c>
      <c r="I138" s="697"/>
      <c r="J138" s="697"/>
      <c r="K138" s="697">
        <v>8</v>
      </c>
      <c r="L138" s="697">
        <f t="shared" ref="L138:Q138" si="83">I76</f>
        <v>0</v>
      </c>
      <c r="M138" s="697">
        <f t="shared" si="83"/>
        <v>9.9999999999999995E-7</v>
      </c>
      <c r="N138" s="697">
        <f t="shared" si="83"/>
        <v>9.9999999999999995E-7</v>
      </c>
      <c r="O138" s="697">
        <f t="shared" si="83"/>
        <v>0</v>
      </c>
      <c r="P138" s="697">
        <f t="shared" si="83"/>
        <v>0</v>
      </c>
      <c r="Q138" s="697">
        <f t="shared" si="83"/>
        <v>0</v>
      </c>
    </row>
    <row r="139" spans="1:17" ht="14" x14ac:dyDescent="0.25">
      <c r="A139" s="1076"/>
      <c r="B139" s="508">
        <v>9</v>
      </c>
      <c r="C139" s="697">
        <f t="shared" ref="C139:G139" si="84">P68</f>
        <v>150</v>
      </c>
      <c r="D139" s="697">
        <f t="shared" si="84"/>
        <v>-0.08</v>
      </c>
      <c r="E139" s="697">
        <f t="shared" si="84"/>
        <v>-0.17</v>
      </c>
      <c r="F139" s="697">
        <f t="shared" si="84"/>
        <v>0</v>
      </c>
      <c r="G139" s="697">
        <f t="shared" si="84"/>
        <v>4.5000000000000005E-2</v>
      </c>
      <c r="H139" s="697">
        <f>U68</f>
        <v>1.8</v>
      </c>
      <c r="I139" s="697"/>
      <c r="J139" s="697"/>
      <c r="K139" s="697">
        <v>9</v>
      </c>
      <c r="L139" s="697">
        <f t="shared" ref="L139:Q139" si="85">P76</f>
        <v>0</v>
      </c>
      <c r="M139" s="697">
        <f t="shared" si="85"/>
        <v>0</v>
      </c>
      <c r="N139" s="697">
        <f t="shared" si="85"/>
        <v>9.9999999999999995E-7</v>
      </c>
      <c r="O139" s="697">
        <f t="shared" si="85"/>
        <v>0</v>
      </c>
      <c r="P139" s="697">
        <f t="shared" si="85"/>
        <v>4.9999999999999998E-7</v>
      </c>
      <c r="Q139" s="697">
        <f t="shared" si="85"/>
        <v>0.12</v>
      </c>
    </row>
    <row r="140" spans="1:17" ht="14" x14ac:dyDescent="0.25">
      <c r="A140" s="1076"/>
      <c r="B140" s="508">
        <v>10</v>
      </c>
      <c r="C140" s="697">
        <f>B99</f>
        <v>150</v>
      </c>
      <c r="D140" s="697">
        <f t="shared" ref="D140:G140" si="86">C99</f>
        <v>-0.05</v>
      </c>
      <c r="E140" s="697" t="str">
        <f t="shared" si="86"/>
        <v>-</v>
      </c>
      <c r="F140" s="697">
        <f t="shared" si="86"/>
        <v>0</v>
      </c>
      <c r="G140" s="697">
        <f t="shared" si="86"/>
        <v>0</v>
      </c>
      <c r="H140" s="697" t="str">
        <f>G99</f>
        <v>-</v>
      </c>
      <c r="I140" s="697"/>
      <c r="J140" s="697"/>
      <c r="K140" s="697">
        <v>10</v>
      </c>
      <c r="L140" s="697">
        <f t="shared" ref="L140:Q140" si="87">B107</f>
        <v>0</v>
      </c>
      <c r="M140" s="697">
        <f t="shared" si="87"/>
        <v>9.9999999999999995E-7</v>
      </c>
      <c r="N140" s="697" t="str">
        <f t="shared" si="87"/>
        <v>-</v>
      </c>
      <c r="O140" s="697">
        <f t="shared" si="87"/>
        <v>0</v>
      </c>
      <c r="P140" s="697">
        <f t="shared" si="87"/>
        <v>0</v>
      </c>
      <c r="Q140" s="697" t="str">
        <f t="shared" si="87"/>
        <v>-</v>
      </c>
    </row>
    <row r="141" spans="1:17" ht="14" x14ac:dyDescent="0.25">
      <c r="A141" s="1076"/>
      <c r="B141" s="508">
        <v>11</v>
      </c>
      <c r="C141" s="697">
        <f>I99</f>
        <v>150</v>
      </c>
      <c r="D141" s="697">
        <f t="shared" ref="D141:G141" si="88">J99</f>
        <v>9.9999999999999995E-7</v>
      </c>
      <c r="E141" s="697" t="str">
        <f t="shared" si="88"/>
        <v>-</v>
      </c>
      <c r="F141" s="697">
        <f t="shared" si="88"/>
        <v>0</v>
      </c>
      <c r="G141" s="697">
        <f t="shared" si="88"/>
        <v>0</v>
      </c>
      <c r="H141" s="697" t="str">
        <f>N99</f>
        <v>-</v>
      </c>
      <c r="I141" s="697"/>
      <c r="J141" s="697"/>
      <c r="K141" s="697">
        <v>11</v>
      </c>
      <c r="L141" s="697">
        <f t="shared" ref="L141:Q141" si="89">I107</f>
        <v>0</v>
      </c>
      <c r="M141" s="697">
        <f t="shared" si="89"/>
        <v>9.9999999999999995E-7</v>
      </c>
      <c r="N141" s="697" t="str">
        <f t="shared" si="89"/>
        <v>-</v>
      </c>
      <c r="O141" s="697">
        <f t="shared" si="89"/>
        <v>0</v>
      </c>
      <c r="P141" s="697">
        <f t="shared" si="89"/>
        <v>0</v>
      </c>
      <c r="Q141" s="697" t="str">
        <f t="shared" si="89"/>
        <v>-</v>
      </c>
    </row>
    <row r="142" spans="1:17" ht="14" x14ac:dyDescent="0.25">
      <c r="A142" s="1076"/>
      <c r="B142" s="508">
        <v>12</v>
      </c>
      <c r="C142" s="697">
        <f>P99</f>
        <v>150</v>
      </c>
      <c r="D142" s="697">
        <f t="shared" ref="D142:G142" si="90">Q99</f>
        <v>9.9999999999999995E-7</v>
      </c>
      <c r="E142" s="697" t="str">
        <f t="shared" si="90"/>
        <v>-</v>
      </c>
      <c r="F142" s="697">
        <f t="shared" si="90"/>
        <v>0</v>
      </c>
      <c r="G142" s="697">
        <f t="shared" si="90"/>
        <v>0</v>
      </c>
      <c r="H142" s="697" t="str">
        <f>U99</f>
        <v>-</v>
      </c>
      <c r="I142" s="697"/>
      <c r="J142" s="697"/>
      <c r="K142" s="697">
        <v>12</v>
      </c>
      <c r="L142" s="697">
        <f t="shared" ref="L142:Q142" si="91">P107</f>
        <v>0</v>
      </c>
      <c r="M142" s="697">
        <f t="shared" si="91"/>
        <v>9.9999999999999995E-7</v>
      </c>
      <c r="N142" s="697" t="str">
        <f t="shared" si="91"/>
        <v>-</v>
      </c>
      <c r="O142" s="697">
        <f t="shared" si="91"/>
        <v>0</v>
      </c>
      <c r="P142" s="697">
        <f t="shared" si="91"/>
        <v>0</v>
      </c>
      <c r="Q142" s="697" t="str">
        <f t="shared" si="91"/>
        <v>-</v>
      </c>
    </row>
    <row r="143" spans="1:17" s="485" customFormat="1" ht="14" x14ac:dyDescent="0.25">
      <c r="A143" s="509"/>
      <c r="B143" s="509"/>
      <c r="C143" s="697"/>
      <c r="D143" s="697"/>
      <c r="E143" s="697"/>
      <c r="F143" s="697"/>
      <c r="G143" s="697"/>
      <c r="H143" s="697"/>
      <c r="I143" s="697"/>
      <c r="J143" s="697"/>
      <c r="K143" s="697"/>
      <c r="L143" s="697"/>
      <c r="M143" s="697"/>
      <c r="N143" s="697"/>
      <c r="O143" s="697"/>
      <c r="P143" s="697"/>
      <c r="Q143" s="697"/>
    </row>
    <row r="144" spans="1:17" ht="14" x14ac:dyDescent="0.25">
      <c r="A144" s="1076" t="s">
        <v>96</v>
      </c>
      <c r="B144" s="697">
        <v>1</v>
      </c>
      <c r="C144" s="697">
        <f t="shared" ref="C144:H144" si="92">B7</f>
        <v>180</v>
      </c>
      <c r="D144" s="697">
        <f t="shared" si="92"/>
        <v>-0.1</v>
      </c>
      <c r="E144" s="697">
        <f t="shared" si="92"/>
        <v>0.1</v>
      </c>
      <c r="F144" s="697">
        <f t="shared" si="92"/>
        <v>-0.03</v>
      </c>
      <c r="G144" s="697">
        <f t="shared" si="92"/>
        <v>0.1</v>
      </c>
      <c r="H144" s="697">
        <f t="shared" si="92"/>
        <v>2.16</v>
      </c>
      <c r="I144" s="697"/>
      <c r="J144" s="697" t="s">
        <v>96</v>
      </c>
      <c r="K144" s="697">
        <v>1</v>
      </c>
      <c r="L144" s="697">
        <f t="shared" ref="L144:Q144" si="93">B15</f>
        <v>50</v>
      </c>
      <c r="M144" s="697">
        <f t="shared" si="93"/>
        <v>4</v>
      </c>
      <c r="N144" s="697">
        <f t="shared" si="93"/>
        <v>0.1</v>
      </c>
      <c r="O144" s="697">
        <f t="shared" si="93"/>
        <v>-0.06</v>
      </c>
      <c r="P144" s="697">
        <f t="shared" si="93"/>
        <v>2.0299999999999998</v>
      </c>
      <c r="Q144" s="697">
        <f t="shared" si="93"/>
        <v>0.29499999999999998</v>
      </c>
    </row>
    <row r="145" spans="1:17" ht="14" x14ac:dyDescent="0.25">
      <c r="A145" s="1076"/>
      <c r="B145" s="697">
        <v>2</v>
      </c>
      <c r="C145" s="697">
        <f t="shared" ref="C145:H145" si="94">I7</f>
        <v>180</v>
      </c>
      <c r="D145" s="697">
        <f t="shared" si="94"/>
        <v>0.1</v>
      </c>
      <c r="E145" s="697">
        <f t="shared" si="94"/>
        <v>0.12</v>
      </c>
      <c r="F145" s="697">
        <f t="shared" si="94"/>
        <v>-0.06</v>
      </c>
      <c r="G145" s="697">
        <f t="shared" si="94"/>
        <v>0.09</v>
      </c>
      <c r="H145" s="697">
        <f t="shared" si="94"/>
        <v>2.16</v>
      </c>
      <c r="I145" s="697"/>
      <c r="J145" s="697"/>
      <c r="K145" s="697">
        <v>2</v>
      </c>
      <c r="L145" s="697">
        <f t="shared" ref="L145:Q145" si="95">I15</f>
        <v>50</v>
      </c>
      <c r="M145" s="697">
        <f t="shared" si="95"/>
        <v>1</v>
      </c>
      <c r="N145" s="697">
        <f t="shared" si="95"/>
        <v>-0.08</v>
      </c>
      <c r="O145" s="697">
        <f t="shared" si="95"/>
        <v>0.1</v>
      </c>
      <c r="P145" s="697">
        <f t="shared" si="95"/>
        <v>0.09</v>
      </c>
      <c r="Q145" s="697">
        <f t="shared" si="95"/>
        <v>0.29499999999999998</v>
      </c>
    </row>
    <row r="146" spans="1:17" ht="14" x14ac:dyDescent="0.25">
      <c r="A146" s="1076"/>
      <c r="B146" s="698">
        <v>3</v>
      </c>
      <c r="C146" s="697">
        <f t="shared" ref="C146:H146" si="96">P7</f>
        <v>180</v>
      </c>
      <c r="D146" s="697">
        <f t="shared" si="96"/>
        <v>-1.81</v>
      </c>
      <c r="E146" s="697">
        <f t="shared" si="96"/>
        <v>-1.9</v>
      </c>
      <c r="F146" s="697">
        <f t="shared" si="96"/>
        <v>-0.13</v>
      </c>
      <c r="G146" s="697">
        <f t="shared" si="96"/>
        <v>0.88500000000000001</v>
      </c>
      <c r="H146" s="697">
        <f t="shared" si="96"/>
        <v>2.16</v>
      </c>
      <c r="I146" s="697"/>
      <c r="J146" s="697"/>
      <c r="K146" s="697">
        <v>3</v>
      </c>
      <c r="L146" s="697">
        <f t="shared" ref="L146:Q146" si="97">P15</f>
        <v>50</v>
      </c>
      <c r="M146" s="697">
        <f t="shared" si="97"/>
        <v>9.1</v>
      </c>
      <c r="N146" s="697">
        <f t="shared" si="97"/>
        <v>-0.62</v>
      </c>
      <c r="O146" s="697">
        <f t="shared" si="97"/>
        <v>2</v>
      </c>
      <c r="P146" s="697">
        <f t="shared" si="97"/>
        <v>4.8599999999999994</v>
      </c>
      <c r="Q146" s="697">
        <f t="shared" si="97"/>
        <v>0.29499999999999998</v>
      </c>
    </row>
    <row r="147" spans="1:17" ht="14" x14ac:dyDescent="0.25">
      <c r="A147" s="1076"/>
      <c r="B147" s="698">
        <v>4</v>
      </c>
      <c r="C147" s="697">
        <f t="shared" ref="C147:H147" si="98">B38</f>
        <v>180</v>
      </c>
      <c r="D147" s="697">
        <f t="shared" si="98"/>
        <v>0.11</v>
      </c>
      <c r="E147" s="697">
        <f t="shared" si="98"/>
        <v>-0.04</v>
      </c>
      <c r="F147" s="697">
        <f t="shared" si="98"/>
        <v>0.03</v>
      </c>
      <c r="G147" s="697">
        <f t="shared" si="98"/>
        <v>3.5000000000000003E-2</v>
      </c>
      <c r="H147" s="697">
        <f t="shared" si="98"/>
        <v>2.16</v>
      </c>
      <c r="I147" s="697"/>
      <c r="J147" s="697"/>
      <c r="K147" s="697">
        <v>4</v>
      </c>
      <c r="L147" s="697">
        <f t="shared" ref="L147:Q147" si="99">B46</f>
        <v>50</v>
      </c>
      <c r="M147" s="697">
        <f t="shared" si="99"/>
        <v>2.2999999999999998</v>
      </c>
      <c r="N147" s="697">
        <f t="shared" si="99"/>
        <v>-0.3</v>
      </c>
      <c r="O147" s="697">
        <f t="shared" si="99"/>
        <v>-0.28999999999999998</v>
      </c>
      <c r="P147" s="697">
        <f t="shared" si="99"/>
        <v>5.0000000000000044E-3</v>
      </c>
      <c r="Q147" s="697">
        <f t="shared" si="99"/>
        <v>0.29499999999999998</v>
      </c>
    </row>
    <row r="148" spans="1:17" ht="14" x14ac:dyDescent="0.25">
      <c r="A148" s="1076"/>
      <c r="B148" s="508">
        <v>5</v>
      </c>
      <c r="C148" s="697">
        <f t="shared" ref="C148:H148" si="100">I38</f>
        <v>180</v>
      </c>
      <c r="D148" s="697">
        <f t="shared" si="100"/>
        <v>-0.08</v>
      </c>
      <c r="E148" s="697">
        <f t="shared" si="100"/>
        <v>0.09</v>
      </c>
      <c r="F148" s="697">
        <f t="shared" si="100"/>
        <v>0.1</v>
      </c>
      <c r="G148" s="697">
        <f t="shared" si="100"/>
        <v>0.09</v>
      </c>
      <c r="H148" s="697">
        <f t="shared" si="100"/>
        <v>2.16</v>
      </c>
      <c r="I148" s="697"/>
      <c r="J148" s="697"/>
      <c r="K148" s="697">
        <v>5</v>
      </c>
      <c r="L148" s="697">
        <f t="shared" ref="L148:Q148" si="101">I46</f>
        <v>50</v>
      </c>
      <c r="M148" s="697">
        <f t="shared" si="101"/>
        <v>4.0999999999999996</v>
      </c>
      <c r="N148" s="697">
        <f t="shared" si="101"/>
        <v>0.3</v>
      </c>
      <c r="O148" s="697">
        <f t="shared" si="101"/>
        <v>-0.33</v>
      </c>
      <c r="P148" s="697">
        <f t="shared" si="101"/>
        <v>2.2149999999999999</v>
      </c>
      <c r="Q148" s="697">
        <f t="shared" si="101"/>
        <v>0.29499999999999998</v>
      </c>
    </row>
    <row r="149" spans="1:17" ht="14" x14ac:dyDescent="0.25">
      <c r="A149" s="1076"/>
      <c r="B149" s="508">
        <v>6</v>
      </c>
      <c r="C149" s="697">
        <f t="shared" ref="C149:H149" si="102">P38</f>
        <v>180</v>
      </c>
      <c r="D149" s="697">
        <f t="shared" si="102"/>
        <v>0.17</v>
      </c>
      <c r="E149" s="697">
        <f t="shared" si="102"/>
        <v>0.17</v>
      </c>
      <c r="F149" s="697">
        <f t="shared" si="102"/>
        <v>-0.11</v>
      </c>
      <c r="G149" s="697">
        <f t="shared" si="102"/>
        <v>0.14000000000000001</v>
      </c>
      <c r="H149" s="697">
        <f t="shared" si="102"/>
        <v>2.16</v>
      </c>
      <c r="I149" s="697"/>
      <c r="J149" s="697"/>
      <c r="K149" s="697">
        <v>6</v>
      </c>
      <c r="L149" s="697">
        <f t="shared" ref="L149:Q149" si="103">P46</f>
        <v>50</v>
      </c>
      <c r="M149" s="697">
        <f t="shared" si="103"/>
        <v>4.5</v>
      </c>
      <c r="N149" s="697">
        <f t="shared" si="103"/>
        <v>19.100000000000001</v>
      </c>
      <c r="O149" s="697">
        <f t="shared" si="103"/>
        <v>0.02</v>
      </c>
      <c r="P149" s="697">
        <f t="shared" si="103"/>
        <v>9.5400000000000009</v>
      </c>
      <c r="Q149" s="697">
        <f t="shared" si="103"/>
        <v>0.29499999999999998</v>
      </c>
    </row>
    <row r="150" spans="1:17" ht="14" x14ac:dyDescent="0.25">
      <c r="A150" s="1076"/>
      <c r="B150" s="508">
        <v>7</v>
      </c>
      <c r="C150" s="697">
        <f t="shared" ref="C150:H150" si="104">B69</f>
        <v>180</v>
      </c>
      <c r="D150" s="697">
        <f t="shared" si="104"/>
        <v>0.34</v>
      </c>
      <c r="E150" s="697">
        <f t="shared" si="104"/>
        <v>0.46</v>
      </c>
      <c r="F150" s="697">
        <f t="shared" si="104"/>
        <v>0.33</v>
      </c>
      <c r="G150" s="697">
        <f t="shared" si="104"/>
        <v>6.5000000000000002E-2</v>
      </c>
      <c r="H150" s="697">
        <f t="shared" si="104"/>
        <v>2.16</v>
      </c>
      <c r="I150" s="697"/>
      <c r="J150" s="697"/>
      <c r="K150" s="697">
        <v>7</v>
      </c>
      <c r="L150" s="697">
        <f t="shared" ref="L150:Q150" si="105">B77</f>
        <v>50</v>
      </c>
      <c r="M150" s="697">
        <f t="shared" si="105"/>
        <v>5</v>
      </c>
      <c r="N150" s="697">
        <f t="shared" si="105"/>
        <v>1.9</v>
      </c>
      <c r="O150" s="697">
        <f t="shared" si="105"/>
        <v>1.7</v>
      </c>
      <c r="P150" s="697">
        <f t="shared" si="105"/>
        <v>9.9999999999999978E-2</v>
      </c>
      <c r="Q150" s="697">
        <f t="shared" si="105"/>
        <v>0.29499999999999998</v>
      </c>
    </row>
    <row r="151" spans="1:17" ht="14" x14ac:dyDescent="0.25">
      <c r="A151" s="1076"/>
      <c r="B151" s="508">
        <v>8</v>
      </c>
      <c r="C151" s="697">
        <f t="shared" ref="C151:H151" si="106">I69</f>
        <v>180</v>
      </c>
      <c r="D151" s="697">
        <f t="shared" si="106"/>
        <v>-0.39</v>
      </c>
      <c r="E151" s="697">
        <f t="shared" si="106"/>
        <v>-0.14000000000000001</v>
      </c>
      <c r="F151" s="697">
        <f t="shared" si="106"/>
        <v>0</v>
      </c>
      <c r="G151" s="697">
        <f t="shared" si="106"/>
        <v>0.125</v>
      </c>
      <c r="H151" s="697">
        <f t="shared" si="106"/>
        <v>2.16</v>
      </c>
      <c r="I151" s="697"/>
      <c r="J151" s="697"/>
      <c r="K151" s="697">
        <v>8</v>
      </c>
      <c r="L151" s="697">
        <f t="shared" ref="L151:Q151" si="107">I77</f>
        <v>20</v>
      </c>
      <c r="M151" s="697">
        <f t="shared" si="107"/>
        <v>6.6</v>
      </c>
      <c r="N151" s="697">
        <f t="shared" si="107"/>
        <v>0.9</v>
      </c>
      <c r="O151" s="697">
        <f t="shared" si="107"/>
        <v>0</v>
      </c>
      <c r="P151" s="697">
        <f t="shared" si="107"/>
        <v>2.8499999999999996</v>
      </c>
      <c r="Q151" s="697">
        <f t="shared" si="107"/>
        <v>0.11799999999999999</v>
      </c>
    </row>
    <row r="152" spans="1:17" ht="14" x14ac:dyDescent="0.25">
      <c r="A152" s="1076"/>
      <c r="B152" s="508">
        <v>9</v>
      </c>
      <c r="C152" s="697">
        <f t="shared" ref="C152:H152" si="108">P69</f>
        <v>180</v>
      </c>
      <c r="D152" s="697">
        <f t="shared" si="108"/>
        <v>-0.2</v>
      </c>
      <c r="E152" s="697">
        <f t="shared" si="108"/>
        <v>-0.22</v>
      </c>
      <c r="F152" s="697">
        <f t="shared" si="108"/>
        <v>0</v>
      </c>
      <c r="G152" s="697">
        <f t="shared" si="108"/>
        <v>9.999999999999995E-3</v>
      </c>
      <c r="H152" s="697">
        <f t="shared" si="108"/>
        <v>2.16</v>
      </c>
      <c r="I152" s="697"/>
      <c r="J152" s="697"/>
      <c r="K152" s="697">
        <v>9</v>
      </c>
      <c r="L152" s="697">
        <f t="shared" ref="L152:Q152" si="109">P77</f>
        <v>20</v>
      </c>
      <c r="M152" s="697">
        <f t="shared" si="109"/>
        <v>4.9000000000000004</v>
      </c>
      <c r="N152" s="697">
        <f t="shared" si="109"/>
        <v>0.8</v>
      </c>
      <c r="O152" s="697">
        <f t="shared" si="109"/>
        <v>0</v>
      </c>
      <c r="P152" s="697">
        <f t="shared" si="109"/>
        <v>2.0500000000000003</v>
      </c>
      <c r="Q152" s="697">
        <f t="shared" si="109"/>
        <v>0.11799999999999999</v>
      </c>
    </row>
    <row r="153" spans="1:17" ht="14" x14ac:dyDescent="0.25">
      <c r="A153" s="1076"/>
      <c r="B153" s="508">
        <v>10</v>
      </c>
      <c r="C153" s="697">
        <f>B100</f>
        <v>180</v>
      </c>
      <c r="D153" s="697">
        <f t="shared" ref="D153:G153" si="110">C100</f>
        <v>-0.04</v>
      </c>
      <c r="E153" s="697" t="str">
        <f t="shared" si="110"/>
        <v>-</v>
      </c>
      <c r="F153" s="697">
        <f t="shared" si="110"/>
        <v>0</v>
      </c>
      <c r="G153" s="697">
        <f t="shared" si="110"/>
        <v>0</v>
      </c>
      <c r="H153" s="697" t="str">
        <f>G100</f>
        <v>-</v>
      </c>
      <c r="I153" s="697"/>
      <c r="J153" s="697"/>
      <c r="K153" s="697">
        <v>10</v>
      </c>
      <c r="L153" s="697">
        <f t="shared" ref="L153:Q153" si="111">B108</f>
        <v>50</v>
      </c>
      <c r="M153" s="697">
        <f t="shared" si="111"/>
        <v>0.4</v>
      </c>
      <c r="N153" s="697" t="str">
        <f t="shared" si="111"/>
        <v>-</v>
      </c>
      <c r="O153" s="697">
        <f t="shared" si="111"/>
        <v>0</v>
      </c>
      <c r="P153" s="697">
        <f t="shared" si="111"/>
        <v>0</v>
      </c>
      <c r="Q153" s="697" t="str">
        <f t="shared" si="111"/>
        <v>-</v>
      </c>
    </row>
    <row r="154" spans="1:17" ht="14" x14ac:dyDescent="0.25">
      <c r="A154" s="1076"/>
      <c r="B154" s="508">
        <v>11</v>
      </c>
      <c r="C154" s="697">
        <f>I100</f>
        <v>180</v>
      </c>
      <c r="D154" s="697">
        <f t="shared" ref="D154:G154" si="112">J100</f>
        <v>9.9999999999999995E-7</v>
      </c>
      <c r="E154" s="697" t="str">
        <f t="shared" si="112"/>
        <v>-</v>
      </c>
      <c r="F154" s="697">
        <f t="shared" si="112"/>
        <v>0</v>
      </c>
      <c r="G154" s="697">
        <f t="shared" si="112"/>
        <v>0</v>
      </c>
      <c r="H154" s="697" t="str">
        <f>N100</f>
        <v>-</v>
      </c>
      <c r="I154" s="697"/>
      <c r="J154" s="697"/>
      <c r="K154" s="697">
        <v>11</v>
      </c>
      <c r="L154" s="697">
        <f t="shared" ref="L154:Q154" si="113">I108</f>
        <v>50</v>
      </c>
      <c r="M154" s="697">
        <f t="shared" si="113"/>
        <v>9.9999999999999995E-7</v>
      </c>
      <c r="N154" s="697" t="str">
        <f t="shared" si="113"/>
        <v>-</v>
      </c>
      <c r="O154" s="697">
        <f t="shared" si="113"/>
        <v>0</v>
      </c>
      <c r="P154" s="697">
        <f t="shared" si="113"/>
        <v>0</v>
      </c>
      <c r="Q154" s="697" t="str">
        <f t="shared" si="113"/>
        <v>-</v>
      </c>
    </row>
    <row r="155" spans="1:17" ht="14" x14ac:dyDescent="0.25">
      <c r="A155" s="1076"/>
      <c r="B155" s="508">
        <v>12</v>
      </c>
      <c r="C155" s="697">
        <f>P100</f>
        <v>180</v>
      </c>
      <c r="D155" s="697">
        <f t="shared" ref="D155:G155" si="114">Q100</f>
        <v>9.9999999999999995E-7</v>
      </c>
      <c r="E155" s="697" t="str">
        <f t="shared" si="114"/>
        <v>-</v>
      </c>
      <c r="F155" s="697">
        <f t="shared" si="114"/>
        <v>0</v>
      </c>
      <c r="G155" s="697">
        <f t="shared" si="114"/>
        <v>0</v>
      </c>
      <c r="H155" s="697" t="str">
        <f>U100</f>
        <v>-</v>
      </c>
      <c r="I155" s="697"/>
      <c r="J155" s="697"/>
      <c r="K155" s="697">
        <v>12</v>
      </c>
      <c r="L155" s="697">
        <f t="shared" ref="L155:Q155" si="115">P108</f>
        <v>50</v>
      </c>
      <c r="M155" s="697">
        <f t="shared" si="115"/>
        <v>9.9999999999999995E-7</v>
      </c>
      <c r="N155" s="697" t="str">
        <f t="shared" si="115"/>
        <v>-</v>
      </c>
      <c r="O155" s="697">
        <f t="shared" si="115"/>
        <v>0</v>
      </c>
      <c r="P155" s="697">
        <f t="shared" si="115"/>
        <v>0</v>
      </c>
      <c r="Q155" s="697" t="str">
        <f t="shared" si="115"/>
        <v>-</v>
      </c>
    </row>
    <row r="156" spans="1:17" s="485" customFormat="1" ht="14" x14ac:dyDescent="0.25">
      <c r="A156" s="509"/>
      <c r="B156" s="509"/>
      <c r="C156" s="697"/>
      <c r="D156" s="697"/>
      <c r="E156" s="697"/>
      <c r="F156" s="697"/>
      <c r="G156" s="697"/>
      <c r="H156" s="697"/>
      <c r="I156" s="697"/>
      <c r="J156" s="697"/>
      <c r="K156" s="697"/>
      <c r="L156" s="697"/>
      <c r="M156" s="697"/>
      <c r="N156" s="697"/>
      <c r="O156" s="697"/>
      <c r="P156" s="697"/>
      <c r="Q156" s="697"/>
    </row>
    <row r="157" spans="1:17" ht="14" x14ac:dyDescent="0.25">
      <c r="A157" s="1076" t="s">
        <v>97</v>
      </c>
      <c r="B157" s="697">
        <v>1</v>
      </c>
      <c r="C157" s="697">
        <f t="shared" ref="C157:H157" si="116">B8</f>
        <v>200</v>
      </c>
      <c r="D157" s="697">
        <f t="shared" si="116"/>
        <v>-0.17</v>
      </c>
      <c r="E157" s="697">
        <f t="shared" si="116"/>
        <v>-0.04</v>
      </c>
      <c r="F157" s="697">
        <f t="shared" si="116"/>
        <v>-0.16</v>
      </c>
      <c r="G157" s="697">
        <f t="shared" si="116"/>
        <v>6.5000000000000002E-2</v>
      </c>
      <c r="H157" s="697">
        <f t="shared" si="116"/>
        <v>2.4</v>
      </c>
      <c r="I157" s="697"/>
      <c r="J157" s="697" t="s">
        <v>97</v>
      </c>
      <c r="K157" s="697">
        <v>1</v>
      </c>
      <c r="L157" s="697">
        <f t="shared" ref="L157:Q157" si="117">B16</f>
        <v>100</v>
      </c>
      <c r="M157" s="697">
        <f t="shared" si="117"/>
        <v>3.6</v>
      </c>
      <c r="N157" s="697">
        <f t="shared" si="117"/>
        <v>0.2</v>
      </c>
      <c r="O157" s="697">
        <f t="shared" si="117"/>
        <v>-0.06</v>
      </c>
      <c r="P157" s="697">
        <f t="shared" si="117"/>
        <v>1.83</v>
      </c>
      <c r="Q157" s="697">
        <f t="shared" si="117"/>
        <v>0.59</v>
      </c>
    </row>
    <row r="158" spans="1:17" ht="14" x14ac:dyDescent="0.25">
      <c r="A158" s="1076"/>
      <c r="B158" s="697">
        <v>2</v>
      </c>
      <c r="C158" s="697">
        <f t="shared" ref="C158:H158" si="118">I8</f>
        <v>200</v>
      </c>
      <c r="D158" s="697">
        <f t="shared" si="118"/>
        <v>0.09</v>
      </c>
      <c r="E158" s="697">
        <f t="shared" si="118"/>
        <v>0.06</v>
      </c>
      <c r="F158" s="697">
        <f t="shared" si="118"/>
        <v>-0.18</v>
      </c>
      <c r="G158" s="697">
        <f t="shared" si="118"/>
        <v>0.12</v>
      </c>
      <c r="H158" s="697">
        <f t="shared" si="118"/>
        <v>2.4</v>
      </c>
      <c r="I158" s="697"/>
      <c r="J158" s="697"/>
      <c r="K158" s="697">
        <v>2</v>
      </c>
      <c r="L158" s="697">
        <f t="shared" ref="L158:Q158" si="119">I16</f>
        <v>100</v>
      </c>
      <c r="M158" s="697">
        <f t="shared" si="119"/>
        <v>-0.9</v>
      </c>
      <c r="N158" s="697">
        <f t="shared" si="119"/>
        <v>-7.0000000000000007E-2</v>
      </c>
      <c r="O158" s="697">
        <f t="shared" si="119"/>
        <v>2.2000000000000002</v>
      </c>
      <c r="P158" s="697">
        <f t="shared" si="119"/>
        <v>1.135</v>
      </c>
      <c r="Q158" s="697">
        <f t="shared" si="119"/>
        <v>0.59</v>
      </c>
    </row>
    <row r="159" spans="1:17" ht="14" x14ac:dyDescent="0.25">
      <c r="A159" s="1076"/>
      <c r="B159" s="698">
        <v>3</v>
      </c>
      <c r="C159" s="697">
        <f t="shared" ref="C159:H159" si="120">P8</f>
        <v>200</v>
      </c>
      <c r="D159" s="697">
        <f t="shared" si="120"/>
        <v>-2.0499999999999998</v>
      </c>
      <c r="E159" s="697">
        <f t="shared" si="120"/>
        <v>-2.14</v>
      </c>
      <c r="F159" s="697">
        <f t="shared" si="120"/>
        <v>-0.26</v>
      </c>
      <c r="G159" s="697">
        <f t="shared" si="120"/>
        <v>0.94000000000000006</v>
      </c>
      <c r="H159" s="697">
        <f t="shared" si="120"/>
        <v>2.4</v>
      </c>
      <c r="I159" s="697"/>
      <c r="J159" s="697"/>
      <c r="K159" s="697">
        <v>3</v>
      </c>
      <c r="L159" s="697">
        <f t="shared" ref="L159:Q159" si="121">P16</f>
        <v>100</v>
      </c>
      <c r="M159" s="697">
        <f t="shared" si="121"/>
        <v>6</v>
      </c>
      <c r="N159" s="697">
        <f t="shared" si="121"/>
        <v>-0.22</v>
      </c>
      <c r="O159" s="697">
        <f t="shared" si="121"/>
        <v>2</v>
      </c>
      <c r="P159" s="697">
        <f t="shared" si="121"/>
        <v>3.11</v>
      </c>
      <c r="Q159" s="697">
        <f t="shared" si="121"/>
        <v>0.59</v>
      </c>
    </row>
    <row r="160" spans="1:17" ht="14" x14ac:dyDescent="0.25">
      <c r="A160" s="1076"/>
      <c r="B160" s="698">
        <v>4</v>
      </c>
      <c r="C160" s="697">
        <f t="shared" ref="C160:H160" si="122">B39</f>
        <v>200</v>
      </c>
      <c r="D160" s="697">
        <f t="shared" si="122"/>
        <v>0.11</v>
      </c>
      <c r="E160" s="697">
        <f t="shared" si="122"/>
        <v>-0.67</v>
      </c>
      <c r="F160" s="697">
        <f t="shared" si="122"/>
        <v>0.05</v>
      </c>
      <c r="G160" s="697">
        <f t="shared" si="122"/>
        <v>0.36000000000000004</v>
      </c>
      <c r="H160" s="697">
        <f t="shared" si="122"/>
        <v>2.4</v>
      </c>
      <c r="I160" s="697"/>
      <c r="J160" s="697"/>
      <c r="K160" s="697">
        <v>4</v>
      </c>
      <c r="L160" s="697">
        <f t="shared" ref="L160:Q160" si="123">B47</f>
        <v>100</v>
      </c>
      <c r="M160" s="697">
        <f t="shared" si="123"/>
        <v>4.0999999999999996</v>
      </c>
      <c r="N160" s="697">
        <f t="shared" si="123"/>
        <v>-0.4</v>
      </c>
      <c r="O160" s="697">
        <f t="shared" si="123"/>
        <v>-0.35</v>
      </c>
      <c r="P160" s="697">
        <f t="shared" si="123"/>
        <v>2.5000000000000022E-2</v>
      </c>
      <c r="Q160" s="697">
        <f t="shared" si="123"/>
        <v>0.59</v>
      </c>
    </row>
    <row r="161" spans="1:17" ht="14" x14ac:dyDescent="0.25">
      <c r="A161" s="1076"/>
      <c r="B161" s="508">
        <v>5</v>
      </c>
      <c r="C161" s="697">
        <f t="shared" ref="C161:H161" si="124">I39</f>
        <v>200</v>
      </c>
      <c r="D161" s="697">
        <f t="shared" si="124"/>
        <v>-0.12</v>
      </c>
      <c r="E161" s="697">
        <f t="shared" si="124"/>
        <v>0.18</v>
      </c>
      <c r="F161" s="697">
        <f t="shared" si="124"/>
        <v>-0.03</v>
      </c>
      <c r="G161" s="697">
        <f t="shared" si="124"/>
        <v>0.15</v>
      </c>
      <c r="H161" s="697">
        <f t="shared" si="124"/>
        <v>2.4</v>
      </c>
      <c r="I161" s="697"/>
      <c r="J161" s="697"/>
      <c r="K161" s="697">
        <v>5</v>
      </c>
      <c r="L161" s="697">
        <f t="shared" ref="L161:Q161" si="125">I47</f>
        <v>100</v>
      </c>
      <c r="M161" s="697">
        <f t="shared" si="125"/>
        <v>5</v>
      </c>
      <c r="N161" s="697">
        <f t="shared" si="125"/>
        <v>-0.1</v>
      </c>
      <c r="O161" s="697">
        <f t="shared" si="125"/>
        <v>-0.42</v>
      </c>
      <c r="P161" s="697">
        <f t="shared" si="125"/>
        <v>2.71</v>
      </c>
      <c r="Q161" s="697">
        <f t="shared" si="125"/>
        <v>0.59</v>
      </c>
    </row>
    <row r="162" spans="1:17" ht="14" x14ac:dyDescent="0.25">
      <c r="A162" s="1076"/>
      <c r="B162" s="508">
        <v>6</v>
      </c>
      <c r="C162" s="697">
        <f t="shared" ref="C162:H162" si="126">P39</f>
        <v>200</v>
      </c>
      <c r="D162" s="697">
        <f t="shared" si="126"/>
        <v>0.08</v>
      </c>
      <c r="E162" s="697">
        <f t="shared" si="126"/>
        <v>0.1</v>
      </c>
      <c r="F162" s="697">
        <f t="shared" si="126"/>
        <v>-0.1</v>
      </c>
      <c r="G162" s="697">
        <f t="shared" si="126"/>
        <v>0.1</v>
      </c>
      <c r="H162" s="697">
        <f t="shared" si="126"/>
        <v>2.4</v>
      </c>
      <c r="I162" s="697"/>
      <c r="J162" s="697"/>
      <c r="K162" s="697">
        <v>6</v>
      </c>
      <c r="L162" s="697">
        <f t="shared" ref="L162:Q162" si="127">P47</f>
        <v>100</v>
      </c>
      <c r="M162" s="697">
        <f t="shared" si="127"/>
        <v>6.2</v>
      </c>
      <c r="N162" s="697">
        <f t="shared" si="127"/>
        <v>18.399999999999999</v>
      </c>
      <c r="O162" s="697">
        <f t="shared" si="127"/>
        <v>0.22</v>
      </c>
      <c r="P162" s="697">
        <f t="shared" si="127"/>
        <v>9.09</v>
      </c>
      <c r="Q162" s="697">
        <f t="shared" si="127"/>
        <v>0.59</v>
      </c>
    </row>
    <row r="163" spans="1:17" ht="14" x14ac:dyDescent="0.25">
      <c r="A163" s="1076"/>
      <c r="B163" s="508">
        <v>7</v>
      </c>
      <c r="C163" s="697">
        <f t="shared" ref="C163:H163" si="128">B70</f>
        <v>200</v>
      </c>
      <c r="D163" s="697">
        <f t="shared" si="128"/>
        <v>0.42</v>
      </c>
      <c r="E163" s="697">
        <f t="shared" si="128"/>
        <v>0.52</v>
      </c>
      <c r="F163" s="697">
        <f t="shared" si="128"/>
        <v>0.34</v>
      </c>
      <c r="G163" s="697">
        <f t="shared" si="128"/>
        <v>0.09</v>
      </c>
      <c r="H163" s="697">
        <f t="shared" si="128"/>
        <v>2.4</v>
      </c>
      <c r="I163" s="697"/>
      <c r="J163" s="697"/>
      <c r="K163" s="697">
        <v>7</v>
      </c>
      <c r="L163" s="697">
        <f t="shared" ref="L163:Q163" si="129">B78</f>
        <v>100</v>
      </c>
      <c r="M163" s="697">
        <f t="shared" si="129"/>
        <v>6.2</v>
      </c>
      <c r="N163" s="697">
        <f t="shared" si="129"/>
        <v>1.7</v>
      </c>
      <c r="O163" s="697">
        <f t="shared" si="129"/>
        <v>1.7</v>
      </c>
      <c r="P163" s="697">
        <f t="shared" si="129"/>
        <v>0</v>
      </c>
      <c r="Q163" s="697">
        <f t="shared" si="129"/>
        <v>0.59</v>
      </c>
    </row>
    <row r="164" spans="1:17" ht="14" x14ac:dyDescent="0.25">
      <c r="A164" s="1076"/>
      <c r="B164" s="508">
        <v>8</v>
      </c>
      <c r="C164" s="697">
        <f t="shared" ref="C164:H164" si="130">I70</f>
        <v>200</v>
      </c>
      <c r="D164" s="697">
        <f t="shared" si="130"/>
        <v>-0.23</v>
      </c>
      <c r="E164" s="697">
        <f t="shared" si="130"/>
        <v>-0.33</v>
      </c>
      <c r="F164" s="697">
        <f t="shared" si="130"/>
        <v>0</v>
      </c>
      <c r="G164" s="697">
        <f t="shared" si="130"/>
        <v>0.05</v>
      </c>
      <c r="H164" s="697">
        <f t="shared" si="130"/>
        <v>2.4</v>
      </c>
      <c r="I164" s="697"/>
      <c r="J164" s="697"/>
      <c r="K164" s="697">
        <v>8</v>
      </c>
      <c r="L164" s="697">
        <f t="shared" ref="L164:Q164" si="131">I78</f>
        <v>50</v>
      </c>
      <c r="M164" s="697">
        <f t="shared" si="131"/>
        <v>5</v>
      </c>
      <c r="N164" s="697">
        <f t="shared" si="131"/>
        <v>2.1</v>
      </c>
      <c r="O164" s="697">
        <f t="shared" si="131"/>
        <v>0</v>
      </c>
      <c r="P164" s="697">
        <f t="shared" si="131"/>
        <v>1.45</v>
      </c>
      <c r="Q164" s="697">
        <f t="shared" si="131"/>
        <v>0.29499999999999998</v>
      </c>
    </row>
    <row r="165" spans="1:17" ht="14" x14ac:dyDescent="0.25">
      <c r="A165" s="1076"/>
      <c r="B165" s="508">
        <v>9</v>
      </c>
      <c r="C165" s="697">
        <f t="shared" ref="C165:H165" si="132">P70</f>
        <v>200</v>
      </c>
      <c r="D165" s="697">
        <f t="shared" si="132"/>
        <v>-0.25</v>
      </c>
      <c r="E165" s="697">
        <f t="shared" si="132"/>
        <v>-0.33</v>
      </c>
      <c r="F165" s="697">
        <f t="shared" si="132"/>
        <v>0</v>
      </c>
      <c r="G165" s="697">
        <f t="shared" si="132"/>
        <v>4.0000000000000008E-2</v>
      </c>
      <c r="H165" s="697">
        <f t="shared" si="132"/>
        <v>2.4</v>
      </c>
      <c r="I165" s="697"/>
      <c r="J165" s="697"/>
      <c r="K165" s="697">
        <v>9</v>
      </c>
      <c r="L165" s="697">
        <f t="shared" ref="L165:Q165" si="133">P78</f>
        <v>50</v>
      </c>
      <c r="M165" s="697">
        <f t="shared" si="133"/>
        <v>9.1999999999999993</v>
      </c>
      <c r="N165" s="697">
        <f t="shared" si="133"/>
        <v>1.7</v>
      </c>
      <c r="O165" s="697">
        <f t="shared" si="133"/>
        <v>0</v>
      </c>
      <c r="P165" s="697">
        <f t="shared" si="133"/>
        <v>3.7499999999999996</v>
      </c>
      <c r="Q165" s="697">
        <f t="shared" si="133"/>
        <v>0.29499999999999998</v>
      </c>
    </row>
    <row r="166" spans="1:17" ht="14" x14ac:dyDescent="0.25">
      <c r="A166" s="1076"/>
      <c r="B166" s="508">
        <v>10</v>
      </c>
      <c r="C166" s="697">
        <f>B101</f>
        <v>200</v>
      </c>
      <c r="D166" s="697">
        <f t="shared" ref="D166:G166" si="134">C101</f>
        <v>-0.67</v>
      </c>
      <c r="E166" s="697" t="str">
        <f t="shared" si="134"/>
        <v>-</v>
      </c>
      <c r="F166" s="697">
        <f t="shared" si="134"/>
        <v>0</v>
      </c>
      <c r="G166" s="697">
        <f t="shared" si="134"/>
        <v>0</v>
      </c>
      <c r="H166" s="697" t="str">
        <f>G101</f>
        <v>-</v>
      </c>
      <c r="I166" s="697"/>
      <c r="J166" s="697"/>
      <c r="K166" s="697">
        <v>10</v>
      </c>
      <c r="L166" s="697">
        <f t="shared" ref="L166:Q166" si="135">B109</f>
        <v>100</v>
      </c>
      <c r="M166" s="697">
        <f t="shared" si="135"/>
        <v>0.4</v>
      </c>
      <c r="N166" s="697" t="str">
        <f t="shared" si="135"/>
        <v>-</v>
      </c>
      <c r="O166" s="697">
        <f t="shared" si="135"/>
        <v>0</v>
      </c>
      <c r="P166" s="697">
        <f t="shared" si="135"/>
        <v>0</v>
      </c>
      <c r="Q166" s="697" t="str">
        <f t="shared" si="135"/>
        <v>-</v>
      </c>
    </row>
    <row r="167" spans="1:17" ht="14" x14ac:dyDescent="0.25">
      <c r="A167" s="1076"/>
      <c r="B167" s="508">
        <v>11</v>
      </c>
      <c r="C167" s="697">
        <f>I101</f>
        <v>200</v>
      </c>
      <c r="D167" s="697">
        <f t="shared" ref="D167:G167" si="136">J101</f>
        <v>9.9999999999999995E-7</v>
      </c>
      <c r="E167" s="697" t="str">
        <f t="shared" si="136"/>
        <v>-</v>
      </c>
      <c r="F167" s="697">
        <f t="shared" si="136"/>
        <v>0</v>
      </c>
      <c r="G167" s="697">
        <f t="shared" si="136"/>
        <v>0</v>
      </c>
      <c r="H167" s="697" t="str">
        <f>N101</f>
        <v>-</v>
      </c>
      <c r="I167" s="697"/>
      <c r="J167" s="697"/>
      <c r="K167" s="697">
        <v>11</v>
      </c>
      <c r="L167" s="697">
        <f t="shared" ref="L167:Q167" si="137">I109</f>
        <v>100</v>
      </c>
      <c r="M167" s="697">
        <f t="shared" si="137"/>
        <v>9.9999999999999995E-7</v>
      </c>
      <c r="N167" s="697" t="str">
        <f t="shared" si="137"/>
        <v>-</v>
      </c>
      <c r="O167" s="697">
        <f t="shared" si="137"/>
        <v>0</v>
      </c>
      <c r="P167" s="697">
        <f t="shared" si="137"/>
        <v>0</v>
      </c>
      <c r="Q167" s="697" t="str">
        <f t="shared" si="137"/>
        <v>-</v>
      </c>
    </row>
    <row r="168" spans="1:17" ht="14" x14ac:dyDescent="0.25">
      <c r="A168" s="1076"/>
      <c r="B168" s="508">
        <v>12</v>
      </c>
      <c r="C168" s="697">
        <f>P101</f>
        <v>200</v>
      </c>
      <c r="D168" s="697">
        <f t="shared" ref="D168:G168" si="138">Q101</f>
        <v>9.9999999999999995E-7</v>
      </c>
      <c r="E168" s="697" t="str">
        <f t="shared" si="138"/>
        <v>-</v>
      </c>
      <c r="F168" s="697">
        <f t="shared" si="138"/>
        <v>0</v>
      </c>
      <c r="G168" s="697">
        <f t="shared" si="138"/>
        <v>0</v>
      </c>
      <c r="H168" s="697" t="str">
        <f>U101</f>
        <v>-</v>
      </c>
      <c r="I168" s="697"/>
      <c r="J168" s="697"/>
      <c r="K168" s="697">
        <v>12</v>
      </c>
      <c r="L168" s="697">
        <f t="shared" ref="L168:Q168" si="139">P109</f>
        <v>100</v>
      </c>
      <c r="M168" s="697">
        <f t="shared" si="139"/>
        <v>9.9999999999999995E-7</v>
      </c>
      <c r="N168" s="697" t="str">
        <f t="shared" si="139"/>
        <v>-</v>
      </c>
      <c r="O168" s="697">
        <f t="shared" si="139"/>
        <v>0</v>
      </c>
      <c r="P168" s="697">
        <f t="shared" si="139"/>
        <v>0</v>
      </c>
      <c r="Q168" s="697" t="str">
        <f t="shared" si="139"/>
        <v>-</v>
      </c>
    </row>
    <row r="169" spans="1:17" s="485" customFormat="1" ht="14" x14ac:dyDescent="0.25">
      <c r="A169" s="509"/>
      <c r="B169" s="509"/>
      <c r="C169" s="697"/>
      <c r="D169" s="697"/>
      <c r="E169" s="697"/>
      <c r="F169" s="697"/>
      <c r="G169" s="697"/>
      <c r="H169" s="697"/>
      <c r="I169" s="697"/>
      <c r="J169" s="697"/>
      <c r="K169" s="697"/>
      <c r="L169" s="697"/>
      <c r="M169" s="697"/>
      <c r="N169" s="697"/>
      <c r="O169" s="697"/>
      <c r="P169" s="697"/>
      <c r="Q169" s="697"/>
    </row>
    <row r="170" spans="1:17" ht="14" x14ac:dyDescent="0.25">
      <c r="A170" s="1076" t="s">
        <v>98</v>
      </c>
      <c r="B170" s="697">
        <v>1</v>
      </c>
      <c r="C170" s="697">
        <f t="shared" ref="C170:H170" si="140">B9</f>
        <v>220</v>
      </c>
      <c r="D170" s="697">
        <f t="shared" si="140"/>
        <v>-0.27</v>
      </c>
      <c r="E170" s="697">
        <f t="shared" si="140"/>
        <v>-0.28000000000000003</v>
      </c>
      <c r="F170" s="697">
        <f t="shared" si="140"/>
        <v>-0.18</v>
      </c>
      <c r="G170" s="697">
        <f t="shared" si="140"/>
        <v>5.0000000000000017E-2</v>
      </c>
      <c r="H170" s="697">
        <f t="shared" si="140"/>
        <v>2.64</v>
      </c>
      <c r="I170" s="697"/>
      <c r="J170" s="697" t="s">
        <v>98</v>
      </c>
      <c r="K170" s="697">
        <v>1</v>
      </c>
      <c r="L170" s="697">
        <f t="shared" ref="L170:Q170" si="141">B17</f>
        <v>200</v>
      </c>
      <c r="M170" s="697">
        <f t="shared" si="141"/>
        <v>2.2000000000000002</v>
      </c>
      <c r="N170" s="697">
        <f t="shared" si="141"/>
        <v>0.4</v>
      </c>
      <c r="O170" s="697">
        <f t="shared" si="141"/>
        <v>9.9999999999999995E-7</v>
      </c>
      <c r="P170" s="697">
        <f t="shared" si="141"/>
        <v>1.0999995</v>
      </c>
      <c r="Q170" s="697">
        <f t="shared" si="141"/>
        <v>1.18</v>
      </c>
    </row>
    <row r="171" spans="1:17" ht="14" x14ac:dyDescent="0.25">
      <c r="A171" s="1076"/>
      <c r="B171" s="697">
        <v>2</v>
      </c>
      <c r="C171" s="697">
        <f t="shared" ref="C171:H171" si="142">I9</f>
        <v>220</v>
      </c>
      <c r="D171" s="697">
        <f t="shared" si="142"/>
        <v>0.53</v>
      </c>
      <c r="E171" s="697">
        <f t="shared" si="142"/>
        <v>0.05</v>
      </c>
      <c r="F171" s="697">
        <f t="shared" si="142"/>
        <v>-0.03</v>
      </c>
      <c r="G171" s="697">
        <f t="shared" si="142"/>
        <v>0.04</v>
      </c>
      <c r="H171" s="697">
        <f t="shared" si="142"/>
        <v>2.64</v>
      </c>
      <c r="I171" s="697"/>
      <c r="J171" s="697"/>
      <c r="K171" s="697">
        <v>2</v>
      </c>
      <c r="L171" s="697">
        <f t="shared" ref="L171:Q171" si="143">I17</f>
        <v>200</v>
      </c>
      <c r="M171" s="697">
        <f t="shared" si="143"/>
        <v>-6.4</v>
      </c>
      <c r="N171" s="697">
        <f t="shared" si="143"/>
        <v>-0.1</v>
      </c>
      <c r="O171" s="697">
        <f t="shared" si="143"/>
        <v>3.3</v>
      </c>
      <c r="P171" s="697">
        <f t="shared" si="143"/>
        <v>1.7</v>
      </c>
      <c r="Q171" s="697">
        <f t="shared" si="143"/>
        <v>1.18</v>
      </c>
    </row>
    <row r="172" spans="1:17" ht="14" x14ac:dyDescent="0.25">
      <c r="A172" s="1076"/>
      <c r="B172" s="698">
        <v>3</v>
      </c>
      <c r="C172" s="697">
        <f t="shared" ref="C172:H172" si="144">P9</f>
        <v>220</v>
      </c>
      <c r="D172" s="697">
        <f t="shared" si="144"/>
        <v>-2.29</v>
      </c>
      <c r="E172" s="697">
        <f t="shared" si="144"/>
        <v>-3.44</v>
      </c>
      <c r="F172" s="697">
        <f t="shared" si="144"/>
        <v>-0.28999999999999998</v>
      </c>
      <c r="G172" s="697">
        <f t="shared" si="144"/>
        <v>1.575</v>
      </c>
      <c r="H172" s="697">
        <f t="shared" si="144"/>
        <v>2.64</v>
      </c>
      <c r="I172" s="697"/>
      <c r="J172" s="697"/>
      <c r="K172" s="697">
        <v>3</v>
      </c>
      <c r="L172" s="697">
        <f t="shared" ref="L172:Q172" si="145">P17</f>
        <v>200</v>
      </c>
      <c r="M172" s="697">
        <f t="shared" si="145"/>
        <v>-3.6</v>
      </c>
      <c r="N172" s="697">
        <f t="shared" si="145"/>
        <v>-0.1</v>
      </c>
      <c r="O172" s="697">
        <f t="shared" si="145"/>
        <v>3.6</v>
      </c>
      <c r="P172" s="697">
        <f t="shared" si="145"/>
        <v>3.6</v>
      </c>
      <c r="Q172" s="697">
        <f t="shared" si="145"/>
        <v>1.18</v>
      </c>
    </row>
    <row r="173" spans="1:17" ht="14" x14ac:dyDescent="0.25">
      <c r="A173" s="1076"/>
      <c r="B173" s="698">
        <v>4</v>
      </c>
      <c r="C173" s="697">
        <f t="shared" ref="C173:H173" si="146">B40</f>
        <v>220</v>
      </c>
      <c r="D173" s="697">
        <f t="shared" si="146"/>
        <v>0.13</v>
      </c>
      <c r="E173" s="697">
        <f t="shared" si="146"/>
        <v>9.9999999999999995E-7</v>
      </c>
      <c r="F173" s="697">
        <f t="shared" si="146"/>
        <v>0.1</v>
      </c>
      <c r="G173" s="697">
        <f t="shared" si="146"/>
        <v>4.9999500000000002E-2</v>
      </c>
      <c r="H173" s="697">
        <f t="shared" si="146"/>
        <v>2.64</v>
      </c>
      <c r="I173" s="697"/>
      <c r="J173" s="697"/>
      <c r="K173" s="697">
        <v>4</v>
      </c>
      <c r="L173" s="697">
        <f t="shared" ref="L173:Q173" si="147">B48</f>
        <v>200</v>
      </c>
      <c r="M173" s="697">
        <f t="shared" si="147"/>
        <v>5</v>
      </c>
      <c r="N173" s="697">
        <f t="shared" si="147"/>
        <v>0.3</v>
      </c>
      <c r="O173" s="697">
        <f t="shared" si="147"/>
        <v>0.8</v>
      </c>
      <c r="P173" s="697">
        <f t="shared" si="147"/>
        <v>0.25</v>
      </c>
      <c r="Q173" s="697">
        <f t="shared" si="147"/>
        <v>1.18</v>
      </c>
    </row>
    <row r="174" spans="1:17" ht="14" x14ac:dyDescent="0.25">
      <c r="A174" s="1076"/>
      <c r="B174" s="508">
        <v>5</v>
      </c>
      <c r="C174" s="697">
        <f t="shared" ref="C174:H174" si="148">I40</f>
        <v>220</v>
      </c>
      <c r="D174" s="697">
        <f t="shared" si="148"/>
        <v>-0.17</v>
      </c>
      <c r="E174" s="697">
        <f t="shared" si="148"/>
        <v>0.56000000000000005</v>
      </c>
      <c r="F174" s="697">
        <f t="shared" si="148"/>
        <v>0.38</v>
      </c>
      <c r="G174" s="697">
        <f t="shared" si="148"/>
        <v>0.36500000000000005</v>
      </c>
      <c r="H174" s="697">
        <f t="shared" si="148"/>
        <v>2.64</v>
      </c>
      <c r="I174" s="697"/>
      <c r="J174" s="697"/>
      <c r="K174" s="697">
        <v>5</v>
      </c>
      <c r="L174" s="697">
        <f t="shared" ref="L174:Q174" si="149">I48</f>
        <v>200</v>
      </c>
      <c r="M174" s="697">
        <f t="shared" si="149"/>
        <v>7.7</v>
      </c>
      <c r="N174" s="697">
        <f t="shared" si="149"/>
        <v>1.3</v>
      </c>
      <c r="O174" s="697">
        <f t="shared" si="149"/>
        <v>1.3</v>
      </c>
      <c r="P174" s="697">
        <f t="shared" si="149"/>
        <v>3.2</v>
      </c>
      <c r="Q174" s="697">
        <f t="shared" si="149"/>
        <v>1.18</v>
      </c>
    </row>
    <row r="175" spans="1:17" ht="14" x14ac:dyDescent="0.25">
      <c r="A175" s="1076"/>
      <c r="B175" s="508">
        <v>6</v>
      </c>
      <c r="C175" s="697">
        <f t="shared" ref="C175:H175" si="150">P40</f>
        <v>220</v>
      </c>
      <c r="D175" s="697">
        <f t="shared" si="150"/>
        <v>0.06</v>
      </c>
      <c r="E175" s="697">
        <f t="shared" si="150"/>
        <v>7.0000000000000007E-2</v>
      </c>
      <c r="F175" s="697">
        <f t="shared" si="150"/>
        <v>-0.13</v>
      </c>
      <c r="G175" s="697">
        <f t="shared" si="150"/>
        <v>0.1</v>
      </c>
      <c r="H175" s="697">
        <f t="shared" si="150"/>
        <v>2.64</v>
      </c>
      <c r="I175" s="697"/>
      <c r="J175" s="697"/>
      <c r="K175" s="697">
        <v>6</v>
      </c>
      <c r="L175" s="697">
        <f t="shared" ref="L175:Q175" si="151">P48</f>
        <v>200</v>
      </c>
      <c r="M175" s="697">
        <f t="shared" si="151"/>
        <v>9.4</v>
      </c>
      <c r="N175" s="697">
        <f t="shared" si="151"/>
        <v>14.4</v>
      </c>
      <c r="O175" s="697">
        <f t="shared" si="151"/>
        <v>0.8</v>
      </c>
      <c r="P175" s="697">
        <f t="shared" si="151"/>
        <v>6.8</v>
      </c>
      <c r="Q175" s="697">
        <f t="shared" si="151"/>
        <v>1.18</v>
      </c>
    </row>
    <row r="176" spans="1:17" ht="14" x14ac:dyDescent="0.25">
      <c r="A176" s="1076"/>
      <c r="B176" s="508">
        <v>7</v>
      </c>
      <c r="C176" s="697">
        <f t="shared" ref="C176:H176" si="152">B71</f>
        <v>220</v>
      </c>
      <c r="D176" s="697">
        <f t="shared" si="152"/>
        <v>0.32</v>
      </c>
      <c r="E176" s="697">
        <f t="shared" si="152"/>
        <v>0.57999999999999996</v>
      </c>
      <c r="F176" s="697">
        <f t="shared" si="152"/>
        <v>0.37</v>
      </c>
      <c r="G176" s="697">
        <f t="shared" si="152"/>
        <v>0.10499999999999998</v>
      </c>
      <c r="H176" s="697">
        <f t="shared" si="152"/>
        <v>2.64</v>
      </c>
      <c r="I176" s="697"/>
      <c r="J176" s="697"/>
      <c r="K176" s="697">
        <v>7</v>
      </c>
      <c r="L176" s="697">
        <f t="shared" ref="L176:Q176" si="153">B79</f>
        <v>200</v>
      </c>
      <c r="M176" s="697">
        <f t="shared" si="153"/>
        <v>8.6</v>
      </c>
      <c r="N176" s="697">
        <f t="shared" si="153"/>
        <v>1.5</v>
      </c>
      <c r="O176" s="697">
        <f t="shared" si="153"/>
        <v>0.4</v>
      </c>
      <c r="P176" s="697">
        <f t="shared" si="153"/>
        <v>0.55000000000000004</v>
      </c>
      <c r="Q176" s="697">
        <f t="shared" si="153"/>
        <v>1.18</v>
      </c>
    </row>
    <row r="177" spans="1:17" ht="14" x14ac:dyDescent="0.25">
      <c r="A177" s="1076"/>
      <c r="B177" s="508">
        <v>8</v>
      </c>
      <c r="C177" s="697">
        <f t="shared" ref="C177:H177" si="154">I71</f>
        <v>220</v>
      </c>
      <c r="D177" s="697">
        <f t="shared" si="154"/>
        <v>-0.16</v>
      </c>
      <c r="E177" s="697">
        <f t="shared" si="154"/>
        <v>-0.45</v>
      </c>
      <c r="F177" s="697">
        <f t="shared" si="154"/>
        <v>0</v>
      </c>
      <c r="G177" s="697">
        <f t="shared" si="154"/>
        <v>0.14500000000000002</v>
      </c>
      <c r="H177" s="697">
        <f t="shared" si="154"/>
        <v>2.64</v>
      </c>
      <c r="I177" s="697"/>
      <c r="J177" s="697"/>
      <c r="K177" s="697">
        <v>8</v>
      </c>
      <c r="L177" s="697">
        <f t="shared" ref="L177:Q177" si="155">I79</f>
        <v>200</v>
      </c>
      <c r="M177" s="697">
        <f t="shared" si="155"/>
        <v>-8.1999999999999993</v>
      </c>
      <c r="N177" s="697">
        <f t="shared" si="155"/>
        <v>3.7</v>
      </c>
      <c r="O177" s="697">
        <f t="shared" si="155"/>
        <v>0</v>
      </c>
      <c r="P177" s="697">
        <f t="shared" si="155"/>
        <v>5.9499999999999993</v>
      </c>
      <c r="Q177" s="697">
        <f t="shared" si="155"/>
        <v>1.18</v>
      </c>
    </row>
    <row r="178" spans="1:17" ht="14" x14ac:dyDescent="0.25">
      <c r="A178" s="1076"/>
      <c r="B178" s="508">
        <v>9</v>
      </c>
      <c r="C178" s="697">
        <f t="shared" ref="C178:H178" si="156">P71</f>
        <v>220</v>
      </c>
      <c r="D178" s="697">
        <f t="shared" si="156"/>
        <v>-0.28999999999999998</v>
      </c>
      <c r="E178" s="697">
        <f t="shared" si="156"/>
        <v>-0.39</v>
      </c>
      <c r="F178" s="697">
        <f t="shared" si="156"/>
        <v>0</v>
      </c>
      <c r="G178" s="697">
        <f t="shared" si="156"/>
        <v>5.0000000000000017E-2</v>
      </c>
      <c r="H178" s="697">
        <f t="shared" si="156"/>
        <v>2.64</v>
      </c>
      <c r="I178" s="697"/>
      <c r="J178" s="697"/>
      <c r="K178" s="697">
        <v>9</v>
      </c>
      <c r="L178" s="697">
        <f t="shared" ref="L178:Q178" si="157">P79</f>
        <v>200</v>
      </c>
      <c r="M178" s="697">
        <f t="shared" si="157"/>
        <v>-0.2</v>
      </c>
      <c r="N178" s="697">
        <f t="shared" si="157"/>
        <v>3.4</v>
      </c>
      <c r="O178" s="697">
        <f t="shared" si="157"/>
        <v>0</v>
      </c>
      <c r="P178" s="697">
        <f t="shared" si="157"/>
        <v>1.8</v>
      </c>
      <c r="Q178" s="697">
        <f t="shared" si="157"/>
        <v>1.18</v>
      </c>
    </row>
    <row r="179" spans="1:17" ht="14" x14ac:dyDescent="0.25">
      <c r="A179" s="1076"/>
      <c r="B179" s="508">
        <v>10</v>
      </c>
      <c r="C179" s="697">
        <f>B102</f>
        <v>220</v>
      </c>
      <c r="D179" s="697">
        <f t="shared" ref="D179:G179" si="158">C102</f>
        <v>9.9999999999999995E-7</v>
      </c>
      <c r="E179" s="697" t="str">
        <f t="shared" si="158"/>
        <v>-</v>
      </c>
      <c r="F179" s="697">
        <f t="shared" si="158"/>
        <v>0</v>
      </c>
      <c r="G179" s="697">
        <f t="shared" si="158"/>
        <v>0</v>
      </c>
      <c r="H179" s="697" t="str">
        <f>G102</f>
        <v>-</v>
      </c>
      <c r="I179" s="697"/>
      <c r="J179" s="697"/>
      <c r="K179" s="697">
        <v>10</v>
      </c>
      <c r="L179" s="697">
        <f t="shared" ref="L179:Q179" si="159">B110</f>
        <v>200</v>
      </c>
      <c r="M179" s="697">
        <f t="shared" si="159"/>
        <v>0.4</v>
      </c>
      <c r="N179" s="697" t="str">
        <f t="shared" si="159"/>
        <v>-</v>
      </c>
      <c r="O179" s="697">
        <f t="shared" si="159"/>
        <v>0</v>
      </c>
      <c r="P179" s="697">
        <f t="shared" si="159"/>
        <v>0</v>
      </c>
      <c r="Q179" s="697" t="str">
        <f t="shared" si="159"/>
        <v>-</v>
      </c>
    </row>
    <row r="180" spans="1:17" ht="14" x14ac:dyDescent="0.25">
      <c r="A180" s="1076"/>
      <c r="B180" s="508">
        <v>11</v>
      </c>
      <c r="C180" s="697">
        <f>I102</f>
        <v>220</v>
      </c>
      <c r="D180" s="697">
        <f t="shared" ref="D180:G180" si="160">J102</f>
        <v>9.9999999999999995E-7</v>
      </c>
      <c r="E180" s="697" t="str">
        <f t="shared" si="160"/>
        <v>-</v>
      </c>
      <c r="F180" s="697">
        <f t="shared" si="160"/>
        <v>0</v>
      </c>
      <c r="G180" s="697">
        <f t="shared" si="160"/>
        <v>0</v>
      </c>
      <c r="H180" s="697" t="str">
        <f>N102</f>
        <v>-</v>
      </c>
      <c r="I180" s="697"/>
      <c r="J180" s="697"/>
      <c r="K180" s="697">
        <v>11</v>
      </c>
      <c r="L180" s="697">
        <f t="shared" ref="L180:Q180" si="161">I110</f>
        <v>200</v>
      </c>
      <c r="M180" s="697">
        <f t="shared" si="161"/>
        <v>9.9999999999999995E-7</v>
      </c>
      <c r="N180" s="697" t="str">
        <f t="shared" si="161"/>
        <v>-</v>
      </c>
      <c r="O180" s="697">
        <f t="shared" si="161"/>
        <v>0</v>
      </c>
      <c r="P180" s="697">
        <f t="shared" si="161"/>
        <v>0</v>
      </c>
      <c r="Q180" s="697" t="str">
        <f t="shared" si="161"/>
        <v>-</v>
      </c>
    </row>
    <row r="181" spans="1:17" ht="14" x14ac:dyDescent="0.25">
      <c r="A181" s="1076"/>
      <c r="B181" s="508">
        <v>12</v>
      </c>
      <c r="C181" s="697">
        <f>P102</f>
        <v>220</v>
      </c>
      <c r="D181" s="697">
        <f t="shared" ref="D181:G181" si="162">Q102</f>
        <v>9.9999999999999995E-7</v>
      </c>
      <c r="E181" s="697" t="str">
        <f t="shared" si="162"/>
        <v>-</v>
      </c>
      <c r="F181" s="697">
        <f t="shared" si="162"/>
        <v>0</v>
      </c>
      <c r="G181" s="697">
        <f t="shared" si="162"/>
        <v>0</v>
      </c>
      <c r="H181" s="697" t="str">
        <f>U102</f>
        <v>-</v>
      </c>
      <c r="I181" s="697"/>
      <c r="J181" s="697"/>
      <c r="K181" s="697">
        <v>12</v>
      </c>
      <c r="L181" s="697">
        <f t="shared" ref="L181:Q181" si="163">P110</f>
        <v>200</v>
      </c>
      <c r="M181" s="697">
        <f t="shared" si="163"/>
        <v>9.9999999999999995E-7</v>
      </c>
      <c r="N181" s="697" t="str">
        <f t="shared" si="163"/>
        <v>-</v>
      </c>
      <c r="O181" s="697">
        <f t="shared" si="163"/>
        <v>0</v>
      </c>
      <c r="P181" s="697">
        <f t="shared" si="163"/>
        <v>0</v>
      </c>
      <c r="Q181" s="697" t="str">
        <f t="shared" si="163"/>
        <v>-</v>
      </c>
    </row>
    <row r="182" spans="1:17" s="485" customFormat="1" ht="14" x14ac:dyDescent="0.25">
      <c r="A182" s="509"/>
      <c r="B182" s="509"/>
      <c r="C182" s="697"/>
      <c r="D182" s="697"/>
      <c r="E182" s="697"/>
      <c r="F182" s="697"/>
      <c r="G182" s="697"/>
      <c r="H182" s="697"/>
      <c r="I182" s="697"/>
      <c r="J182" s="697"/>
      <c r="K182" s="697"/>
      <c r="L182" s="697"/>
      <c r="M182" s="697"/>
      <c r="N182" s="697"/>
      <c r="O182" s="697"/>
      <c r="P182" s="697"/>
      <c r="Q182" s="697"/>
    </row>
    <row r="183" spans="1:17" ht="14" x14ac:dyDescent="0.25">
      <c r="A183" s="1076" t="s">
        <v>99</v>
      </c>
      <c r="B183" s="697">
        <v>1</v>
      </c>
      <c r="C183" s="697">
        <f t="shared" ref="C183:H183" si="164">B10</f>
        <v>230</v>
      </c>
      <c r="D183" s="697">
        <f t="shared" si="164"/>
        <v>0.64</v>
      </c>
      <c r="E183" s="697">
        <f t="shared" si="164"/>
        <v>-0.2</v>
      </c>
      <c r="F183" s="697">
        <f t="shared" si="164"/>
        <v>-0.26</v>
      </c>
      <c r="G183" s="697">
        <f t="shared" si="164"/>
        <v>0.45</v>
      </c>
      <c r="H183" s="697">
        <f t="shared" si="164"/>
        <v>2.7600000000000002</v>
      </c>
      <c r="I183" s="697"/>
      <c r="J183" s="697" t="s">
        <v>99</v>
      </c>
      <c r="K183" s="697">
        <v>1</v>
      </c>
      <c r="L183" s="697">
        <f t="shared" ref="L183:Q183" si="165">B18</f>
        <v>500</v>
      </c>
      <c r="M183" s="697">
        <f t="shared" si="165"/>
        <v>-2</v>
      </c>
      <c r="N183" s="697">
        <f t="shared" si="165"/>
        <v>3.8</v>
      </c>
      <c r="O183" s="697">
        <f t="shared" si="165"/>
        <v>-0.9</v>
      </c>
      <c r="P183" s="697">
        <f t="shared" si="165"/>
        <v>2.9</v>
      </c>
      <c r="Q183" s="697">
        <f t="shared" si="165"/>
        <v>2.9499999999999997</v>
      </c>
    </row>
    <row r="184" spans="1:17" ht="14" x14ac:dyDescent="0.25">
      <c r="A184" s="1076"/>
      <c r="B184" s="697">
        <v>2</v>
      </c>
      <c r="C184" s="697">
        <f t="shared" ref="C184:H184" si="166">I10</f>
        <v>230</v>
      </c>
      <c r="D184" s="697">
        <f t="shared" si="166"/>
        <v>1.08</v>
      </c>
      <c r="E184" s="697">
        <f t="shared" si="166"/>
        <v>9.9999999999999995E-7</v>
      </c>
      <c r="F184" s="697">
        <f t="shared" si="166"/>
        <v>0.05</v>
      </c>
      <c r="G184" s="697">
        <f t="shared" si="166"/>
        <v>2.4999500000000001E-2</v>
      </c>
      <c r="H184" s="697">
        <f t="shared" si="166"/>
        <v>2.7600000000000002</v>
      </c>
      <c r="I184" s="697"/>
      <c r="J184" s="697"/>
      <c r="K184" s="697">
        <v>2</v>
      </c>
      <c r="L184" s="697">
        <f t="shared" ref="L184:Q184" si="167">I18</f>
        <v>500</v>
      </c>
      <c r="M184" s="697">
        <f t="shared" si="167"/>
        <v>-21.7</v>
      </c>
      <c r="N184" s="697">
        <f t="shared" si="167"/>
        <v>0.8</v>
      </c>
      <c r="O184" s="697">
        <f t="shared" si="167"/>
        <v>2</v>
      </c>
      <c r="P184" s="697">
        <f t="shared" si="167"/>
        <v>0.6</v>
      </c>
      <c r="Q184" s="697">
        <f t="shared" si="167"/>
        <v>2.9499999999999997</v>
      </c>
    </row>
    <row r="185" spans="1:17" ht="14" x14ac:dyDescent="0.25">
      <c r="A185" s="1076"/>
      <c r="B185" s="698">
        <v>3</v>
      </c>
      <c r="C185" s="697">
        <f t="shared" ref="C185:H185" si="168">P10</f>
        <v>230</v>
      </c>
      <c r="D185" s="697">
        <f t="shared" si="168"/>
        <v>-11.79</v>
      </c>
      <c r="E185" s="697">
        <f t="shared" si="168"/>
        <v>-2.52</v>
      </c>
      <c r="F185" s="697">
        <f t="shared" si="168"/>
        <v>-0.23</v>
      </c>
      <c r="G185" s="697">
        <f t="shared" si="168"/>
        <v>5.7799999999999994</v>
      </c>
      <c r="H185" s="697">
        <f t="shared" si="168"/>
        <v>2.7600000000000002</v>
      </c>
      <c r="I185" s="697"/>
      <c r="J185" s="697"/>
      <c r="K185" s="697">
        <v>3</v>
      </c>
      <c r="L185" s="697">
        <f t="shared" ref="L185:Q185" si="169">P18</f>
        <v>500</v>
      </c>
      <c r="M185" s="697">
        <f t="shared" si="169"/>
        <v>-18.8</v>
      </c>
      <c r="N185" s="697">
        <f t="shared" si="169"/>
        <v>-1.1000000000000001</v>
      </c>
      <c r="O185" s="697">
        <f t="shared" si="169"/>
        <v>2.9</v>
      </c>
      <c r="P185" s="697">
        <f t="shared" si="169"/>
        <v>10.85</v>
      </c>
      <c r="Q185" s="697">
        <f t="shared" si="169"/>
        <v>2.9499999999999997</v>
      </c>
    </row>
    <row r="186" spans="1:17" ht="14" x14ac:dyDescent="0.25">
      <c r="A186" s="1076"/>
      <c r="B186" s="698">
        <v>4</v>
      </c>
      <c r="C186" s="697">
        <f t="shared" ref="C186:H186" si="170">B41</f>
        <v>230</v>
      </c>
      <c r="D186" s="697">
        <f t="shared" si="170"/>
        <v>0.11</v>
      </c>
      <c r="E186" s="697">
        <f t="shared" si="170"/>
        <v>-0.11</v>
      </c>
      <c r="F186" s="697">
        <f t="shared" si="170"/>
        <v>1.1100000000000001</v>
      </c>
      <c r="G186" s="697">
        <f t="shared" si="170"/>
        <v>0.6100000000000001</v>
      </c>
      <c r="H186" s="697">
        <f t="shared" si="170"/>
        <v>2.7600000000000002</v>
      </c>
      <c r="I186" s="697"/>
      <c r="J186" s="697"/>
      <c r="K186" s="697">
        <v>4</v>
      </c>
      <c r="L186" s="697">
        <f t="shared" ref="L186:Q186" si="171">B49</f>
        <v>500</v>
      </c>
      <c r="M186" s="697">
        <f t="shared" si="171"/>
        <v>3.5</v>
      </c>
      <c r="N186" s="697">
        <f t="shared" si="171"/>
        <v>0.2</v>
      </c>
      <c r="O186" s="697">
        <f t="shared" si="171"/>
        <v>1.2</v>
      </c>
      <c r="P186" s="697">
        <f t="shared" si="171"/>
        <v>0.5</v>
      </c>
      <c r="Q186" s="697">
        <f t="shared" si="171"/>
        <v>2.9499999999999997</v>
      </c>
    </row>
    <row r="187" spans="1:17" ht="14" x14ac:dyDescent="0.25">
      <c r="A187" s="1076"/>
      <c r="B187" s="508">
        <v>5</v>
      </c>
      <c r="C187" s="697">
        <f t="shared" ref="C187:H187" si="172">I41</f>
        <v>230</v>
      </c>
      <c r="D187" s="697">
        <f t="shared" si="172"/>
        <v>-0.14000000000000001</v>
      </c>
      <c r="E187" s="697">
        <f t="shared" si="172"/>
        <v>0.73</v>
      </c>
      <c r="F187" s="697">
        <f t="shared" si="172"/>
        <v>-0.16</v>
      </c>
      <c r="G187" s="697">
        <f t="shared" si="172"/>
        <v>0.44500000000000001</v>
      </c>
      <c r="H187" s="697">
        <f t="shared" si="172"/>
        <v>2.7600000000000002</v>
      </c>
      <c r="I187" s="697"/>
      <c r="J187" s="697"/>
      <c r="K187" s="697">
        <v>5</v>
      </c>
      <c r="L187" s="697">
        <f t="shared" ref="L187:Q187" si="173">I49</f>
        <v>500</v>
      </c>
      <c r="M187" s="697">
        <f t="shared" si="173"/>
        <v>5.7</v>
      </c>
      <c r="N187" s="697">
        <f t="shared" si="173"/>
        <v>0.7</v>
      </c>
      <c r="O187" s="697">
        <f t="shared" si="173"/>
        <v>0.7</v>
      </c>
      <c r="P187" s="697">
        <f t="shared" si="173"/>
        <v>2.5</v>
      </c>
      <c r="Q187" s="697">
        <f t="shared" si="173"/>
        <v>2.9499999999999997</v>
      </c>
    </row>
    <row r="188" spans="1:17" ht="14" x14ac:dyDescent="0.25">
      <c r="A188" s="1076"/>
      <c r="B188" s="508">
        <v>6</v>
      </c>
      <c r="C188" s="697">
        <f t="shared" ref="C188:H188" si="174">P41</f>
        <v>230</v>
      </c>
      <c r="D188" s="697">
        <f t="shared" si="174"/>
        <v>0.04</v>
      </c>
      <c r="E188" s="697">
        <f t="shared" si="174"/>
        <v>0.08</v>
      </c>
      <c r="F188" s="697">
        <f t="shared" si="174"/>
        <v>-0.15</v>
      </c>
      <c r="G188" s="697">
        <f t="shared" si="174"/>
        <v>0.11499999999999999</v>
      </c>
      <c r="H188" s="697">
        <f t="shared" si="174"/>
        <v>2.7600000000000002</v>
      </c>
      <c r="I188" s="697"/>
      <c r="J188" s="697"/>
      <c r="K188" s="697">
        <v>6</v>
      </c>
      <c r="L188" s="697">
        <f t="shared" ref="L188:Q188" si="175">P49</f>
        <v>500</v>
      </c>
      <c r="M188" s="697">
        <f t="shared" si="175"/>
        <v>10.8</v>
      </c>
      <c r="N188" s="697">
        <f t="shared" si="175"/>
        <v>6.2</v>
      </c>
      <c r="O188" s="697">
        <f t="shared" si="175"/>
        <v>1.1000000000000001</v>
      </c>
      <c r="P188" s="697">
        <f t="shared" si="175"/>
        <v>2.5499999999999998</v>
      </c>
      <c r="Q188" s="697">
        <f t="shared" si="175"/>
        <v>2.9499999999999997</v>
      </c>
    </row>
    <row r="189" spans="1:17" ht="14" x14ac:dyDescent="0.25">
      <c r="A189" s="1076"/>
      <c r="B189" s="508">
        <v>7</v>
      </c>
      <c r="C189" s="697">
        <f t="shared" ref="C189:H189" si="176">B72</f>
        <v>230</v>
      </c>
      <c r="D189" s="697">
        <f t="shared" si="176"/>
        <v>0.38</v>
      </c>
      <c r="E189" s="697">
        <f t="shared" si="176"/>
        <v>0.47</v>
      </c>
      <c r="F189" s="697">
        <f t="shared" si="176"/>
        <v>0.47</v>
      </c>
      <c r="G189" s="697">
        <f t="shared" si="176"/>
        <v>0</v>
      </c>
      <c r="H189" s="697">
        <f t="shared" si="176"/>
        <v>2.7600000000000002</v>
      </c>
      <c r="I189" s="697"/>
      <c r="J189" s="697"/>
      <c r="K189" s="697">
        <v>7</v>
      </c>
      <c r="L189" s="697">
        <f t="shared" ref="L189:Q189" si="177">B80</f>
        <v>500</v>
      </c>
      <c r="M189" s="697">
        <f t="shared" si="177"/>
        <v>9.3000000000000007</v>
      </c>
      <c r="N189" s="697">
        <f t="shared" si="177"/>
        <v>0.9</v>
      </c>
      <c r="O189" s="697">
        <f t="shared" si="177"/>
        <v>3</v>
      </c>
      <c r="P189" s="697">
        <f t="shared" si="177"/>
        <v>1.05</v>
      </c>
      <c r="Q189" s="697">
        <f t="shared" si="177"/>
        <v>2.9499999999999997</v>
      </c>
    </row>
    <row r="190" spans="1:17" ht="14" x14ac:dyDescent="0.25">
      <c r="A190" s="1076"/>
      <c r="B190" s="508">
        <v>8</v>
      </c>
      <c r="C190" s="697">
        <f t="shared" ref="C190:H190" si="178">I72</f>
        <v>230</v>
      </c>
      <c r="D190" s="697">
        <f t="shared" si="178"/>
        <v>-0.15</v>
      </c>
      <c r="E190" s="697">
        <f t="shared" si="178"/>
        <v>-0.54</v>
      </c>
      <c r="F190" s="697">
        <f t="shared" si="178"/>
        <v>0</v>
      </c>
      <c r="G190" s="697">
        <f t="shared" si="178"/>
        <v>0.19500000000000001</v>
      </c>
      <c r="H190" s="697">
        <f t="shared" si="178"/>
        <v>2.7600000000000002</v>
      </c>
      <c r="I190" s="697"/>
      <c r="J190" s="697"/>
      <c r="K190" s="697">
        <v>8</v>
      </c>
      <c r="L190" s="697">
        <f t="shared" ref="L190:Q190" si="179">I80</f>
        <v>500</v>
      </c>
      <c r="M190" s="697">
        <f t="shared" si="179"/>
        <v>-31.8</v>
      </c>
      <c r="N190" s="697">
        <f t="shared" si="179"/>
        <v>8.3000000000000007</v>
      </c>
      <c r="O190" s="697">
        <f t="shared" si="179"/>
        <v>0</v>
      </c>
      <c r="P190" s="697">
        <f t="shared" si="179"/>
        <v>20.05</v>
      </c>
      <c r="Q190" s="697">
        <f t="shared" si="179"/>
        <v>2.9499999999999997</v>
      </c>
    </row>
    <row r="191" spans="1:17" ht="14" x14ac:dyDescent="0.25">
      <c r="A191" s="1076"/>
      <c r="B191" s="508">
        <v>9</v>
      </c>
      <c r="C191" s="697">
        <f t="shared" ref="C191:H191" si="180">P72</f>
        <v>230</v>
      </c>
      <c r="D191" s="697">
        <f t="shared" si="180"/>
        <v>-0.34</v>
      </c>
      <c r="E191" s="697">
        <f t="shared" si="180"/>
        <v>-0.39</v>
      </c>
      <c r="F191" s="697">
        <f t="shared" si="180"/>
        <v>0</v>
      </c>
      <c r="G191" s="697">
        <f t="shared" si="180"/>
        <v>2.4999999999999994E-2</v>
      </c>
      <c r="H191" s="697">
        <f t="shared" si="180"/>
        <v>2.7600000000000002</v>
      </c>
      <c r="I191" s="697"/>
      <c r="J191" s="697"/>
      <c r="K191" s="697">
        <v>9</v>
      </c>
      <c r="L191" s="697">
        <f t="shared" ref="L191:Q191" si="181">P80</f>
        <v>500</v>
      </c>
      <c r="M191" s="697">
        <f t="shared" si="181"/>
        <v>-25.1</v>
      </c>
      <c r="N191" s="697">
        <f t="shared" si="181"/>
        <v>7.2</v>
      </c>
      <c r="O191" s="697">
        <f t="shared" si="181"/>
        <v>0</v>
      </c>
      <c r="P191" s="697">
        <f t="shared" si="181"/>
        <v>16.150000000000002</v>
      </c>
      <c r="Q191" s="697">
        <f t="shared" si="181"/>
        <v>2.9499999999999997</v>
      </c>
    </row>
    <row r="192" spans="1:17" ht="14" x14ac:dyDescent="0.25">
      <c r="A192" s="1076"/>
      <c r="B192" s="508">
        <v>10</v>
      </c>
      <c r="C192" s="697">
        <f>B103</f>
        <v>230</v>
      </c>
      <c r="D192" s="697">
        <f t="shared" ref="D192:G192" si="182">C103</f>
        <v>-0.11</v>
      </c>
      <c r="E192" s="697" t="str">
        <f t="shared" si="182"/>
        <v>-</v>
      </c>
      <c r="F192" s="697">
        <f t="shared" si="182"/>
        <v>0</v>
      </c>
      <c r="G192" s="697">
        <f t="shared" si="182"/>
        <v>0</v>
      </c>
      <c r="H192" s="697" t="str">
        <f>G103</f>
        <v>-</v>
      </c>
      <c r="I192" s="697"/>
      <c r="J192" s="697"/>
      <c r="K192" s="697">
        <v>10</v>
      </c>
      <c r="L192" s="697">
        <f t="shared" ref="L192:Q192" si="183">B111</f>
        <v>500</v>
      </c>
      <c r="M192" s="697">
        <f t="shared" si="183"/>
        <v>1.5</v>
      </c>
      <c r="N192" s="697" t="str">
        <f t="shared" si="183"/>
        <v>-</v>
      </c>
      <c r="O192" s="697">
        <f t="shared" si="183"/>
        <v>0</v>
      </c>
      <c r="P192" s="697">
        <f t="shared" si="183"/>
        <v>0</v>
      </c>
      <c r="Q192" s="697" t="str">
        <f t="shared" si="183"/>
        <v>-</v>
      </c>
    </row>
    <row r="193" spans="1:17" ht="14" x14ac:dyDescent="0.25">
      <c r="A193" s="1076"/>
      <c r="B193" s="508">
        <v>11</v>
      </c>
      <c r="C193" s="697">
        <f>I103</f>
        <v>230</v>
      </c>
      <c r="D193" s="697">
        <f t="shared" ref="D193:G193" si="184">J103</f>
        <v>9.9999999999999995E-7</v>
      </c>
      <c r="E193" s="697" t="str">
        <f t="shared" si="184"/>
        <v>-</v>
      </c>
      <c r="F193" s="697">
        <f t="shared" si="184"/>
        <v>0</v>
      </c>
      <c r="G193" s="697">
        <f t="shared" si="184"/>
        <v>0</v>
      </c>
      <c r="H193" s="697" t="str">
        <f>N103</f>
        <v>-</v>
      </c>
      <c r="I193" s="697"/>
      <c r="J193" s="697"/>
      <c r="K193" s="697">
        <v>11</v>
      </c>
      <c r="L193" s="697">
        <f t="shared" ref="L193:Q193" si="185">I111</f>
        <v>500</v>
      </c>
      <c r="M193" s="697">
        <f t="shared" si="185"/>
        <v>9.9999999999999995E-7</v>
      </c>
      <c r="N193" s="697" t="str">
        <f t="shared" si="185"/>
        <v>-</v>
      </c>
      <c r="O193" s="697">
        <f t="shared" si="185"/>
        <v>0</v>
      </c>
      <c r="P193" s="697">
        <f t="shared" si="185"/>
        <v>0</v>
      </c>
      <c r="Q193" s="697" t="str">
        <f t="shared" si="185"/>
        <v>-</v>
      </c>
    </row>
    <row r="194" spans="1:17" ht="14" x14ac:dyDescent="0.25">
      <c r="A194" s="1076"/>
      <c r="B194" s="508">
        <v>12</v>
      </c>
      <c r="C194" s="697">
        <f>P103</f>
        <v>230</v>
      </c>
      <c r="D194" s="697">
        <f t="shared" ref="D194:G194" si="186">Q103</f>
        <v>9.9999999999999995E-7</v>
      </c>
      <c r="E194" s="697" t="str">
        <f t="shared" si="186"/>
        <v>-</v>
      </c>
      <c r="F194" s="697">
        <f t="shared" si="186"/>
        <v>0</v>
      </c>
      <c r="G194" s="697">
        <f t="shared" si="186"/>
        <v>0</v>
      </c>
      <c r="H194" s="697" t="str">
        <f>U103</f>
        <v>-</v>
      </c>
      <c r="I194" s="697"/>
      <c r="J194" s="697"/>
      <c r="K194" s="697">
        <v>12</v>
      </c>
      <c r="L194" s="697">
        <f t="shared" ref="L194:Q194" si="187">P111</f>
        <v>500</v>
      </c>
      <c r="M194" s="697">
        <f t="shared" si="187"/>
        <v>9.9999999999999995E-7</v>
      </c>
      <c r="N194" s="697" t="str">
        <f t="shared" si="187"/>
        <v>-</v>
      </c>
      <c r="O194" s="697">
        <f t="shared" si="187"/>
        <v>0</v>
      </c>
      <c r="P194" s="697">
        <f t="shared" si="187"/>
        <v>0</v>
      </c>
      <c r="Q194" s="697" t="str">
        <f t="shared" si="187"/>
        <v>-</v>
      </c>
    </row>
    <row r="195" spans="1:17" s="485" customFormat="1" ht="14" x14ac:dyDescent="0.25">
      <c r="A195" s="509"/>
      <c r="B195" s="509"/>
      <c r="C195" s="697"/>
      <c r="D195" s="697"/>
      <c r="E195" s="697"/>
      <c r="F195" s="697"/>
      <c r="G195" s="697"/>
      <c r="H195" s="697"/>
      <c r="I195" s="697"/>
      <c r="J195" s="697"/>
      <c r="K195" s="697"/>
      <c r="L195" s="697"/>
      <c r="M195" s="697"/>
      <c r="N195" s="697"/>
      <c r="O195" s="697"/>
      <c r="P195" s="697"/>
      <c r="Q195" s="697"/>
    </row>
    <row r="196" spans="1:17" ht="14" x14ac:dyDescent="0.25">
      <c r="A196" s="1076" t="s">
        <v>405</v>
      </c>
      <c r="B196" s="697">
        <v>1</v>
      </c>
      <c r="C196" s="697">
        <f t="shared" ref="C196:H196" si="188">B11</f>
        <v>250</v>
      </c>
      <c r="D196" s="697">
        <f t="shared" si="188"/>
        <v>-0.36</v>
      </c>
      <c r="E196" s="697">
        <f t="shared" si="188"/>
        <v>-0.32</v>
      </c>
      <c r="F196" s="697">
        <f t="shared" si="188"/>
        <v>9.9999999999999995E-7</v>
      </c>
      <c r="G196" s="697">
        <f t="shared" si="188"/>
        <v>0.18000049999999998</v>
      </c>
      <c r="H196" s="697">
        <f t="shared" si="188"/>
        <v>3</v>
      </c>
      <c r="I196" s="697"/>
      <c r="J196" s="697" t="s">
        <v>405</v>
      </c>
      <c r="K196" s="697">
        <v>1</v>
      </c>
      <c r="L196" s="697">
        <f t="shared" ref="L196:Q196" si="189">B19</f>
        <v>1000</v>
      </c>
      <c r="M196" s="697">
        <f t="shared" si="189"/>
        <v>-26</v>
      </c>
      <c r="N196" s="697">
        <f t="shared" si="189"/>
        <v>9.9999999999999995E-7</v>
      </c>
      <c r="O196" s="697">
        <f t="shared" si="189"/>
        <v>9.9999999999999995E-7</v>
      </c>
      <c r="P196" s="697">
        <f t="shared" si="189"/>
        <v>13.000000500000001</v>
      </c>
      <c r="Q196" s="697">
        <f t="shared" si="189"/>
        <v>5.8999999999999995</v>
      </c>
    </row>
    <row r="197" spans="1:17" ht="14" x14ac:dyDescent="0.25">
      <c r="A197" s="1076"/>
      <c r="B197" s="697">
        <v>2</v>
      </c>
      <c r="C197" s="697">
        <f t="shared" ref="C197:H197" si="190">I11</f>
        <v>250</v>
      </c>
      <c r="D197" s="697">
        <f t="shared" si="190"/>
        <v>-0.01</v>
      </c>
      <c r="E197" s="697">
        <f t="shared" si="190"/>
        <v>9.9999999999999995E-7</v>
      </c>
      <c r="F197" s="697">
        <f t="shared" si="190"/>
        <v>9.9999999999999995E-7</v>
      </c>
      <c r="G197" s="697">
        <f t="shared" si="190"/>
        <v>0</v>
      </c>
      <c r="H197" s="697">
        <f t="shared" si="190"/>
        <v>2.76</v>
      </c>
      <c r="I197" s="697"/>
      <c r="J197" s="697"/>
      <c r="K197" s="697">
        <v>2</v>
      </c>
      <c r="L197" s="697">
        <f t="shared" ref="L197:Q197" si="191">I19</f>
        <v>1000</v>
      </c>
      <c r="M197" s="697">
        <f t="shared" si="191"/>
        <v>-6.7000000000000004E-2</v>
      </c>
      <c r="N197" s="697">
        <f t="shared" si="191"/>
        <v>9.9999999999999995E-7</v>
      </c>
      <c r="O197" s="697">
        <f t="shared" si="191"/>
        <v>9.9999999999999995E-7</v>
      </c>
      <c r="P197" s="697">
        <f t="shared" si="191"/>
        <v>0</v>
      </c>
      <c r="Q197" s="697">
        <f t="shared" si="191"/>
        <v>5.8999999999999995</v>
      </c>
    </row>
    <row r="198" spans="1:17" ht="14" x14ac:dyDescent="0.25">
      <c r="A198" s="1076"/>
      <c r="B198" s="698">
        <v>3</v>
      </c>
      <c r="C198" s="697">
        <f t="shared" ref="C198:H198" si="192">P11</f>
        <v>250</v>
      </c>
      <c r="D198" s="697">
        <f t="shared" si="192"/>
        <v>9.9999999999999995E-7</v>
      </c>
      <c r="E198" s="697">
        <f t="shared" si="192"/>
        <v>9.9999999999999995E-7</v>
      </c>
      <c r="F198" s="697">
        <f t="shared" si="192"/>
        <v>9.9999999999999995E-7</v>
      </c>
      <c r="G198" s="697">
        <f t="shared" si="192"/>
        <v>0</v>
      </c>
      <c r="H198" s="697">
        <f t="shared" si="192"/>
        <v>3</v>
      </c>
      <c r="I198" s="697"/>
      <c r="J198" s="697"/>
      <c r="K198" s="697">
        <v>3</v>
      </c>
      <c r="L198" s="697">
        <f t="shared" ref="L198:Q198" si="193">P19</f>
        <v>1000</v>
      </c>
      <c r="M198" s="697">
        <f t="shared" si="193"/>
        <v>-47</v>
      </c>
      <c r="N198" s="697">
        <f t="shared" si="193"/>
        <v>3</v>
      </c>
      <c r="O198" s="697">
        <f t="shared" si="193"/>
        <v>3</v>
      </c>
      <c r="P198" s="697">
        <f t="shared" si="193"/>
        <v>25</v>
      </c>
      <c r="Q198" s="697">
        <f t="shared" si="193"/>
        <v>5.8999999999999995</v>
      </c>
    </row>
    <row r="199" spans="1:17" ht="14" x14ac:dyDescent="0.25">
      <c r="A199" s="1076"/>
      <c r="B199" s="698">
        <v>4</v>
      </c>
      <c r="C199" s="697">
        <f t="shared" ref="C199:H199" si="194">B42</f>
        <v>250</v>
      </c>
      <c r="D199" s="697">
        <f t="shared" si="194"/>
        <v>0</v>
      </c>
      <c r="E199" s="697">
        <f t="shared" si="194"/>
        <v>9.9999999999999995E-7</v>
      </c>
      <c r="F199" s="697">
        <f t="shared" si="194"/>
        <v>9.9999999999999995E-7</v>
      </c>
      <c r="G199" s="697">
        <f t="shared" si="194"/>
        <v>0</v>
      </c>
      <c r="H199" s="697">
        <f t="shared" si="194"/>
        <v>3</v>
      </c>
      <c r="I199" s="697"/>
      <c r="J199" s="697"/>
      <c r="K199" s="697">
        <v>4</v>
      </c>
      <c r="L199" s="697">
        <f t="shared" ref="L199:Q199" si="195">B50</f>
        <v>1000</v>
      </c>
      <c r="M199" s="697">
        <f t="shared" si="195"/>
        <v>-1</v>
      </c>
      <c r="N199" s="697">
        <f t="shared" si="195"/>
        <v>2</v>
      </c>
      <c r="O199" s="697">
        <f t="shared" si="195"/>
        <v>2</v>
      </c>
      <c r="P199" s="697">
        <f t="shared" si="195"/>
        <v>0</v>
      </c>
      <c r="Q199" s="697">
        <f t="shared" si="195"/>
        <v>5.8999999999999995</v>
      </c>
    </row>
    <row r="200" spans="1:17" ht="14" x14ac:dyDescent="0.25">
      <c r="A200" s="1076"/>
      <c r="B200" s="508">
        <v>5</v>
      </c>
      <c r="C200" s="697">
        <f t="shared" ref="C200:H200" si="196">I42</f>
        <v>240</v>
      </c>
      <c r="D200" s="697">
        <f t="shared" si="196"/>
        <v>-0.31</v>
      </c>
      <c r="E200" s="697">
        <f t="shared" si="196"/>
        <v>9.9999999999999995E-7</v>
      </c>
      <c r="F200" s="697">
        <f t="shared" si="196"/>
        <v>9.9999999999999995E-7</v>
      </c>
      <c r="G200" s="697">
        <f t="shared" si="196"/>
        <v>0.15500049999999999</v>
      </c>
      <c r="H200" s="697">
        <f t="shared" si="196"/>
        <v>2.88</v>
      </c>
      <c r="I200" s="697"/>
      <c r="J200" s="697"/>
      <c r="K200" s="697">
        <v>5</v>
      </c>
      <c r="L200" s="697">
        <f t="shared" ref="L200:Q200" si="197">I50</f>
        <v>1000</v>
      </c>
      <c r="M200" s="697">
        <f t="shared" si="197"/>
        <v>-88</v>
      </c>
      <c r="N200" s="697">
        <f t="shared" si="197"/>
        <v>9.9999999999999995E-7</v>
      </c>
      <c r="O200" s="697">
        <f t="shared" si="197"/>
        <v>9.9999999999999995E-7</v>
      </c>
      <c r="P200" s="697">
        <f t="shared" si="197"/>
        <v>44.000000499999999</v>
      </c>
      <c r="Q200" s="697">
        <f t="shared" si="197"/>
        <v>5.8999999999999995</v>
      </c>
    </row>
    <row r="201" spans="1:17" ht="14" x14ac:dyDescent="0.25">
      <c r="A201" s="1076"/>
      <c r="B201" s="508">
        <v>6</v>
      </c>
      <c r="C201" s="697">
        <f t="shared" ref="C201:H201" si="198">P42</f>
        <v>250</v>
      </c>
      <c r="D201" s="697">
        <f t="shared" si="198"/>
        <v>0</v>
      </c>
      <c r="E201" s="697">
        <f t="shared" si="198"/>
        <v>0</v>
      </c>
      <c r="F201" s="697">
        <f t="shared" si="198"/>
        <v>9.9999999999999995E-7</v>
      </c>
      <c r="G201" s="697">
        <f t="shared" si="198"/>
        <v>4.9999999999999998E-7</v>
      </c>
      <c r="H201" s="697">
        <f t="shared" si="198"/>
        <v>0</v>
      </c>
      <c r="I201" s="697"/>
      <c r="J201" s="697"/>
      <c r="K201" s="697">
        <v>6</v>
      </c>
      <c r="L201" s="697">
        <f t="shared" ref="L201:Q201" si="199">P50</f>
        <v>1000</v>
      </c>
      <c r="M201" s="697">
        <f t="shared" si="199"/>
        <v>-88</v>
      </c>
      <c r="N201" s="697">
        <f t="shared" si="199"/>
        <v>0</v>
      </c>
      <c r="O201" s="697">
        <f t="shared" si="199"/>
        <v>9.9999999999999995E-7</v>
      </c>
      <c r="P201" s="697">
        <f t="shared" si="199"/>
        <v>4.9999999999999998E-7</v>
      </c>
      <c r="Q201" s="697">
        <f t="shared" si="199"/>
        <v>5.8999999999999995</v>
      </c>
    </row>
    <row r="202" spans="1:17" ht="14" x14ac:dyDescent="0.25">
      <c r="A202" s="1076"/>
      <c r="B202" s="508">
        <v>7</v>
      </c>
      <c r="C202" s="697">
        <f t="shared" ref="C202:H202" si="200">B73</f>
        <v>240</v>
      </c>
      <c r="D202" s="697">
        <f t="shared" si="200"/>
        <v>0.44</v>
      </c>
      <c r="E202" s="697">
        <f t="shared" si="200"/>
        <v>0</v>
      </c>
      <c r="F202" s="697">
        <f t="shared" si="200"/>
        <v>0.38</v>
      </c>
      <c r="G202" s="697">
        <f t="shared" si="200"/>
        <v>0.19</v>
      </c>
      <c r="H202" s="697">
        <f t="shared" si="200"/>
        <v>2.88</v>
      </c>
      <c r="I202" s="697"/>
      <c r="J202" s="697"/>
      <c r="K202" s="697">
        <v>7</v>
      </c>
      <c r="L202" s="697">
        <f t="shared" ref="L202:Q202" si="201">B81</f>
        <v>1000</v>
      </c>
      <c r="M202" s="697">
        <f>C81</f>
        <v>-88</v>
      </c>
      <c r="N202" s="697">
        <f t="shared" ref="N202:P202" si="202">D81</f>
        <v>0</v>
      </c>
      <c r="O202" s="697">
        <f t="shared" si="202"/>
        <v>9.9999999999999995E-7</v>
      </c>
      <c r="P202" s="697">
        <f t="shared" si="202"/>
        <v>4.9999999999999998E-7</v>
      </c>
      <c r="Q202" s="697">
        <f t="shared" si="201"/>
        <v>5.8999999999999995</v>
      </c>
    </row>
    <row r="203" spans="1:17" ht="14" x14ac:dyDescent="0.25">
      <c r="A203" s="1076"/>
      <c r="B203" s="508">
        <v>8</v>
      </c>
      <c r="C203" s="697">
        <f t="shared" ref="C203:H203" si="203">I73</f>
        <v>250</v>
      </c>
      <c r="D203" s="697">
        <f t="shared" si="203"/>
        <v>9.9999999999999995E-7</v>
      </c>
      <c r="E203" s="697">
        <f t="shared" si="203"/>
        <v>-0.49</v>
      </c>
      <c r="F203" s="697">
        <f t="shared" si="203"/>
        <v>0</v>
      </c>
      <c r="G203" s="697">
        <f t="shared" si="203"/>
        <v>0.24500049999999998</v>
      </c>
      <c r="H203" s="697">
        <f t="shared" si="203"/>
        <v>3</v>
      </c>
      <c r="I203" s="697"/>
      <c r="J203" s="697"/>
      <c r="K203" s="697">
        <v>8</v>
      </c>
      <c r="L203" s="697">
        <f t="shared" ref="L203:Q203" si="204">I81</f>
        <v>1000</v>
      </c>
      <c r="M203" s="697">
        <f>J81</f>
        <v>-74</v>
      </c>
      <c r="N203" s="697">
        <f t="shared" ref="N203:P203" si="205">K81</f>
        <v>9.9999999999999995E-7</v>
      </c>
      <c r="O203" s="697">
        <f t="shared" si="205"/>
        <v>0</v>
      </c>
      <c r="P203" s="697">
        <f t="shared" si="205"/>
        <v>37.000000499999999</v>
      </c>
      <c r="Q203" s="697">
        <f t="shared" si="204"/>
        <v>5.8999999999999995</v>
      </c>
    </row>
    <row r="204" spans="1:17" ht="14" x14ac:dyDescent="0.25">
      <c r="A204" s="1076"/>
      <c r="B204" s="508">
        <v>9</v>
      </c>
      <c r="C204" s="697">
        <f t="shared" ref="C204:H204" si="206">P73</f>
        <v>250</v>
      </c>
      <c r="D204" s="697">
        <f t="shared" si="206"/>
        <v>0</v>
      </c>
      <c r="E204" s="697">
        <f t="shared" si="206"/>
        <v>-0.39</v>
      </c>
      <c r="F204" s="697">
        <f t="shared" si="206"/>
        <v>0</v>
      </c>
      <c r="G204" s="697">
        <f t="shared" si="206"/>
        <v>0.19500000000000001</v>
      </c>
      <c r="H204" s="697">
        <f t="shared" si="206"/>
        <v>3</v>
      </c>
      <c r="I204" s="697"/>
      <c r="J204" s="697"/>
      <c r="K204" s="697">
        <v>9</v>
      </c>
      <c r="L204" s="697">
        <f t="shared" ref="L204:Q204" si="207">P81</f>
        <v>1000</v>
      </c>
      <c r="M204" s="697">
        <f t="shared" si="207"/>
        <v>-6.6000000000000003E-2</v>
      </c>
      <c r="N204" s="697">
        <f t="shared" si="207"/>
        <v>9.9999999999999995E-7</v>
      </c>
      <c r="O204" s="697">
        <f t="shared" si="207"/>
        <v>0</v>
      </c>
      <c r="P204" s="697">
        <f t="shared" si="207"/>
        <v>3.3000500000000002E-2</v>
      </c>
      <c r="Q204" s="697">
        <f t="shared" si="207"/>
        <v>2.99</v>
      </c>
    </row>
    <row r="205" spans="1:17" ht="14" x14ac:dyDescent="0.25">
      <c r="A205" s="1076"/>
      <c r="B205" s="508">
        <v>10</v>
      </c>
      <c r="C205" s="697">
        <f>B104</f>
        <v>250</v>
      </c>
      <c r="D205" s="697">
        <f t="shared" ref="D205:G205" si="208">C104</f>
        <v>-0.11</v>
      </c>
      <c r="E205" s="697" t="str">
        <f t="shared" si="208"/>
        <v>-</v>
      </c>
      <c r="F205" s="697">
        <f t="shared" si="208"/>
        <v>0</v>
      </c>
      <c r="G205" s="697">
        <f t="shared" si="208"/>
        <v>0</v>
      </c>
      <c r="H205" s="697" t="str">
        <f>G104</f>
        <v>-</v>
      </c>
      <c r="I205" s="697"/>
      <c r="J205" s="697"/>
      <c r="K205" s="697">
        <v>10</v>
      </c>
      <c r="L205" s="697">
        <f t="shared" ref="L205:Q205" si="209">B112</f>
        <v>1000</v>
      </c>
      <c r="M205" s="697">
        <f t="shared" si="209"/>
        <v>2</v>
      </c>
      <c r="N205" s="697" t="str">
        <f t="shared" si="209"/>
        <v>-</v>
      </c>
      <c r="O205" s="697">
        <f t="shared" si="209"/>
        <v>0</v>
      </c>
      <c r="P205" s="697">
        <f t="shared" si="209"/>
        <v>0</v>
      </c>
      <c r="Q205" s="697" t="str">
        <f t="shared" si="209"/>
        <v>-</v>
      </c>
    </row>
    <row r="206" spans="1:17" ht="14" x14ac:dyDescent="0.25">
      <c r="A206" s="1076"/>
      <c r="B206" s="508">
        <v>11</v>
      </c>
      <c r="C206" s="697">
        <f>I104</f>
        <v>250</v>
      </c>
      <c r="D206" s="697">
        <f t="shared" ref="D206:G206" si="210">J104</f>
        <v>9.9999999999999995E-7</v>
      </c>
      <c r="E206" s="697" t="str">
        <f t="shared" si="210"/>
        <v>-</v>
      </c>
      <c r="F206" s="697">
        <f t="shared" si="210"/>
        <v>0</v>
      </c>
      <c r="G206" s="697">
        <f t="shared" si="210"/>
        <v>0</v>
      </c>
      <c r="H206" s="697" t="str">
        <f>N104</f>
        <v>-</v>
      </c>
      <c r="I206" s="697"/>
      <c r="J206" s="697"/>
      <c r="K206" s="697">
        <v>11</v>
      </c>
      <c r="L206" s="697">
        <f t="shared" ref="L206:Q206" si="211">I112</f>
        <v>1000</v>
      </c>
      <c r="M206" s="697">
        <f t="shared" si="211"/>
        <v>9.9999999999999995E-7</v>
      </c>
      <c r="N206" s="697" t="str">
        <f t="shared" si="211"/>
        <v>-</v>
      </c>
      <c r="O206" s="697">
        <f t="shared" si="211"/>
        <v>0</v>
      </c>
      <c r="P206" s="697">
        <f t="shared" si="211"/>
        <v>0</v>
      </c>
      <c r="Q206" s="697" t="str">
        <f t="shared" si="211"/>
        <v>-</v>
      </c>
    </row>
    <row r="207" spans="1:17" ht="14" x14ac:dyDescent="0.25">
      <c r="A207" s="1076"/>
      <c r="B207" s="508">
        <v>12</v>
      </c>
      <c r="C207" s="697">
        <f>P104</f>
        <v>250</v>
      </c>
      <c r="D207" s="697">
        <f t="shared" ref="D207:G207" si="212">Q104</f>
        <v>9.9999999999999995E-7</v>
      </c>
      <c r="E207" s="697" t="str">
        <f t="shared" si="212"/>
        <v>-</v>
      </c>
      <c r="F207" s="697">
        <f t="shared" si="212"/>
        <v>0</v>
      </c>
      <c r="G207" s="697">
        <f t="shared" si="212"/>
        <v>0</v>
      </c>
      <c r="H207" s="697" t="str">
        <f>U104</f>
        <v>-</v>
      </c>
      <c r="I207" s="697"/>
      <c r="J207" s="697"/>
      <c r="K207" s="697">
        <v>12</v>
      </c>
      <c r="L207" s="697">
        <f t="shared" ref="L207:Q207" si="213">P112</f>
        <v>1000</v>
      </c>
      <c r="M207" s="697">
        <f t="shared" si="213"/>
        <v>9.9999999999999995E-7</v>
      </c>
      <c r="N207" s="697" t="str">
        <f t="shared" si="213"/>
        <v>-</v>
      </c>
      <c r="O207" s="697">
        <f t="shared" si="213"/>
        <v>0</v>
      </c>
      <c r="P207" s="697">
        <f t="shared" si="213"/>
        <v>0</v>
      </c>
      <c r="Q207" s="697" t="str">
        <f t="shared" si="213"/>
        <v>-</v>
      </c>
    </row>
    <row r="208" spans="1:17" x14ac:dyDescent="0.25">
      <c r="A208" s="513"/>
      <c r="B208" s="66"/>
      <c r="C208" s="66"/>
      <c r="D208" s="513"/>
      <c r="E208" s="513"/>
      <c r="F208" s="513"/>
      <c r="G208" s="513"/>
      <c r="H208" s="513"/>
      <c r="J208" s="513"/>
      <c r="K208" s="513"/>
      <c r="L208" s="513"/>
      <c r="M208" s="513"/>
      <c r="N208" s="513"/>
      <c r="O208" s="513"/>
      <c r="P208" s="513"/>
      <c r="Q208" s="487"/>
    </row>
    <row r="209" spans="1:17" ht="14" x14ac:dyDescent="0.3">
      <c r="A209" s="1072" t="s">
        <v>404</v>
      </c>
      <c r="B209" s="1073"/>
      <c r="C209" s="1074" t="s">
        <v>383</v>
      </c>
      <c r="D209" s="1074"/>
      <c r="E209" s="1074"/>
      <c r="F209" s="1074"/>
      <c r="G209" s="1074"/>
      <c r="H209" s="1074"/>
      <c r="J209" s="1072" t="s">
        <v>404</v>
      </c>
      <c r="K209" s="1073"/>
      <c r="L209" s="1097" t="s">
        <v>383</v>
      </c>
      <c r="M209" s="1097"/>
      <c r="N209" s="1097"/>
      <c r="O209" s="1097"/>
      <c r="P209" s="1097"/>
      <c r="Q209" s="1097"/>
    </row>
    <row r="210" spans="1:17" ht="13" customHeight="1" x14ac:dyDescent="0.25">
      <c r="A210" s="1072"/>
      <c r="B210" s="1073"/>
      <c r="C210" s="1098" t="str">
        <f>B20</f>
        <v>Main-PE</v>
      </c>
      <c r="D210" s="1098"/>
      <c r="E210" s="1098"/>
      <c r="F210" s="1098"/>
      <c r="G210" s="514" t="s">
        <v>385</v>
      </c>
      <c r="H210" s="514" t="s">
        <v>251</v>
      </c>
      <c r="J210" s="1072"/>
      <c r="K210" s="1073"/>
      <c r="L210" s="1098" t="str">
        <f>B26</f>
        <v>Resistance</v>
      </c>
      <c r="M210" s="1098"/>
      <c r="N210" s="1098"/>
      <c r="O210" s="1098"/>
      <c r="P210" s="514" t="s">
        <v>385</v>
      </c>
      <c r="Q210" s="514" t="s">
        <v>251</v>
      </c>
    </row>
    <row r="211" spans="1:17" ht="14.5" x14ac:dyDescent="0.25">
      <c r="A211" s="1072"/>
      <c r="B211" s="1073"/>
      <c r="C211" s="699" t="s">
        <v>389</v>
      </c>
      <c r="D211" s="514"/>
      <c r="E211" s="514"/>
      <c r="F211" s="487"/>
      <c r="G211" s="514"/>
      <c r="H211" s="514"/>
      <c r="J211" s="1072"/>
      <c r="K211" s="1073"/>
      <c r="L211" s="699" t="s">
        <v>390</v>
      </c>
      <c r="M211" s="514"/>
      <c r="N211" s="514"/>
      <c r="O211" s="487"/>
      <c r="P211" s="514"/>
      <c r="Q211" s="514"/>
    </row>
    <row r="212" spans="1:17" x14ac:dyDescent="0.25">
      <c r="A212" s="1099" t="s">
        <v>95</v>
      </c>
      <c r="B212" s="508">
        <v>1</v>
      </c>
      <c r="C212" s="511">
        <f t="shared" ref="C212:H212" si="214">B22</f>
        <v>10</v>
      </c>
      <c r="D212" s="511">
        <f t="shared" si="214"/>
        <v>0</v>
      </c>
      <c r="E212" s="511">
        <f t="shared" si="214"/>
        <v>-1E-3</v>
      </c>
      <c r="F212" s="511">
        <f t="shared" si="214"/>
        <v>9.9999999999999995E-7</v>
      </c>
      <c r="G212" s="511">
        <f t="shared" si="214"/>
        <v>5.0049999999999997E-4</v>
      </c>
      <c r="H212" s="511">
        <f t="shared" si="214"/>
        <v>0.17</v>
      </c>
      <c r="I212" s="511"/>
      <c r="J212" s="511" t="s">
        <v>95</v>
      </c>
      <c r="K212" s="511">
        <v>1</v>
      </c>
      <c r="L212" s="511">
        <f t="shared" ref="L212:Q212" si="215">B28</f>
        <v>0</v>
      </c>
      <c r="M212" s="511">
        <f t="shared" si="215"/>
        <v>-2E-3</v>
      </c>
      <c r="N212" s="511">
        <f t="shared" si="215"/>
        <v>9.9999999999999995E-7</v>
      </c>
      <c r="O212" s="511">
        <f t="shared" si="215"/>
        <v>9.9999999999999995E-7</v>
      </c>
      <c r="P212" s="511">
        <f t="shared" si="215"/>
        <v>1.0005000000000001E-3</v>
      </c>
      <c r="Q212" s="511">
        <f t="shared" si="215"/>
        <v>2.4000000000000001E-5</v>
      </c>
    </row>
    <row r="213" spans="1:17" x14ac:dyDescent="0.25">
      <c r="A213" s="1099"/>
      <c r="B213" s="508">
        <v>2</v>
      </c>
      <c r="C213" s="511">
        <f t="shared" ref="C213:H213" si="216">I22</f>
        <v>10</v>
      </c>
      <c r="D213" s="511">
        <f t="shared" si="216"/>
        <v>0</v>
      </c>
      <c r="E213" s="511">
        <f t="shared" si="216"/>
        <v>0.1</v>
      </c>
      <c r="F213" s="511">
        <f t="shared" si="216"/>
        <v>9.9999999999999995E-7</v>
      </c>
      <c r="G213" s="511">
        <f t="shared" si="216"/>
        <v>4.9999500000000002E-2</v>
      </c>
      <c r="H213" s="511">
        <f t="shared" si="216"/>
        <v>0.17</v>
      </c>
      <c r="I213" s="511"/>
      <c r="J213" s="511"/>
      <c r="K213" s="511">
        <v>2</v>
      </c>
      <c r="L213" s="511">
        <f t="shared" ref="L213:Q213" si="217">I28</f>
        <v>0.01</v>
      </c>
      <c r="M213" s="511">
        <f t="shared" si="217"/>
        <v>0</v>
      </c>
      <c r="N213" s="511">
        <f t="shared" si="217"/>
        <v>9.9999999999999995E-7</v>
      </c>
      <c r="O213" s="511">
        <f t="shared" si="217"/>
        <v>9.9999999999999995E-7</v>
      </c>
      <c r="P213" s="511">
        <f t="shared" si="217"/>
        <v>0</v>
      </c>
      <c r="Q213" s="511">
        <f t="shared" si="217"/>
        <v>1.2E-4</v>
      </c>
    </row>
    <row r="214" spans="1:17" x14ac:dyDescent="0.25">
      <c r="A214" s="1099"/>
      <c r="B214" s="508">
        <v>3</v>
      </c>
      <c r="C214" s="511">
        <f t="shared" ref="C214:H214" si="218">P22</f>
        <v>5</v>
      </c>
      <c r="D214" s="511">
        <f t="shared" si="218"/>
        <v>9.9999999999999995E-7</v>
      </c>
      <c r="E214" s="511">
        <f t="shared" si="218"/>
        <v>9.9999999999999995E-7</v>
      </c>
      <c r="F214" s="511">
        <f t="shared" si="218"/>
        <v>9.9999999999999995E-7</v>
      </c>
      <c r="G214" s="511">
        <f t="shared" si="218"/>
        <v>0</v>
      </c>
      <c r="H214" s="511">
        <f t="shared" si="218"/>
        <v>8.5000000000000006E-2</v>
      </c>
      <c r="I214" s="511"/>
      <c r="J214" s="511"/>
      <c r="K214" s="511">
        <v>3</v>
      </c>
      <c r="L214" s="511">
        <f t="shared" ref="L214:Q214" si="219">P28</f>
        <v>0</v>
      </c>
      <c r="M214" s="511">
        <f t="shared" si="219"/>
        <v>-1E-3</v>
      </c>
      <c r="N214" s="511">
        <f t="shared" si="219"/>
        <v>9.9999999999999995E-7</v>
      </c>
      <c r="O214" s="511">
        <f t="shared" si="219"/>
        <v>9.9999999999999995E-7</v>
      </c>
      <c r="P214" s="511">
        <f t="shared" si="219"/>
        <v>5.0049999999999997E-4</v>
      </c>
      <c r="Q214" s="511">
        <f t="shared" si="219"/>
        <v>0</v>
      </c>
    </row>
    <row r="215" spans="1:17" x14ac:dyDescent="0.25">
      <c r="A215" s="1099"/>
      <c r="B215" s="508">
        <v>4</v>
      </c>
      <c r="C215" s="511">
        <f t="shared" ref="C215:H215" si="220">B53</f>
        <v>10</v>
      </c>
      <c r="D215" s="511">
        <f t="shared" si="220"/>
        <v>0</v>
      </c>
      <c r="E215" s="511">
        <f t="shared" si="220"/>
        <v>9.9999999999999995E-7</v>
      </c>
      <c r="F215" s="511">
        <f t="shared" si="220"/>
        <v>0.1</v>
      </c>
      <c r="G215" s="511">
        <f t="shared" si="220"/>
        <v>4.9999500000000002E-2</v>
      </c>
      <c r="H215" s="511">
        <f t="shared" si="220"/>
        <v>0.17</v>
      </c>
      <c r="I215" s="511"/>
      <c r="J215" s="511"/>
      <c r="K215" s="511">
        <v>4</v>
      </c>
      <c r="L215" s="511">
        <f t="shared" ref="L215:Q215" si="221">B59</f>
        <v>0.01</v>
      </c>
      <c r="M215" s="511">
        <f t="shared" si="221"/>
        <v>0</v>
      </c>
      <c r="N215" s="511">
        <f t="shared" si="221"/>
        <v>9.9999999999999995E-7</v>
      </c>
      <c r="O215" s="511">
        <f t="shared" si="221"/>
        <v>9.9999999999999995E-7</v>
      </c>
      <c r="P215" s="511">
        <f t="shared" si="221"/>
        <v>0</v>
      </c>
      <c r="Q215" s="511">
        <f t="shared" si="221"/>
        <v>1.2E-4</v>
      </c>
    </row>
    <row r="216" spans="1:17" x14ac:dyDescent="0.25">
      <c r="A216" s="1099"/>
      <c r="B216" s="508">
        <v>5</v>
      </c>
      <c r="C216" s="511">
        <f t="shared" ref="C216:H216" si="222">I53</f>
        <v>10</v>
      </c>
      <c r="D216" s="511">
        <f t="shared" si="222"/>
        <v>0</v>
      </c>
      <c r="E216" s="511">
        <f t="shared" si="222"/>
        <v>9.9999999999999995E-7</v>
      </c>
      <c r="F216" s="511">
        <f t="shared" si="222"/>
        <v>0.1</v>
      </c>
      <c r="G216" s="511">
        <f t="shared" si="222"/>
        <v>0.05</v>
      </c>
      <c r="H216" s="511">
        <f t="shared" si="222"/>
        <v>0.17</v>
      </c>
      <c r="I216" s="511"/>
      <c r="J216" s="511"/>
      <c r="K216" s="511">
        <v>5</v>
      </c>
      <c r="L216" s="511">
        <f t="shared" ref="L216:Q216" si="223">I59</f>
        <v>0.01</v>
      </c>
      <c r="M216" s="511">
        <f t="shared" si="223"/>
        <v>0</v>
      </c>
      <c r="N216" s="511">
        <f t="shared" si="223"/>
        <v>9.9999999999999995E-7</v>
      </c>
      <c r="O216" s="511">
        <f t="shared" si="223"/>
        <v>9.9999999999999995E-7</v>
      </c>
      <c r="P216" s="511">
        <f t="shared" si="223"/>
        <v>4.9999999999999998E-7</v>
      </c>
      <c r="Q216" s="511">
        <f t="shared" si="223"/>
        <v>1.2E-4</v>
      </c>
    </row>
    <row r="217" spans="1:17" x14ac:dyDescent="0.25">
      <c r="A217" s="1099"/>
      <c r="B217" s="508">
        <v>6</v>
      </c>
      <c r="C217" s="511">
        <f t="shared" ref="C217:H217" si="224">P53</f>
        <v>10</v>
      </c>
      <c r="D217" s="511">
        <f t="shared" si="224"/>
        <v>0</v>
      </c>
      <c r="E217" s="511">
        <f t="shared" si="224"/>
        <v>0.1</v>
      </c>
      <c r="F217" s="511">
        <f t="shared" si="224"/>
        <v>0.1</v>
      </c>
      <c r="G217" s="511">
        <f t="shared" si="224"/>
        <v>0</v>
      </c>
      <c r="H217" s="511">
        <f t="shared" si="224"/>
        <v>0.17</v>
      </c>
      <c r="I217" s="511"/>
      <c r="J217" s="511"/>
      <c r="K217" s="511">
        <v>6</v>
      </c>
      <c r="L217" s="511">
        <f t="shared" ref="L217:Q217" si="225">P59</f>
        <v>0.01</v>
      </c>
      <c r="M217" s="511">
        <f t="shared" si="225"/>
        <v>0</v>
      </c>
      <c r="N217" s="511">
        <f t="shared" si="225"/>
        <v>0</v>
      </c>
      <c r="O217" s="511">
        <f t="shared" si="225"/>
        <v>9.9999999999999995E-7</v>
      </c>
      <c r="P217" s="511">
        <f t="shared" si="225"/>
        <v>4.9999999999999998E-7</v>
      </c>
      <c r="Q217" s="511">
        <f t="shared" si="225"/>
        <v>1.2E-4</v>
      </c>
    </row>
    <row r="218" spans="1:17" x14ac:dyDescent="0.25">
      <c r="A218" s="1099"/>
      <c r="B218" s="508">
        <v>7</v>
      </c>
      <c r="C218" s="511">
        <f t="shared" ref="C218:H218" si="226">B84</f>
        <v>10</v>
      </c>
      <c r="D218" s="511">
        <f t="shared" si="226"/>
        <v>0</v>
      </c>
      <c r="E218" s="511">
        <f t="shared" si="226"/>
        <v>0</v>
      </c>
      <c r="F218" s="511">
        <f t="shared" si="226"/>
        <v>9.9999999999999995E-7</v>
      </c>
      <c r="G218" s="511">
        <f t="shared" si="226"/>
        <v>4.9999999999999998E-7</v>
      </c>
      <c r="H218" s="511">
        <f t="shared" si="226"/>
        <v>0.17</v>
      </c>
      <c r="I218" s="511"/>
      <c r="J218" s="511"/>
      <c r="K218" s="511">
        <v>7</v>
      </c>
      <c r="L218" s="511">
        <f t="shared" ref="L218:Q218" si="227">B90</f>
        <v>0.01</v>
      </c>
      <c r="M218" s="511">
        <f t="shared" si="227"/>
        <v>0</v>
      </c>
      <c r="N218" s="511">
        <f t="shared" si="227"/>
        <v>0</v>
      </c>
      <c r="O218" s="511">
        <f t="shared" si="227"/>
        <v>9.9999999999999995E-7</v>
      </c>
      <c r="P218" s="511">
        <f t="shared" si="227"/>
        <v>4.9999999999999998E-7</v>
      </c>
      <c r="Q218" s="511">
        <f t="shared" si="227"/>
        <v>1.2E-4</v>
      </c>
    </row>
    <row r="219" spans="1:17" x14ac:dyDescent="0.25">
      <c r="A219" s="1099"/>
      <c r="B219" s="508">
        <v>8</v>
      </c>
      <c r="C219" s="511">
        <f t="shared" ref="C219:H219" si="228">I84</f>
        <v>10</v>
      </c>
      <c r="D219" s="511">
        <f t="shared" si="228"/>
        <v>9.9999999999999995E-7</v>
      </c>
      <c r="E219" s="511">
        <f t="shared" si="228"/>
        <v>9.9999999999999995E-7</v>
      </c>
      <c r="F219" s="511">
        <f t="shared" si="228"/>
        <v>0</v>
      </c>
      <c r="G219" s="511">
        <f t="shared" si="228"/>
        <v>0</v>
      </c>
      <c r="H219" s="511">
        <f t="shared" si="228"/>
        <v>0.17</v>
      </c>
      <c r="I219" s="511"/>
      <c r="J219" s="511"/>
      <c r="K219" s="511">
        <v>8</v>
      </c>
      <c r="L219" s="511">
        <f t="shared" ref="L219:Q219" si="229">I90</f>
        <v>0.1</v>
      </c>
      <c r="M219" s="511">
        <f t="shared" si="229"/>
        <v>-1E-3</v>
      </c>
      <c r="N219" s="511">
        <f t="shared" si="229"/>
        <v>-1E-3</v>
      </c>
      <c r="O219" s="511">
        <f t="shared" si="229"/>
        <v>0</v>
      </c>
      <c r="P219" s="511">
        <f t="shared" si="229"/>
        <v>0</v>
      </c>
      <c r="Q219" s="511">
        <f t="shared" si="229"/>
        <v>1.2000000000000001E-3</v>
      </c>
    </row>
    <row r="220" spans="1:17" x14ac:dyDescent="0.25">
      <c r="A220" s="1099"/>
      <c r="B220" s="508">
        <v>9</v>
      </c>
      <c r="C220" s="511">
        <f t="shared" ref="C220:H220" si="230">P84</f>
        <v>10</v>
      </c>
      <c r="D220" s="511">
        <f t="shared" si="230"/>
        <v>0</v>
      </c>
      <c r="E220" s="511">
        <f t="shared" si="230"/>
        <v>9.9999999999999995E-7</v>
      </c>
      <c r="F220" s="511">
        <f t="shared" si="230"/>
        <v>0</v>
      </c>
      <c r="G220" s="511">
        <f t="shared" si="230"/>
        <v>4.9999999999999998E-7</v>
      </c>
      <c r="H220" s="511">
        <f t="shared" si="230"/>
        <v>0</v>
      </c>
      <c r="I220" s="511"/>
      <c r="J220" s="511"/>
      <c r="K220" s="511">
        <v>9</v>
      </c>
      <c r="L220" s="511">
        <f t="shared" ref="L220:Q220" si="231">P90</f>
        <v>1E-3</v>
      </c>
      <c r="M220" s="511">
        <f t="shared" si="231"/>
        <v>0</v>
      </c>
      <c r="N220" s="511">
        <f t="shared" si="231"/>
        <v>-1E-3</v>
      </c>
      <c r="O220" s="511">
        <f t="shared" si="231"/>
        <v>0</v>
      </c>
      <c r="P220" s="511">
        <f t="shared" si="231"/>
        <v>5.0000000000000001E-4</v>
      </c>
      <c r="Q220" s="511">
        <f t="shared" si="231"/>
        <v>1.2E-5</v>
      </c>
    </row>
    <row r="221" spans="1:17" x14ac:dyDescent="0.25">
      <c r="A221" s="1099"/>
      <c r="B221" s="508">
        <v>10</v>
      </c>
      <c r="C221" s="511">
        <f>B115</f>
        <v>10</v>
      </c>
      <c r="D221" s="511">
        <f t="shared" ref="D221:G221" si="232">C115</f>
        <v>9.9999999999999995E-7</v>
      </c>
      <c r="E221" s="511" t="str">
        <f t="shared" si="232"/>
        <v>-</v>
      </c>
      <c r="F221" s="511">
        <f t="shared" si="232"/>
        <v>0</v>
      </c>
      <c r="G221" s="511">
        <f t="shared" si="232"/>
        <v>0</v>
      </c>
      <c r="H221" s="511" t="str">
        <f>G115</f>
        <v>-</v>
      </c>
      <c r="I221" s="511"/>
      <c r="J221" s="511"/>
      <c r="K221" s="511">
        <v>10</v>
      </c>
      <c r="L221" s="511">
        <f t="shared" ref="L221:Q221" si="233">B121</f>
        <v>0</v>
      </c>
      <c r="M221" s="511">
        <f t="shared" si="233"/>
        <v>9.9999999999999995E-7</v>
      </c>
      <c r="N221" s="511" t="str">
        <f t="shared" si="233"/>
        <v>-</v>
      </c>
      <c r="O221" s="511">
        <f t="shared" si="233"/>
        <v>0</v>
      </c>
      <c r="P221" s="511">
        <f t="shared" si="233"/>
        <v>0</v>
      </c>
      <c r="Q221" s="511" t="str">
        <f t="shared" si="233"/>
        <v>-</v>
      </c>
    </row>
    <row r="222" spans="1:17" x14ac:dyDescent="0.25">
      <c r="A222" s="1099"/>
      <c r="B222" s="508">
        <v>11</v>
      </c>
      <c r="C222" s="511">
        <f>I115</f>
        <v>10</v>
      </c>
      <c r="D222" s="511">
        <f t="shared" ref="D222:G222" si="234">J115</f>
        <v>9.9999999999999995E-7</v>
      </c>
      <c r="E222" s="511" t="str">
        <f t="shared" si="234"/>
        <v>-</v>
      </c>
      <c r="F222" s="511">
        <f t="shared" si="234"/>
        <v>0</v>
      </c>
      <c r="G222" s="511">
        <f t="shared" si="234"/>
        <v>0</v>
      </c>
      <c r="H222" s="511" t="str">
        <f>N115</f>
        <v>-</v>
      </c>
      <c r="I222" s="511"/>
      <c r="J222" s="511"/>
      <c r="K222" s="511">
        <v>11</v>
      </c>
      <c r="L222" s="511">
        <f t="shared" ref="L222:Q222" si="235">I121</f>
        <v>0.01</v>
      </c>
      <c r="M222" s="511">
        <f t="shared" si="235"/>
        <v>9.9999999999999995E-7</v>
      </c>
      <c r="N222" s="511" t="str">
        <f t="shared" si="235"/>
        <v>-</v>
      </c>
      <c r="O222" s="511">
        <f t="shared" si="235"/>
        <v>0</v>
      </c>
      <c r="P222" s="511">
        <f t="shared" si="235"/>
        <v>0</v>
      </c>
      <c r="Q222" s="511" t="str">
        <f t="shared" si="235"/>
        <v>-</v>
      </c>
    </row>
    <row r="223" spans="1:17" x14ac:dyDescent="0.25">
      <c r="A223" s="1099"/>
      <c r="B223" s="508">
        <v>12</v>
      </c>
      <c r="C223" s="511">
        <f>P115</f>
        <v>10</v>
      </c>
      <c r="D223" s="511">
        <f t="shared" ref="D223:G223" si="236">Q115</f>
        <v>9.9999999999999995E-7</v>
      </c>
      <c r="E223" s="511" t="str">
        <f t="shared" si="236"/>
        <v>-</v>
      </c>
      <c r="F223" s="511">
        <f t="shared" si="236"/>
        <v>0</v>
      </c>
      <c r="G223" s="511">
        <f t="shared" si="236"/>
        <v>0</v>
      </c>
      <c r="H223" s="511" t="str">
        <f>U115</f>
        <v>-</v>
      </c>
      <c r="I223" s="511"/>
      <c r="J223" s="511"/>
      <c r="K223" s="511">
        <v>12</v>
      </c>
      <c r="L223" s="511">
        <f t="shared" ref="L223:Q223" si="237">P121</f>
        <v>0.01</v>
      </c>
      <c r="M223" s="511">
        <f t="shared" si="237"/>
        <v>9.9999999999999995E-7</v>
      </c>
      <c r="N223" s="511" t="str">
        <f t="shared" si="237"/>
        <v>-</v>
      </c>
      <c r="O223" s="511">
        <f t="shared" si="237"/>
        <v>0</v>
      </c>
      <c r="P223" s="511">
        <f t="shared" si="237"/>
        <v>0</v>
      </c>
      <c r="Q223" s="511" t="str">
        <f t="shared" si="237"/>
        <v>-</v>
      </c>
    </row>
    <row r="224" spans="1:17" s="485" customFormat="1" x14ac:dyDescent="0.25">
      <c r="A224" s="515"/>
      <c r="B224" s="509"/>
      <c r="C224" s="511"/>
      <c r="D224" s="511"/>
      <c r="E224" s="511"/>
      <c r="F224" s="511"/>
      <c r="G224" s="511"/>
      <c r="H224" s="511"/>
      <c r="I224" s="511"/>
      <c r="J224" s="511"/>
      <c r="K224" s="511"/>
      <c r="L224" s="511"/>
      <c r="M224" s="511"/>
      <c r="N224" s="511"/>
      <c r="O224" s="511"/>
      <c r="P224" s="511"/>
      <c r="Q224" s="511"/>
    </row>
    <row r="225" spans="1:17" x14ac:dyDescent="0.25">
      <c r="A225" s="1099" t="s">
        <v>96</v>
      </c>
      <c r="B225" s="508">
        <v>1</v>
      </c>
      <c r="C225" s="511">
        <f t="shared" ref="C225:H225" si="238">B23</f>
        <v>20</v>
      </c>
      <c r="D225" s="511">
        <f t="shared" si="238"/>
        <v>0.1</v>
      </c>
      <c r="E225" s="511">
        <f t="shared" si="238"/>
        <v>9.9999999999999995E-7</v>
      </c>
      <c r="F225" s="511">
        <f t="shared" si="238"/>
        <v>9.9999999999999995E-7</v>
      </c>
      <c r="G225" s="511">
        <f t="shared" si="238"/>
        <v>4.9999500000000002E-2</v>
      </c>
      <c r="H225" s="511">
        <f t="shared" si="238"/>
        <v>0.33829999999999999</v>
      </c>
      <c r="I225" s="511"/>
      <c r="J225" s="511" t="s">
        <v>96</v>
      </c>
      <c r="K225" s="511">
        <v>1</v>
      </c>
      <c r="L225" s="511">
        <f t="shared" ref="L225:Q225" si="239">B29</f>
        <v>0.1</v>
      </c>
      <c r="M225" s="511">
        <f t="shared" si="239"/>
        <v>1E-3</v>
      </c>
      <c r="N225" s="511">
        <f t="shared" si="239"/>
        <v>-1E-3</v>
      </c>
      <c r="O225" s="511">
        <f t="shared" si="239"/>
        <v>2E-3</v>
      </c>
      <c r="P225" s="511">
        <f t="shared" si="239"/>
        <v>1.5E-3</v>
      </c>
      <c r="Q225" s="511">
        <f t="shared" si="239"/>
        <v>1.188E-3</v>
      </c>
    </row>
    <row r="226" spans="1:17" x14ac:dyDescent="0.25">
      <c r="A226" s="1099"/>
      <c r="B226" s="508">
        <v>2</v>
      </c>
      <c r="C226" s="511">
        <f t="shared" ref="C226:H226" si="240">I23</f>
        <v>20</v>
      </c>
      <c r="D226" s="511">
        <f t="shared" si="240"/>
        <v>0.1</v>
      </c>
      <c r="E226" s="511">
        <f t="shared" si="240"/>
        <v>0.2</v>
      </c>
      <c r="F226" s="511">
        <f t="shared" si="240"/>
        <v>0.1</v>
      </c>
      <c r="G226" s="511">
        <f t="shared" si="240"/>
        <v>0.05</v>
      </c>
      <c r="H226" s="511">
        <f t="shared" si="240"/>
        <v>0.33829999999999999</v>
      </c>
      <c r="I226" s="511"/>
      <c r="J226" s="511"/>
      <c r="K226" s="511">
        <v>2</v>
      </c>
      <c r="L226" s="511">
        <f t="shared" ref="L226:Q226" si="241">I29</f>
        <v>0.1</v>
      </c>
      <c r="M226" s="511">
        <f t="shared" si="241"/>
        <v>5.0000000000000001E-3</v>
      </c>
      <c r="N226" s="511">
        <f t="shared" si="241"/>
        <v>6.0000000000000001E-3</v>
      </c>
      <c r="O226" s="511">
        <f t="shared" si="241"/>
        <v>5.0000000000000001E-3</v>
      </c>
      <c r="P226" s="511">
        <f t="shared" si="241"/>
        <v>5.0000000000000001E-4</v>
      </c>
      <c r="Q226" s="511">
        <f t="shared" si="241"/>
        <v>1.14E-3</v>
      </c>
    </row>
    <row r="227" spans="1:17" x14ac:dyDescent="0.25">
      <c r="A227" s="1099"/>
      <c r="B227" s="508">
        <v>3</v>
      </c>
      <c r="C227" s="511">
        <f t="shared" ref="C227:H227" si="242">P23</f>
        <v>10</v>
      </c>
      <c r="D227" s="511">
        <f t="shared" si="242"/>
        <v>9.9999999999999995E-7</v>
      </c>
      <c r="E227" s="511">
        <f t="shared" si="242"/>
        <v>9.9999999999999995E-7</v>
      </c>
      <c r="F227" s="511">
        <f t="shared" si="242"/>
        <v>9.9999999999999995E-7</v>
      </c>
      <c r="G227" s="511">
        <f t="shared" si="242"/>
        <v>0</v>
      </c>
      <c r="H227" s="511">
        <f t="shared" si="242"/>
        <v>0.17</v>
      </c>
      <c r="I227" s="511"/>
      <c r="J227" s="511"/>
      <c r="K227" s="511">
        <v>3</v>
      </c>
      <c r="L227" s="511">
        <f t="shared" ref="L227:Q227" si="243">P29</f>
        <v>0.5</v>
      </c>
      <c r="M227" s="511">
        <f t="shared" si="243"/>
        <v>-2E-3</v>
      </c>
      <c r="N227" s="511">
        <f t="shared" si="243"/>
        <v>-1E-3</v>
      </c>
      <c r="O227" s="511">
        <f t="shared" si="243"/>
        <v>9.9999999999999995E-7</v>
      </c>
      <c r="P227" s="511">
        <f t="shared" si="243"/>
        <v>1.0005000000000001E-3</v>
      </c>
      <c r="Q227" s="511">
        <f t="shared" si="243"/>
        <v>6.0000000000000001E-3</v>
      </c>
    </row>
    <row r="228" spans="1:17" x14ac:dyDescent="0.25">
      <c r="A228" s="1099"/>
      <c r="B228" s="508">
        <v>4</v>
      </c>
      <c r="C228" s="511">
        <f t="shared" ref="C228:H228" si="244">B54</f>
        <v>20</v>
      </c>
      <c r="D228" s="511">
        <f t="shared" si="244"/>
        <v>0.1</v>
      </c>
      <c r="E228" s="511">
        <f t="shared" si="244"/>
        <v>0.1</v>
      </c>
      <c r="F228" s="511">
        <f t="shared" si="244"/>
        <v>0.2</v>
      </c>
      <c r="G228" s="511">
        <f t="shared" si="244"/>
        <v>0.05</v>
      </c>
      <c r="H228" s="511">
        <f t="shared" si="244"/>
        <v>0.33829999999999999</v>
      </c>
      <c r="I228" s="511"/>
      <c r="J228" s="511"/>
      <c r="K228" s="511">
        <v>4</v>
      </c>
      <c r="L228" s="511">
        <f t="shared" ref="L228:Q228" si="245">B60</f>
        <v>0.1</v>
      </c>
      <c r="M228" s="511">
        <f t="shared" si="245"/>
        <v>0</v>
      </c>
      <c r="N228" s="511">
        <f t="shared" si="245"/>
        <v>-2E-3</v>
      </c>
      <c r="O228" s="511">
        <f t="shared" si="245"/>
        <v>9.9999999999999995E-7</v>
      </c>
      <c r="P228" s="511">
        <f t="shared" si="245"/>
        <v>1.0005000000000001E-3</v>
      </c>
      <c r="Q228" s="511">
        <f t="shared" si="245"/>
        <v>1.2000000000000001E-3</v>
      </c>
    </row>
    <row r="229" spans="1:17" x14ac:dyDescent="0.25">
      <c r="A229" s="1099"/>
      <c r="B229" s="508">
        <v>5</v>
      </c>
      <c r="C229" s="511">
        <f t="shared" ref="C229:H229" si="246">I54</f>
        <v>20</v>
      </c>
      <c r="D229" s="511">
        <f t="shared" si="246"/>
        <v>0.1</v>
      </c>
      <c r="E229" s="511">
        <f t="shared" si="246"/>
        <v>0.1</v>
      </c>
      <c r="F229" s="511">
        <f t="shared" si="246"/>
        <v>0.1</v>
      </c>
      <c r="G229" s="511">
        <f t="shared" si="246"/>
        <v>0</v>
      </c>
      <c r="H229" s="511">
        <f t="shared" si="246"/>
        <v>0.33829999999999999</v>
      </c>
      <c r="I229" s="511"/>
      <c r="J229" s="511"/>
      <c r="K229" s="511">
        <v>5</v>
      </c>
      <c r="L229" s="511">
        <f t="shared" ref="L229:Q229" si="247">I60</f>
        <v>0.1</v>
      </c>
      <c r="M229" s="511">
        <f t="shared" si="247"/>
        <v>-6.0000000000000001E-3</v>
      </c>
      <c r="N229" s="511">
        <f t="shared" si="247"/>
        <v>5.0000000000000001E-3</v>
      </c>
      <c r="O229" s="511">
        <f t="shared" si="247"/>
        <v>2E-3</v>
      </c>
      <c r="P229" s="511">
        <f t="shared" si="247"/>
        <v>5.4999999999999997E-3</v>
      </c>
      <c r="Q229" s="511">
        <f t="shared" si="247"/>
        <v>1.2720000000000001E-3</v>
      </c>
    </row>
    <row r="230" spans="1:17" x14ac:dyDescent="0.25">
      <c r="A230" s="1099"/>
      <c r="B230" s="508">
        <v>6</v>
      </c>
      <c r="C230" s="511">
        <f t="shared" ref="C230:H230" si="248">P54</f>
        <v>20</v>
      </c>
      <c r="D230" s="511">
        <f t="shared" si="248"/>
        <v>0.1</v>
      </c>
      <c r="E230" s="511">
        <f t="shared" si="248"/>
        <v>0.1</v>
      </c>
      <c r="F230" s="511">
        <f t="shared" si="248"/>
        <v>0.1</v>
      </c>
      <c r="G230" s="511">
        <f t="shared" si="248"/>
        <v>0</v>
      </c>
      <c r="H230" s="511">
        <f t="shared" si="248"/>
        <v>0.33829999999999999</v>
      </c>
      <c r="I230" s="511"/>
      <c r="J230" s="511"/>
      <c r="K230" s="511">
        <v>6</v>
      </c>
      <c r="L230" s="511">
        <f t="shared" ref="L230:Q230" si="249">P60</f>
        <v>0.1</v>
      </c>
      <c r="M230" s="511">
        <f t="shared" si="249"/>
        <v>0</v>
      </c>
      <c r="N230" s="511">
        <f t="shared" si="249"/>
        <v>-3.0000000000000001E-3</v>
      </c>
      <c r="O230" s="511">
        <f t="shared" si="249"/>
        <v>-2E-3</v>
      </c>
      <c r="P230" s="511">
        <f t="shared" si="249"/>
        <v>5.0000000000000001E-4</v>
      </c>
      <c r="Q230" s="511">
        <f t="shared" si="249"/>
        <v>1.2000000000000001E-3</v>
      </c>
    </row>
    <row r="231" spans="1:17" x14ac:dyDescent="0.25">
      <c r="A231" s="1099"/>
      <c r="B231" s="508">
        <v>7</v>
      </c>
      <c r="C231" s="511">
        <f t="shared" ref="C231:H231" si="250">B85</f>
        <v>20</v>
      </c>
      <c r="D231" s="511">
        <f t="shared" si="250"/>
        <v>0.1</v>
      </c>
      <c r="E231" s="511">
        <f t="shared" si="250"/>
        <v>0.1</v>
      </c>
      <c r="F231" s="511">
        <f t="shared" si="250"/>
        <v>9.9999999999999995E-7</v>
      </c>
      <c r="G231" s="511">
        <f t="shared" si="250"/>
        <v>4.9999500000000002E-2</v>
      </c>
      <c r="H231" s="511">
        <f t="shared" si="250"/>
        <v>0.33829999999999999</v>
      </c>
      <c r="I231" s="511"/>
      <c r="J231" s="511"/>
      <c r="K231" s="511">
        <v>7</v>
      </c>
      <c r="L231" s="511">
        <f t="shared" ref="L231:Q231" si="251">B91</f>
        <v>0.5</v>
      </c>
      <c r="M231" s="511">
        <f t="shared" si="251"/>
        <v>8.0000000000000002E-3</v>
      </c>
      <c r="N231" s="511">
        <f t="shared" si="251"/>
        <v>3.0000000000000001E-3</v>
      </c>
      <c r="O231" s="511">
        <f t="shared" si="251"/>
        <v>9.9999999999999995E-7</v>
      </c>
      <c r="P231" s="511">
        <f t="shared" si="251"/>
        <v>1.4995E-3</v>
      </c>
      <c r="Q231" s="511">
        <f t="shared" si="251"/>
        <v>5.9040000000000004E-3</v>
      </c>
    </row>
    <row r="232" spans="1:17" x14ac:dyDescent="0.25">
      <c r="A232" s="1099"/>
      <c r="B232" s="508">
        <v>8</v>
      </c>
      <c r="C232" s="511">
        <f t="shared" ref="C232:H232" si="252">I85</f>
        <v>20</v>
      </c>
      <c r="D232" s="511">
        <f t="shared" si="252"/>
        <v>9.9999999999999995E-7</v>
      </c>
      <c r="E232" s="511">
        <f t="shared" si="252"/>
        <v>9.9999999999999995E-7</v>
      </c>
      <c r="F232" s="511">
        <f t="shared" si="252"/>
        <v>0</v>
      </c>
      <c r="G232" s="511">
        <f t="shared" si="252"/>
        <v>0</v>
      </c>
      <c r="H232" s="511">
        <f t="shared" si="252"/>
        <v>0.34</v>
      </c>
      <c r="I232" s="511"/>
      <c r="J232" s="511"/>
      <c r="K232" s="511">
        <v>8</v>
      </c>
      <c r="L232" s="511">
        <f t="shared" ref="L232:Q232" si="253">I91</f>
        <v>0.5</v>
      </c>
      <c r="M232" s="511">
        <f t="shared" si="253"/>
        <v>4.0000000000000001E-3</v>
      </c>
      <c r="N232" s="511">
        <f t="shared" si="253"/>
        <v>-3.0000000000000001E-3</v>
      </c>
      <c r="O232" s="511">
        <f t="shared" si="253"/>
        <v>0</v>
      </c>
      <c r="P232" s="511">
        <f t="shared" si="253"/>
        <v>3.5000000000000001E-3</v>
      </c>
      <c r="Q232" s="511">
        <f t="shared" si="253"/>
        <v>6.0000000000000001E-3</v>
      </c>
    </row>
    <row r="233" spans="1:17" x14ac:dyDescent="0.25">
      <c r="A233" s="1099"/>
      <c r="B233" s="508">
        <v>9</v>
      </c>
      <c r="C233" s="511">
        <f t="shared" ref="C233:H233" si="254">P85</f>
        <v>20</v>
      </c>
      <c r="D233" s="511">
        <f t="shared" si="254"/>
        <v>0</v>
      </c>
      <c r="E233" s="511">
        <f t="shared" si="254"/>
        <v>9.9999999999999995E-7</v>
      </c>
      <c r="F233" s="511">
        <f t="shared" si="254"/>
        <v>0</v>
      </c>
      <c r="G233" s="511">
        <f t="shared" si="254"/>
        <v>4.9999999999999998E-7</v>
      </c>
      <c r="H233" s="511">
        <f t="shared" si="254"/>
        <v>0</v>
      </c>
      <c r="I233" s="511"/>
      <c r="J233" s="511"/>
      <c r="K233" s="511">
        <v>9</v>
      </c>
      <c r="L233" s="511">
        <f t="shared" ref="L233:Q233" si="255">P91</f>
        <v>0.10199999999999999</v>
      </c>
      <c r="M233" s="511">
        <f t="shared" si="255"/>
        <v>1E-3</v>
      </c>
      <c r="N233" s="511">
        <f t="shared" si="255"/>
        <v>-2E-3</v>
      </c>
      <c r="O233" s="511">
        <f t="shared" si="255"/>
        <v>0</v>
      </c>
      <c r="P233" s="511">
        <f t="shared" si="255"/>
        <v>1.5E-3</v>
      </c>
      <c r="Q233" s="511">
        <f t="shared" si="255"/>
        <v>1.224E-3</v>
      </c>
    </row>
    <row r="234" spans="1:17" x14ac:dyDescent="0.25">
      <c r="A234" s="1099"/>
      <c r="B234" s="508">
        <v>10</v>
      </c>
      <c r="C234" s="511">
        <f>B116</f>
        <v>20</v>
      </c>
      <c r="D234" s="511">
        <f t="shared" ref="D234:G234" si="256">C116</f>
        <v>0.1</v>
      </c>
      <c r="E234" s="511" t="str">
        <f t="shared" si="256"/>
        <v>-</v>
      </c>
      <c r="F234" s="511">
        <f t="shared" si="256"/>
        <v>0</v>
      </c>
      <c r="G234" s="511">
        <f t="shared" si="256"/>
        <v>0</v>
      </c>
      <c r="H234" s="511" t="str">
        <f>G116</f>
        <v>-</v>
      </c>
      <c r="I234" s="511"/>
      <c r="J234" s="511"/>
      <c r="K234" s="511">
        <v>10</v>
      </c>
      <c r="L234" s="511">
        <f t="shared" ref="L234:Q234" si="257">B122</f>
        <v>0.1</v>
      </c>
      <c r="M234" s="511">
        <f t="shared" si="257"/>
        <v>-2E-3</v>
      </c>
      <c r="N234" s="511" t="str">
        <f t="shared" si="257"/>
        <v>-</v>
      </c>
      <c r="O234" s="511">
        <f t="shared" si="257"/>
        <v>0</v>
      </c>
      <c r="P234" s="511">
        <f t="shared" si="257"/>
        <v>0</v>
      </c>
      <c r="Q234" s="511" t="str">
        <f t="shared" si="257"/>
        <v>-</v>
      </c>
    </row>
    <row r="235" spans="1:17" x14ac:dyDescent="0.25">
      <c r="A235" s="1099"/>
      <c r="B235" s="508">
        <v>11</v>
      </c>
      <c r="C235" s="511">
        <f>I116</f>
        <v>20</v>
      </c>
      <c r="D235" s="511">
        <f t="shared" ref="D235:G235" si="258">J116</f>
        <v>9.9999999999999995E-7</v>
      </c>
      <c r="E235" s="511" t="str">
        <f t="shared" si="258"/>
        <v>-</v>
      </c>
      <c r="F235" s="511">
        <f t="shared" si="258"/>
        <v>0</v>
      </c>
      <c r="G235" s="511">
        <f t="shared" si="258"/>
        <v>0</v>
      </c>
      <c r="H235" s="511" t="str">
        <f>N116</f>
        <v>-</v>
      </c>
      <c r="I235" s="511"/>
      <c r="J235" s="511"/>
      <c r="K235" s="511">
        <v>11</v>
      </c>
      <c r="L235" s="511">
        <f t="shared" ref="L235:Q235" si="259">I122</f>
        <v>0.1</v>
      </c>
      <c r="M235" s="511">
        <f t="shared" si="259"/>
        <v>9.9999999999999995E-7</v>
      </c>
      <c r="N235" s="511" t="str">
        <f t="shared" si="259"/>
        <v>-</v>
      </c>
      <c r="O235" s="511">
        <f t="shared" si="259"/>
        <v>0</v>
      </c>
      <c r="P235" s="511">
        <f t="shared" si="259"/>
        <v>0</v>
      </c>
      <c r="Q235" s="511" t="str">
        <f t="shared" si="259"/>
        <v>-</v>
      </c>
    </row>
    <row r="236" spans="1:17" x14ac:dyDescent="0.25">
      <c r="A236" s="1099"/>
      <c r="B236" s="508">
        <v>12</v>
      </c>
      <c r="C236" s="511">
        <f>P116</f>
        <v>20</v>
      </c>
      <c r="D236" s="511">
        <f t="shared" ref="D236:G236" si="260">Q116</f>
        <v>9.9999999999999995E-7</v>
      </c>
      <c r="E236" s="511" t="str">
        <f t="shared" si="260"/>
        <v>-</v>
      </c>
      <c r="F236" s="511">
        <f t="shared" si="260"/>
        <v>0</v>
      </c>
      <c r="G236" s="511">
        <f t="shared" si="260"/>
        <v>0</v>
      </c>
      <c r="H236" s="511" t="str">
        <f>U116</f>
        <v>-</v>
      </c>
      <c r="I236" s="511"/>
      <c r="J236" s="511"/>
      <c r="K236" s="511">
        <v>12</v>
      </c>
      <c r="L236" s="511">
        <f t="shared" ref="L236:Q236" si="261">P122</f>
        <v>0.1</v>
      </c>
      <c r="M236" s="511">
        <f t="shared" si="261"/>
        <v>9.9999999999999995E-7</v>
      </c>
      <c r="N236" s="511" t="str">
        <f t="shared" si="261"/>
        <v>-</v>
      </c>
      <c r="O236" s="511">
        <f t="shared" si="261"/>
        <v>0</v>
      </c>
      <c r="P236" s="511">
        <f t="shared" si="261"/>
        <v>0</v>
      </c>
      <c r="Q236" s="511" t="str">
        <f t="shared" si="261"/>
        <v>-</v>
      </c>
    </row>
    <row r="237" spans="1:17" s="485" customFormat="1" x14ac:dyDescent="0.25">
      <c r="A237" s="515"/>
      <c r="B237" s="509"/>
      <c r="C237" s="511"/>
      <c r="D237" s="511"/>
      <c r="E237" s="511"/>
      <c r="F237" s="511"/>
      <c r="G237" s="511"/>
      <c r="H237" s="511"/>
      <c r="I237" s="511"/>
      <c r="J237" s="511"/>
      <c r="K237" s="511"/>
      <c r="L237" s="511"/>
      <c r="M237" s="511"/>
      <c r="N237" s="511"/>
      <c r="O237" s="511"/>
      <c r="P237" s="511"/>
      <c r="Q237" s="511"/>
    </row>
    <row r="238" spans="1:17" x14ac:dyDescent="0.25">
      <c r="A238" s="1099" t="s">
        <v>97</v>
      </c>
      <c r="B238" s="508">
        <v>1</v>
      </c>
      <c r="C238" s="511">
        <f t="shared" ref="C238:H238" si="262">B24</f>
        <v>50</v>
      </c>
      <c r="D238" s="511">
        <f t="shared" si="262"/>
        <v>0.3</v>
      </c>
      <c r="E238" s="511">
        <f t="shared" si="262"/>
        <v>9.9999999999999995E-7</v>
      </c>
      <c r="F238" s="511">
        <f t="shared" si="262"/>
        <v>9.9999999999999995E-7</v>
      </c>
      <c r="G238" s="511">
        <f t="shared" si="262"/>
        <v>0.14999950000000001</v>
      </c>
      <c r="H238" s="511">
        <f t="shared" si="262"/>
        <v>0.8449000000000001</v>
      </c>
      <c r="I238" s="511"/>
      <c r="J238" s="511" t="s">
        <v>97</v>
      </c>
      <c r="K238" s="511">
        <v>1</v>
      </c>
      <c r="L238" s="511">
        <f t="shared" ref="L238:Q238" si="263">B30</f>
        <v>1</v>
      </c>
      <c r="M238" s="511">
        <f t="shared" si="263"/>
        <v>4.0000000000000001E-3</v>
      </c>
      <c r="N238" s="511">
        <f t="shared" si="263"/>
        <v>4.0000000000000001E-3</v>
      </c>
      <c r="O238" s="511">
        <f t="shared" si="263"/>
        <v>1.2E-2</v>
      </c>
      <c r="P238" s="511">
        <f t="shared" si="263"/>
        <v>4.0000000000000001E-3</v>
      </c>
      <c r="Q238" s="511">
        <f t="shared" si="263"/>
        <v>1.1952000000000001E-2</v>
      </c>
    </row>
    <row r="239" spans="1:17" x14ac:dyDescent="0.25">
      <c r="A239" s="1099"/>
      <c r="B239" s="508">
        <v>2</v>
      </c>
      <c r="C239" s="511">
        <f t="shared" ref="C239:H239" si="264">I24</f>
        <v>50</v>
      </c>
      <c r="D239" s="511">
        <f t="shared" si="264"/>
        <v>0.2</v>
      </c>
      <c r="E239" s="511">
        <f t="shared" si="264"/>
        <v>0.3</v>
      </c>
      <c r="F239" s="511">
        <f t="shared" si="264"/>
        <v>0.1</v>
      </c>
      <c r="G239" s="511">
        <f t="shared" si="264"/>
        <v>9.9999999999999992E-2</v>
      </c>
      <c r="H239" s="511">
        <f t="shared" si="264"/>
        <v>0.84660000000000002</v>
      </c>
      <c r="I239" s="511"/>
      <c r="J239" s="511"/>
      <c r="K239" s="511">
        <v>2</v>
      </c>
      <c r="L239" s="511">
        <f t="shared" ref="L239:Q239" si="265">I30</f>
        <v>1</v>
      </c>
      <c r="M239" s="511">
        <f t="shared" si="265"/>
        <v>5.8000000000000003E-2</v>
      </c>
      <c r="N239" s="511">
        <f t="shared" si="265"/>
        <v>4.4999999999999998E-2</v>
      </c>
      <c r="O239" s="511">
        <f t="shared" si="265"/>
        <v>5.5E-2</v>
      </c>
      <c r="P239" s="511">
        <f t="shared" si="265"/>
        <v>5.000000000000001E-3</v>
      </c>
      <c r="Q239" s="511">
        <f t="shared" si="265"/>
        <v>1.1304E-2</v>
      </c>
    </row>
    <row r="240" spans="1:17" x14ac:dyDescent="0.25">
      <c r="A240" s="1099"/>
      <c r="B240" s="508">
        <v>3</v>
      </c>
      <c r="C240" s="511">
        <f t="shared" ref="C240:H240" si="266">P24</f>
        <v>20</v>
      </c>
      <c r="D240" s="511">
        <f t="shared" si="266"/>
        <v>9.9999999999999995E-7</v>
      </c>
      <c r="E240" s="511">
        <f t="shared" si="266"/>
        <v>0.4</v>
      </c>
      <c r="F240" s="511">
        <f t="shared" si="266"/>
        <v>0.3</v>
      </c>
      <c r="G240" s="511">
        <f t="shared" si="266"/>
        <v>0.19999950000000002</v>
      </c>
      <c r="H240" s="511">
        <f t="shared" si="266"/>
        <v>0.34</v>
      </c>
      <c r="I240" s="511"/>
      <c r="J240" s="511"/>
      <c r="K240" s="511">
        <v>3</v>
      </c>
      <c r="L240" s="511">
        <f t="shared" ref="L240:Q240" si="267">P30</f>
        <v>1</v>
      </c>
      <c r="M240" s="511">
        <f t="shared" si="267"/>
        <v>-1.2E-2</v>
      </c>
      <c r="N240" s="511">
        <f t="shared" si="267"/>
        <v>5.0000000000000001E-3</v>
      </c>
      <c r="O240" s="511">
        <f t="shared" si="267"/>
        <v>9.9999999999999995E-7</v>
      </c>
      <c r="P240" s="511">
        <f t="shared" si="267"/>
        <v>8.5000000000000006E-3</v>
      </c>
      <c r="Q240" s="511">
        <f t="shared" si="267"/>
        <v>1.2E-2</v>
      </c>
    </row>
    <row r="241" spans="1:17" x14ac:dyDescent="0.25">
      <c r="A241" s="1099"/>
      <c r="B241" s="508">
        <v>4</v>
      </c>
      <c r="C241" s="511">
        <f t="shared" ref="C241:H241" si="268">B55</f>
        <v>50</v>
      </c>
      <c r="D241" s="511">
        <f t="shared" si="268"/>
        <v>0.4</v>
      </c>
      <c r="E241" s="511">
        <f t="shared" si="268"/>
        <v>0.4</v>
      </c>
      <c r="F241" s="511">
        <f t="shared" si="268"/>
        <v>0.5</v>
      </c>
      <c r="G241" s="511">
        <f t="shared" si="268"/>
        <v>4.9999999999999989E-2</v>
      </c>
      <c r="H241" s="511">
        <f t="shared" si="268"/>
        <v>0.84320000000000006</v>
      </c>
      <c r="I241" s="511"/>
      <c r="J241" s="511"/>
      <c r="K241" s="511">
        <v>4</v>
      </c>
      <c r="L241" s="511">
        <f t="shared" ref="L241:Q241" si="269">B61</f>
        <v>1</v>
      </c>
      <c r="M241" s="511">
        <f t="shared" si="269"/>
        <v>-2E-3</v>
      </c>
      <c r="N241" s="511">
        <f t="shared" si="269"/>
        <v>-8.0000000000000002E-3</v>
      </c>
      <c r="O241" s="511">
        <f t="shared" si="269"/>
        <v>-1E-3</v>
      </c>
      <c r="P241" s="511">
        <f t="shared" si="269"/>
        <v>3.5000000000000001E-3</v>
      </c>
      <c r="Q241" s="511">
        <f t="shared" si="269"/>
        <v>1.2024E-2</v>
      </c>
    </row>
    <row r="242" spans="1:17" x14ac:dyDescent="0.25">
      <c r="A242" s="1099"/>
      <c r="B242" s="508">
        <v>5</v>
      </c>
      <c r="C242" s="511">
        <f t="shared" ref="C242:H242" si="270">I55</f>
        <v>50</v>
      </c>
      <c r="D242" s="511">
        <f t="shared" si="270"/>
        <v>0.3</v>
      </c>
      <c r="E242" s="511">
        <f t="shared" si="270"/>
        <v>0.6</v>
      </c>
      <c r="F242" s="511">
        <f t="shared" si="270"/>
        <v>0.4</v>
      </c>
      <c r="G242" s="511">
        <f t="shared" si="270"/>
        <v>0.15</v>
      </c>
      <c r="H242" s="511">
        <f t="shared" si="270"/>
        <v>0.8449000000000001</v>
      </c>
      <c r="I242" s="511"/>
      <c r="J242" s="511"/>
      <c r="K242" s="511">
        <v>5</v>
      </c>
      <c r="L242" s="511">
        <f t="shared" ref="L242:Q242" si="271">I61</f>
        <v>1</v>
      </c>
      <c r="M242" s="511">
        <f t="shared" si="271"/>
        <v>-2E-3</v>
      </c>
      <c r="N242" s="511">
        <f t="shared" si="271"/>
        <v>1.7999999999999999E-2</v>
      </c>
      <c r="O242" s="511">
        <f t="shared" si="271"/>
        <v>1.2E-2</v>
      </c>
      <c r="P242" s="511">
        <f t="shared" si="271"/>
        <v>9.9999999999999985E-3</v>
      </c>
      <c r="Q242" s="511">
        <f t="shared" si="271"/>
        <v>1.2024E-2</v>
      </c>
    </row>
    <row r="243" spans="1:17" x14ac:dyDescent="0.25">
      <c r="A243" s="1099"/>
      <c r="B243" s="508">
        <v>6</v>
      </c>
      <c r="C243" s="511">
        <f t="shared" ref="C243:H243" si="272">P55</f>
        <v>50</v>
      </c>
      <c r="D243" s="511">
        <f t="shared" si="272"/>
        <v>0.1</v>
      </c>
      <c r="E243" s="511">
        <f t="shared" si="272"/>
        <v>0.3</v>
      </c>
      <c r="F243" s="511">
        <f t="shared" si="272"/>
        <v>0.3</v>
      </c>
      <c r="G243" s="511">
        <f t="shared" si="272"/>
        <v>0</v>
      </c>
      <c r="H243" s="511">
        <f t="shared" si="272"/>
        <v>0.84830000000000005</v>
      </c>
      <c r="I243" s="511"/>
      <c r="J243" s="511"/>
      <c r="K243" s="511">
        <v>6</v>
      </c>
      <c r="L243" s="511">
        <f t="shared" ref="L243:Q243" si="273">P61</f>
        <v>1</v>
      </c>
      <c r="M243" s="511">
        <f t="shared" si="273"/>
        <v>-6.0000000000000001E-3</v>
      </c>
      <c r="N243" s="511">
        <f t="shared" si="273"/>
        <v>-7.0000000000000001E-3</v>
      </c>
      <c r="O243" s="511">
        <f t="shared" si="273"/>
        <v>-1E-3</v>
      </c>
      <c r="P243" s="511">
        <f t="shared" si="273"/>
        <v>3.0000000000000001E-3</v>
      </c>
      <c r="Q243" s="511">
        <f t="shared" si="273"/>
        <v>1.2072000000000001E-2</v>
      </c>
    </row>
    <row r="244" spans="1:17" x14ac:dyDescent="0.25">
      <c r="A244" s="1099"/>
      <c r="B244" s="508">
        <v>7</v>
      </c>
      <c r="C244" s="511">
        <f t="shared" ref="C244:H244" si="274">B86</f>
        <v>50</v>
      </c>
      <c r="D244" s="511">
        <f t="shared" si="274"/>
        <v>0.3</v>
      </c>
      <c r="E244" s="511">
        <f t="shared" si="274"/>
        <v>0.5</v>
      </c>
      <c r="F244" s="511">
        <f t="shared" si="274"/>
        <v>9.9999999999999995E-7</v>
      </c>
      <c r="G244" s="511">
        <f t="shared" si="274"/>
        <v>0.24999950000000001</v>
      </c>
      <c r="H244" s="511">
        <f t="shared" si="274"/>
        <v>0.8449000000000001</v>
      </c>
      <c r="I244" s="511"/>
      <c r="J244" s="511"/>
      <c r="K244" s="511">
        <v>7</v>
      </c>
      <c r="L244" s="511">
        <f t="shared" ref="L244:Q244" si="275">B92</f>
        <v>1</v>
      </c>
      <c r="M244" s="511">
        <f t="shared" si="275"/>
        <v>-6.0000000000000001E-3</v>
      </c>
      <c r="N244" s="511">
        <f t="shared" si="275"/>
        <v>2E-3</v>
      </c>
      <c r="O244" s="511">
        <f t="shared" si="275"/>
        <v>-2E-3</v>
      </c>
      <c r="P244" s="511">
        <f t="shared" si="275"/>
        <v>2E-3</v>
      </c>
      <c r="Q244" s="511">
        <f t="shared" si="275"/>
        <v>1.2072000000000001E-2</v>
      </c>
    </row>
    <row r="245" spans="1:17" x14ac:dyDescent="0.25">
      <c r="A245" s="1099"/>
      <c r="B245" s="508">
        <v>8</v>
      </c>
      <c r="C245" s="511">
        <f t="shared" ref="C245:H245" si="276">I86</f>
        <v>50</v>
      </c>
      <c r="D245" s="511">
        <f t="shared" si="276"/>
        <v>0.2</v>
      </c>
      <c r="E245" s="511">
        <f t="shared" si="276"/>
        <v>9.9999999999999995E-7</v>
      </c>
      <c r="F245" s="511">
        <f t="shared" si="276"/>
        <v>0</v>
      </c>
      <c r="G245" s="511">
        <f t="shared" si="276"/>
        <v>9.9999500000000005E-2</v>
      </c>
      <c r="H245" s="511">
        <f t="shared" si="276"/>
        <v>0.85000000000000009</v>
      </c>
      <c r="I245" s="511"/>
      <c r="J245" s="511"/>
      <c r="K245" s="511">
        <v>8</v>
      </c>
      <c r="L245" s="511">
        <f t="shared" ref="L245:Q245" si="277">I92</f>
        <v>1</v>
      </c>
      <c r="M245" s="511">
        <f t="shared" si="277"/>
        <v>5.0000000000000001E-3</v>
      </c>
      <c r="N245" s="511">
        <f t="shared" si="277"/>
        <v>1E-3</v>
      </c>
      <c r="O245" s="511">
        <f t="shared" si="277"/>
        <v>0</v>
      </c>
      <c r="P245" s="511">
        <f t="shared" si="277"/>
        <v>2E-3</v>
      </c>
      <c r="Q245" s="511">
        <f t="shared" si="277"/>
        <v>1.2E-2</v>
      </c>
    </row>
    <row r="246" spans="1:17" x14ac:dyDescent="0.25">
      <c r="A246" s="1099"/>
      <c r="B246" s="508">
        <v>9</v>
      </c>
      <c r="C246" s="511">
        <f t="shared" ref="C246:H246" si="278">P86</f>
        <v>50</v>
      </c>
      <c r="D246" s="511">
        <f t="shared" si="278"/>
        <v>0.2</v>
      </c>
      <c r="E246" s="511">
        <f t="shared" si="278"/>
        <v>9.9999999999999995E-7</v>
      </c>
      <c r="F246" s="511">
        <f t="shared" si="278"/>
        <v>0</v>
      </c>
      <c r="G246" s="511">
        <f t="shared" si="278"/>
        <v>9.9999500000000005E-2</v>
      </c>
      <c r="H246" s="511">
        <f t="shared" si="278"/>
        <v>0</v>
      </c>
      <c r="I246" s="511"/>
      <c r="J246" s="511"/>
      <c r="K246" s="511">
        <v>9</v>
      </c>
      <c r="L246" s="511">
        <f t="shared" ref="L246:Q246" si="279">P92</f>
        <v>0.5</v>
      </c>
      <c r="M246" s="511">
        <f t="shared" si="279"/>
        <v>4.0000000000000001E-3</v>
      </c>
      <c r="N246" s="511">
        <f t="shared" si="279"/>
        <v>9.9999999999999995E-7</v>
      </c>
      <c r="O246" s="511">
        <f t="shared" si="279"/>
        <v>0</v>
      </c>
      <c r="P246" s="511">
        <f t="shared" si="279"/>
        <v>1.9995E-3</v>
      </c>
      <c r="Q246" s="511">
        <f t="shared" si="279"/>
        <v>6.0000000000000001E-3</v>
      </c>
    </row>
    <row r="247" spans="1:17" x14ac:dyDescent="0.25">
      <c r="A247" s="1099"/>
      <c r="B247" s="508">
        <v>10</v>
      </c>
      <c r="C247" s="511">
        <f>B117</f>
        <v>50</v>
      </c>
      <c r="D247" s="511">
        <f t="shared" ref="D247:G247" si="280">C117</f>
        <v>0.4</v>
      </c>
      <c r="E247" s="511" t="str">
        <f t="shared" si="280"/>
        <v>-</v>
      </c>
      <c r="F247" s="511">
        <f t="shared" si="280"/>
        <v>0</v>
      </c>
      <c r="G247" s="511">
        <f t="shared" si="280"/>
        <v>0</v>
      </c>
      <c r="H247" s="511" t="str">
        <f>G117</f>
        <v>-</v>
      </c>
      <c r="I247" s="511"/>
      <c r="J247" s="511"/>
      <c r="K247" s="511">
        <v>10</v>
      </c>
      <c r="L247" s="511">
        <f t="shared" ref="L247:Q247" si="281">B123</f>
        <v>1</v>
      </c>
      <c r="M247" s="511">
        <f t="shared" si="281"/>
        <v>-8.0000000000000002E-3</v>
      </c>
      <c r="N247" s="511" t="str">
        <f t="shared" si="281"/>
        <v>-</v>
      </c>
      <c r="O247" s="511">
        <f t="shared" si="281"/>
        <v>0</v>
      </c>
      <c r="P247" s="511">
        <f t="shared" si="281"/>
        <v>0</v>
      </c>
      <c r="Q247" s="511" t="str">
        <f t="shared" si="281"/>
        <v>-</v>
      </c>
    </row>
    <row r="248" spans="1:17" x14ac:dyDescent="0.25">
      <c r="A248" s="1099"/>
      <c r="B248" s="508">
        <v>11</v>
      </c>
      <c r="C248" s="511">
        <f>I117</f>
        <v>50</v>
      </c>
      <c r="D248" s="511">
        <f t="shared" ref="D248:G248" si="282">J117</f>
        <v>9.9999999999999995E-7</v>
      </c>
      <c r="E248" s="511" t="str">
        <f t="shared" si="282"/>
        <v>-</v>
      </c>
      <c r="F248" s="511">
        <f t="shared" si="282"/>
        <v>0</v>
      </c>
      <c r="G248" s="511">
        <f t="shared" si="282"/>
        <v>0</v>
      </c>
      <c r="H248" s="511" t="str">
        <f>N117</f>
        <v>-</v>
      </c>
      <c r="I248" s="511"/>
      <c r="J248" s="511"/>
      <c r="K248" s="511">
        <v>11</v>
      </c>
      <c r="L248" s="511">
        <f t="shared" ref="L248:Q248" si="283">I123</f>
        <v>1</v>
      </c>
      <c r="M248" s="511">
        <f t="shared" si="283"/>
        <v>9.9999999999999995E-7</v>
      </c>
      <c r="N248" s="511" t="str">
        <f t="shared" si="283"/>
        <v>-</v>
      </c>
      <c r="O248" s="511">
        <f t="shared" si="283"/>
        <v>0</v>
      </c>
      <c r="P248" s="511">
        <f t="shared" si="283"/>
        <v>0</v>
      </c>
      <c r="Q248" s="511" t="str">
        <f t="shared" si="283"/>
        <v>-</v>
      </c>
    </row>
    <row r="249" spans="1:17" x14ac:dyDescent="0.25">
      <c r="A249" s="1099"/>
      <c r="B249" s="508">
        <v>12</v>
      </c>
      <c r="C249" s="511">
        <f>P117</f>
        <v>50</v>
      </c>
      <c r="D249" s="511">
        <f t="shared" ref="D249:G249" si="284">Q117</f>
        <v>9.9999999999999995E-7</v>
      </c>
      <c r="E249" s="511" t="str">
        <f t="shared" si="284"/>
        <v>-</v>
      </c>
      <c r="F249" s="511">
        <f t="shared" si="284"/>
        <v>0</v>
      </c>
      <c r="G249" s="511">
        <f t="shared" si="284"/>
        <v>0</v>
      </c>
      <c r="H249" s="511" t="str">
        <f>U117</f>
        <v>-</v>
      </c>
      <c r="I249" s="511"/>
      <c r="J249" s="511"/>
      <c r="K249" s="511">
        <v>12</v>
      </c>
      <c r="L249" s="511">
        <f t="shared" ref="L249:Q249" si="285">P123</f>
        <v>1</v>
      </c>
      <c r="M249" s="511">
        <f t="shared" si="285"/>
        <v>9.9999999999999995E-7</v>
      </c>
      <c r="N249" s="511" t="str">
        <f t="shared" si="285"/>
        <v>-</v>
      </c>
      <c r="O249" s="511">
        <f t="shared" si="285"/>
        <v>0</v>
      </c>
      <c r="P249" s="511">
        <f t="shared" si="285"/>
        <v>0</v>
      </c>
      <c r="Q249" s="511" t="str">
        <f t="shared" si="285"/>
        <v>-</v>
      </c>
    </row>
    <row r="250" spans="1:17" s="485" customFormat="1" x14ac:dyDescent="0.25">
      <c r="A250" s="515"/>
      <c r="B250" s="509"/>
      <c r="C250" s="511"/>
      <c r="D250" s="511"/>
      <c r="E250" s="511"/>
      <c r="F250" s="511"/>
      <c r="G250" s="511"/>
      <c r="H250" s="511"/>
      <c r="I250" s="511"/>
      <c r="J250" s="511"/>
      <c r="K250" s="511"/>
      <c r="L250" s="511"/>
      <c r="M250" s="511"/>
      <c r="N250" s="511"/>
      <c r="O250" s="511"/>
      <c r="P250" s="511"/>
      <c r="Q250" s="511"/>
    </row>
    <row r="251" spans="1:17" x14ac:dyDescent="0.25">
      <c r="A251" s="1099" t="s">
        <v>98</v>
      </c>
      <c r="B251" s="508">
        <v>1</v>
      </c>
      <c r="C251" s="511">
        <f t="shared" ref="C251:H251" si="286">B25</f>
        <v>100</v>
      </c>
      <c r="D251" s="511">
        <f t="shared" si="286"/>
        <v>0.4</v>
      </c>
      <c r="E251" s="511">
        <f t="shared" si="286"/>
        <v>9.9999999999999995E-7</v>
      </c>
      <c r="F251" s="511">
        <f t="shared" si="286"/>
        <v>9.9999999999999995E-7</v>
      </c>
      <c r="G251" s="511">
        <f t="shared" si="286"/>
        <v>0.19999950000000002</v>
      </c>
      <c r="H251" s="511">
        <f t="shared" si="286"/>
        <v>1.6932</v>
      </c>
      <c r="I251" s="511"/>
      <c r="J251" s="511" t="s">
        <v>98</v>
      </c>
      <c r="K251" s="511">
        <v>1</v>
      </c>
      <c r="L251" s="511">
        <f t="shared" ref="L251:Q251" si="287">B31</f>
        <v>2</v>
      </c>
      <c r="M251" s="511">
        <f t="shared" si="287"/>
        <v>1.2E-2</v>
      </c>
      <c r="N251" s="511">
        <f t="shared" si="287"/>
        <v>7.0000000000000001E-3</v>
      </c>
      <c r="O251" s="511">
        <f t="shared" si="287"/>
        <v>9.9999999999999995E-7</v>
      </c>
      <c r="P251" s="511">
        <f t="shared" si="287"/>
        <v>5.9995000000000005E-3</v>
      </c>
      <c r="Q251" s="511">
        <f t="shared" si="287"/>
        <v>2.3855999999999999E-2</v>
      </c>
    </row>
    <row r="252" spans="1:17" x14ac:dyDescent="0.25">
      <c r="A252" s="1099"/>
      <c r="B252" s="508">
        <v>2</v>
      </c>
      <c r="C252" s="511">
        <f t="shared" ref="C252:H252" si="288">I25</f>
        <v>100</v>
      </c>
      <c r="D252" s="511">
        <f t="shared" si="288"/>
        <v>0.2</v>
      </c>
      <c r="E252" s="511">
        <f t="shared" si="288"/>
        <v>0.3</v>
      </c>
      <c r="F252" s="511">
        <f t="shared" si="288"/>
        <v>9.9999999999999995E-7</v>
      </c>
      <c r="G252" s="511">
        <f t="shared" si="288"/>
        <v>0.14999950000000001</v>
      </c>
      <c r="H252" s="511">
        <f t="shared" si="288"/>
        <v>1.6966000000000001</v>
      </c>
      <c r="I252" s="511"/>
      <c r="J252" s="511"/>
      <c r="K252" s="511">
        <v>2</v>
      </c>
      <c r="L252" s="511">
        <f t="shared" ref="L252:Q252" si="289">I31</f>
        <v>2</v>
      </c>
      <c r="M252" s="511">
        <f t="shared" si="289"/>
        <v>0.113</v>
      </c>
      <c r="N252" s="511">
        <f t="shared" si="289"/>
        <v>9.9999999999999995E-7</v>
      </c>
      <c r="O252" s="511">
        <f t="shared" si="289"/>
        <v>9.9999999999999995E-7</v>
      </c>
      <c r="P252" s="511">
        <f t="shared" si="289"/>
        <v>0</v>
      </c>
      <c r="Q252" s="511">
        <f t="shared" si="289"/>
        <v>2.2644000000000001E-2</v>
      </c>
    </row>
    <row r="253" spans="1:17" x14ac:dyDescent="0.25">
      <c r="A253" s="1099"/>
      <c r="B253" s="508">
        <v>3</v>
      </c>
      <c r="C253" s="511">
        <f t="shared" ref="C253:H253" si="290">P25</f>
        <v>50</v>
      </c>
      <c r="D253" s="511">
        <f t="shared" si="290"/>
        <v>0.1</v>
      </c>
      <c r="E253" s="511">
        <f t="shared" si="290"/>
        <v>1.1000000000000001</v>
      </c>
      <c r="F253" s="511">
        <f t="shared" si="290"/>
        <v>0.6</v>
      </c>
      <c r="G253" s="511">
        <f t="shared" si="290"/>
        <v>0.5</v>
      </c>
      <c r="H253" s="511">
        <f t="shared" si="290"/>
        <v>0.85000000000000009</v>
      </c>
      <c r="I253" s="511"/>
      <c r="J253" s="511"/>
      <c r="K253" s="511">
        <v>3</v>
      </c>
      <c r="L253" s="511">
        <f t="shared" ref="L253:Q253" si="291">P31</f>
        <v>2</v>
      </c>
      <c r="M253" s="511">
        <f t="shared" si="291"/>
        <v>-8.0000000000000002E-3</v>
      </c>
      <c r="N253" s="511">
        <f t="shared" si="291"/>
        <v>1.4E-2</v>
      </c>
      <c r="O253" s="511">
        <f t="shared" si="291"/>
        <v>9.9999999999999995E-7</v>
      </c>
      <c r="P253" s="511">
        <f t="shared" si="291"/>
        <v>1.0999999999999999E-2</v>
      </c>
      <c r="Q253" s="511">
        <f t="shared" si="291"/>
        <v>2.4E-2</v>
      </c>
    </row>
    <row r="254" spans="1:17" x14ac:dyDescent="0.25">
      <c r="A254" s="1099"/>
      <c r="B254" s="508">
        <v>4</v>
      </c>
      <c r="C254" s="511">
        <f t="shared" ref="C254:H254" si="292">B56</f>
        <v>100</v>
      </c>
      <c r="D254" s="511">
        <f t="shared" si="292"/>
        <v>0.8</v>
      </c>
      <c r="E254" s="511">
        <f t="shared" si="292"/>
        <v>1.4</v>
      </c>
      <c r="F254" s="511">
        <f t="shared" si="292"/>
        <v>1</v>
      </c>
      <c r="G254" s="511">
        <f t="shared" si="292"/>
        <v>0.19999999999999996</v>
      </c>
      <c r="H254" s="511">
        <f t="shared" si="292"/>
        <v>1.6864000000000001</v>
      </c>
      <c r="I254" s="511"/>
      <c r="J254" s="511"/>
      <c r="K254" s="511">
        <v>4</v>
      </c>
      <c r="L254" s="511">
        <f t="shared" ref="L254:Q254" si="293">B62</f>
        <v>2</v>
      </c>
      <c r="M254" s="511">
        <f t="shared" si="293"/>
        <v>-6.0000000000000001E-3</v>
      </c>
      <c r="N254" s="511">
        <f t="shared" si="293"/>
        <v>-7.0000000000000001E-3</v>
      </c>
      <c r="O254" s="511">
        <f t="shared" si="293"/>
        <v>9.9999999999999995E-7</v>
      </c>
      <c r="P254" s="511">
        <f t="shared" si="293"/>
        <v>3.5005000000000001E-3</v>
      </c>
      <c r="Q254" s="511">
        <f t="shared" si="293"/>
        <v>2.4071999999999996E-2</v>
      </c>
    </row>
    <row r="255" spans="1:17" x14ac:dyDescent="0.25">
      <c r="A255" s="1099"/>
      <c r="B255" s="508">
        <v>5</v>
      </c>
      <c r="C255" s="511">
        <f t="shared" ref="C255:H255" si="294">I56</f>
        <v>100</v>
      </c>
      <c r="D255" s="511">
        <f t="shared" si="294"/>
        <v>0.4</v>
      </c>
      <c r="E255" s="511">
        <f t="shared" si="294"/>
        <v>1.5</v>
      </c>
      <c r="F255" s="511">
        <f t="shared" si="294"/>
        <v>0.8</v>
      </c>
      <c r="G255" s="511">
        <f t="shared" si="294"/>
        <v>0.55000000000000004</v>
      </c>
      <c r="H255" s="511">
        <f t="shared" si="294"/>
        <v>1.6932</v>
      </c>
      <c r="I255" s="511"/>
      <c r="J255" s="511"/>
      <c r="K255" s="511">
        <v>5</v>
      </c>
      <c r="L255" s="511">
        <f t="shared" ref="L255:Q255" si="295">I62</f>
        <v>2</v>
      </c>
      <c r="M255" s="511">
        <f t="shared" si="295"/>
        <v>-4.0000000000000001E-3</v>
      </c>
      <c r="N255" s="511">
        <f t="shared" si="295"/>
        <v>0.113</v>
      </c>
      <c r="O255" s="511">
        <f t="shared" si="295"/>
        <v>9.9999999999999995E-7</v>
      </c>
      <c r="P255" s="511">
        <f t="shared" si="295"/>
        <v>5.8500000000000003E-2</v>
      </c>
      <c r="Q255" s="511">
        <f t="shared" si="295"/>
        <v>2.4048E-2</v>
      </c>
    </row>
    <row r="256" spans="1:17" x14ac:dyDescent="0.25">
      <c r="A256" s="1099"/>
      <c r="B256" s="508">
        <v>6</v>
      </c>
      <c r="C256" s="511">
        <f t="shared" ref="C256:H256" si="296">P56</f>
        <v>100</v>
      </c>
      <c r="D256" s="511">
        <f t="shared" si="296"/>
        <v>2</v>
      </c>
      <c r="E256" s="511">
        <f t="shared" si="296"/>
        <v>0.6</v>
      </c>
      <c r="F256" s="511">
        <f t="shared" si="296"/>
        <v>0.6</v>
      </c>
      <c r="G256" s="511">
        <f t="shared" si="296"/>
        <v>0</v>
      </c>
      <c r="H256" s="511">
        <f t="shared" si="296"/>
        <v>1.6660000000000001</v>
      </c>
      <c r="I256" s="511"/>
      <c r="J256" s="511"/>
      <c r="K256" s="511">
        <v>6</v>
      </c>
      <c r="L256" s="511">
        <f t="shared" ref="L256:Q256" si="297">P62</f>
        <v>2</v>
      </c>
      <c r="M256" s="511">
        <f t="shared" si="297"/>
        <v>-7.0000000000000001E-3</v>
      </c>
      <c r="N256" s="511">
        <f t="shared" si="297"/>
        <v>-7.0000000000000001E-3</v>
      </c>
      <c r="O256" s="511">
        <f t="shared" si="297"/>
        <v>9.9999999999999995E-7</v>
      </c>
      <c r="P256" s="511">
        <f t="shared" si="297"/>
        <v>3.5005000000000001E-3</v>
      </c>
      <c r="Q256" s="511">
        <f t="shared" si="297"/>
        <v>2.4084000000000001E-2</v>
      </c>
    </row>
    <row r="257" spans="1:20" x14ac:dyDescent="0.25">
      <c r="A257" s="1099"/>
      <c r="B257" s="508">
        <v>7</v>
      </c>
      <c r="C257" s="511">
        <f t="shared" ref="C257:H257" si="298">B87</f>
        <v>100</v>
      </c>
      <c r="D257" s="511">
        <f t="shared" si="298"/>
        <v>0.8</v>
      </c>
      <c r="E257" s="511">
        <f t="shared" si="298"/>
        <v>0.9</v>
      </c>
      <c r="F257" s="511">
        <f t="shared" si="298"/>
        <v>9.9999999999999995E-7</v>
      </c>
      <c r="G257" s="511">
        <f t="shared" si="298"/>
        <v>0.4499995</v>
      </c>
      <c r="H257" s="511">
        <f t="shared" si="298"/>
        <v>1.6864000000000001</v>
      </c>
      <c r="I257" s="511"/>
      <c r="J257" s="511"/>
      <c r="K257" s="511">
        <v>7</v>
      </c>
      <c r="L257" s="511">
        <f t="shared" ref="L257:Q257" si="299">B93</f>
        <v>2</v>
      </c>
      <c r="M257" s="511">
        <f t="shared" si="299"/>
        <v>-8.0000000000000002E-3</v>
      </c>
      <c r="N257" s="511">
        <f t="shared" si="299"/>
        <v>-1E-3</v>
      </c>
      <c r="O257" s="511">
        <f t="shared" si="299"/>
        <v>9.9999999999999995E-7</v>
      </c>
      <c r="P257" s="511">
        <f t="shared" si="299"/>
        <v>5.0049999999999997E-4</v>
      </c>
      <c r="Q257" s="511">
        <f t="shared" si="299"/>
        <v>2.4095999999999999E-2</v>
      </c>
    </row>
    <row r="258" spans="1:20" x14ac:dyDescent="0.25">
      <c r="A258" s="1099"/>
      <c r="B258" s="508">
        <v>8</v>
      </c>
      <c r="C258" s="511">
        <f t="shared" ref="C258:H258" si="300">I87</f>
        <v>100</v>
      </c>
      <c r="D258" s="511">
        <f t="shared" si="300"/>
        <v>0.4</v>
      </c>
      <c r="E258" s="511">
        <f t="shared" si="300"/>
        <v>9.9999999999999995E-7</v>
      </c>
      <c r="F258" s="511">
        <f t="shared" si="300"/>
        <v>0</v>
      </c>
      <c r="G258" s="511">
        <f t="shared" si="300"/>
        <v>0.19999950000000002</v>
      </c>
      <c r="H258" s="511">
        <f t="shared" si="300"/>
        <v>1.7000000000000002</v>
      </c>
      <c r="I258" s="511"/>
      <c r="J258" s="511"/>
      <c r="K258" s="511">
        <v>8</v>
      </c>
      <c r="L258" s="511">
        <f t="shared" ref="L258:Q258" si="301">I93</f>
        <v>2</v>
      </c>
      <c r="M258" s="511">
        <f t="shared" si="301"/>
        <v>5.0000000000000001E-3</v>
      </c>
      <c r="N258" s="511">
        <f t="shared" si="301"/>
        <v>-1E-3</v>
      </c>
      <c r="O258" s="511">
        <f t="shared" si="301"/>
        <v>0</v>
      </c>
      <c r="P258" s="511">
        <f t="shared" si="301"/>
        <v>3.0000000000000001E-3</v>
      </c>
      <c r="Q258" s="511">
        <f t="shared" si="301"/>
        <v>2.4E-2</v>
      </c>
    </row>
    <row r="259" spans="1:20" x14ac:dyDescent="0.25">
      <c r="A259" s="1099"/>
      <c r="B259" s="508">
        <v>9</v>
      </c>
      <c r="C259" s="511">
        <f t="shared" ref="C259:H259" si="302">P87</f>
        <v>100</v>
      </c>
      <c r="D259" s="511">
        <f t="shared" si="302"/>
        <v>0.6</v>
      </c>
      <c r="E259" s="511">
        <f t="shared" si="302"/>
        <v>9.9999999999999995E-7</v>
      </c>
      <c r="F259" s="511">
        <f t="shared" si="302"/>
        <v>0</v>
      </c>
      <c r="G259" s="511">
        <f t="shared" si="302"/>
        <v>0.29999949999999997</v>
      </c>
      <c r="H259" s="511">
        <f t="shared" si="302"/>
        <v>0</v>
      </c>
      <c r="I259" s="511"/>
      <c r="J259" s="511"/>
      <c r="K259" s="511">
        <v>9</v>
      </c>
      <c r="L259" s="511">
        <f t="shared" ref="L259:Q259" si="303">P93</f>
        <v>1</v>
      </c>
      <c r="M259" s="511">
        <f t="shared" si="303"/>
        <v>0</v>
      </c>
      <c r="N259" s="511">
        <f t="shared" si="303"/>
        <v>-1E-3</v>
      </c>
      <c r="O259" s="511">
        <f t="shared" si="303"/>
        <v>0</v>
      </c>
      <c r="P259" s="511">
        <f t="shared" si="303"/>
        <v>5.0000000000000001E-4</v>
      </c>
      <c r="Q259" s="511">
        <f t="shared" si="303"/>
        <v>1.2E-2</v>
      </c>
    </row>
    <row r="260" spans="1:20" x14ac:dyDescent="0.25">
      <c r="A260" s="1099"/>
      <c r="B260" s="508">
        <v>10</v>
      </c>
      <c r="C260" s="511">
        <f>B118</f>
        <v>100</v>
      </c>
      <c r="D260" s="511">
        <f t="shared" ref="D260:G260" si="304">C118</f>
        <v>1.4</v>
      </c>
      <c r="E260" s="511" t="str">
        <f t="shared" si="304"/>
        <v>-</v>
      </c>
      <c r="F260" s="511">
        <f t="shared" si="304"/>
        <v>0</v>
      </c>
      <c r="G260" s="511">
        <f t="shared" si="304"/>
        <v>0</v>
      </c>
      <c r="H260" s="511" t="str">
        <f>G118</f>
        <v>-</v>
      </c>
      <c r="I260" s="511"/>
      <c r="J260" s="511"/>
      <c r="K260" s="511">
        <v>10</v>
      </c>
      <c r="L260" s="511">
        <f t="shared" ref="L260:Q260" si="305">B124</f>
        <v>2</v>
      </c>
      <c r="M260" s="511">
        <f t="shared" si="305"/>
        <v>-7.0000000000000001E-3</v>
      </c>
      <c r="N260" s="511" t="str">
        <f t="shared" si="305"/>
        <v>-</v>
      </c>
      <c r="O260" s="511">
        <f t="shared" si="305"/>
        <v>0</v>
      </c>
      <c r="P260" s="511">
        <f t="shared" si="305"/>
        <v>0</v>
      </c>
      <c r="Q260" s="511" t="str">
        <f t="shared" si="305"/>
        <v>-</v>
      </c>
    </row>
    <row r="261" spans="1:20" x14ac:dyDescent="0.25">
      <c r="A261" s="1099"/>
      <c r="B261" s="508">
        <v>11</v>
      </c>
      <c r="C261" s="511">
        <f>I118</f>
        <v>100</v>
      </c>
      <c r="D261" s="511">
        <f t="shared" ref="D261:G261" si="306">J118</f>
        <v>9.9999999999999995E-7</v>
      </c>
      <c r="E261" s="511" t="str">
        <f t="shared" si="306"/>
        <v>-</v>
      </c>
      <c r="F261" s="511">
        <f t="shared" si="306"/>
        <v>0</v>
      </c>
      <c r="G261" s="511">
        <f t="shared" si="306"/>
        <v>0</v>
      </c>
      <c r="H261" s="511" t="str">
        <f>N118</f>
        <v>-</v>
      </c>
      <c r="I261" s="511"/>
      <c r="J261" s="511"/>
      <c r="K261" s="511">
        <v>11</v>
      </c>
      <c r="L261" s="511">
        <f t="shared" ref="L261:Q261" si="307">I124</f>
        <v>2</v>
      </c>
      <c r="M261" s="511">
        <f t="shared" si="307"/>
        <v>9.9999999999999995E-7</v>
      </c>
      <c r="N261" s="511" t="str">
        <f t="shared" si="307"/>
        <v>-</v>
      </c>
      <c r="O261" s="511">
        <f t="shared" si="307"/>
        <v>0</v>
      </c>
      <c r="P261" s="511">
        <f t="shared" si="307"/>
        <v>0</v>
      </c>
      <c r="Q261" s="511" t="str">
        <f t="shared" si="307"/>
        <v>-</v>
      </c>
    </row>
    <row r="262" spans="1:20" x14ac:dyDescent="0.25">
      <c r="A262" s="1099"/>
      <c r="B262" s="508">
        <v>12</v>
      </c>
      <c r="C262" s="511">
        <f>P118</f>
        <v>100</v>
      </c>
      <c r="D262" s="511">
        <f t="shared" ref="D262:G262" si="308">Q118</f>
        <v>9.9999999999999995E-7</v>
      </c>
      <c r="E262" s="511" t="str">
        <f t="shared" si="308"/>
        <v>-</v>
      </c>
      <c r="F262" s="511">
        <f t="shared" si="308"/>
        <v>0</v>
      </c>
      <c r="G262" s="511">
        <f t="shared" si="308"/>
        <v>0</v>
      </c>
      <c r="H262" s="511" t="str">
        <f>U118</f>
        <v>-</v>
      </c>
      <c r="I262" s="511"/>
      <c r="J262" s="511"/>
      <c r="K262" s="511">
        <v>12</v>
      </c>
      <c r="L262" s="511">
        <f t="shared" ref="L262:Q262" si="309">P124</f>
        <v>2</v>
      </c>
      <c r="M262" s="511">
        <f t="shared" si="309"/>
        <v>9.9999999999999995E-7</v>
      </c>
      <c r="N262" s="511" t="str">
        <f t="shared" si="309"/>
        <v>-</v>
      </c>
      <c r="O262" s="511">
        <f t="shared" si="309"/>
        <v>0</v>
      </c>
      <c r="P262" s="511">
        <f t="shared" si="309"/>
        <v>0</v>
      </c>
      <c r="Q262" s="511" t="str">
        <f t="shared" si="309"/>
        <v>-</v>
      </c>
    </row>
    <row r="263" spans="1:20" s="485" customFormat="1" x14ac:dyDescent="0.25">
      <c r="A263" s="516"/>
      <c r="B263" s="517"/>
      <c r="C263" s="489"/>
      <c r="D263" s="489"/>
      <c r="E263" s="489"/>
      <c r="F263" s="489"/>
      <c r="G263" s="489"/>
      <c r="H263" s="518"/>
      <c r="I263" s="516"/>
      <c r="J263" s="517"/>
      <c r="K263" s="517"/>
      <c r="L263" s="517"/>
      <c r="M263" s="517"/>
      <c r="N263" s="517"/>
      <c r="O263" s="517"/>
      <c r="P263" s="518"/>
      <c r="Q263" s="518"/>
    </row>
    <row r="264" spans="1:20" ht="13" thickBot="1" x14ac:dyDescent="0.3">
      <c r="A264" s="505"/>
      <c r="B264" s="280"/>
      <c r="C264" s="280"/>
      <c r="D264" s="506"/>
      <c r="E264" s="506"/>
      <c r="F264" s="506"/>
      <c r="G264" s="506"/>
      <c r="H264" s="506"/>
      <c r="P264" s="506"/>
      <c r="Q264" s="506"/>
    </row>
    <row r="265" spans="1:20" ht="43.5" customHeight="1" x14ac:dyDescent="0.25">
      <c r="A265" s="519">
        <f>A311</f>
        <v>9</v>
      </c>
      <c r="B265" s="1100" t="str">
        <f>A298</f>
        <v>Electrical Safety Analyzer, Merek : Fluke, Model : ESA 615, SN : 4670010</v>
      </c>
      <c r="C265" s="1100"/>
      <c r="D265" s="1100"/>
      <c r="E265" s="1100"/>
      <c r="F265" s="1100"/>
      <c r="H265" s="520" t="s">
        <v>406</v>
      </c>
      <c r="I265" s="520" t="s">
        <v>407</v>
      </c>
      <c r="J265" s="520" t="s">
        <v>408</v>
      </c>
      <c r="K265" s="520" t="s">
        <v>409</v>
      </c>
      <c r="L265" s="700"/>
      <c r="M265" s="1101" t="s">
        <v>150</v>
      </c>
      <c r="N265" s="1104" t="s">
        <v>410</v>
      </c>
      <c r="O265" s="1107" t="s">
        <v>411</v>
      </c>
      <c r="Q265" s="521"/>
      <c r="R265" s="521"/>
      <c r="S265" s="521"/>
      <c r="T265" s="521"/>
    </row>
    <row r="266" spans="1:20" ht="14.5" customHeight="1" x14ac:dyDescent="0.25">
      <c r="A266" s="1110" t="s">
        <v>383</v>
      </c>
      <c r="B266" s="1110"/>
      <c r="C266" s="1110"/>
      <c r="D266" s="1110"/>
      <c r="E266" s="1110"/>
      <c r="F266" s="1110"/>
      <c r="H266" s="522">
        <f>FORECAST(M268,B269:B274,A269:A274)</f>
        <v>-0.19837150127226466</v>
      </c>
      <c r="I266" s="522" t="str">
        <f>IFERROR(FORECAST(M269,B285:B288,A285:A288),"-")</f>
        <v>-</v>
      </c>
      <c r="J266" s="522">
        <f>IFERROR(FORECAST(M270,B291:B294,A291:A294),"-")</f>
        <v>1.2021868025668171E-3</v>
      </c>
      <c r="K266" s="522">
        <f>IFERROR(FORECAST(M271,B277:B282,A277:A282),"-")</f>
        <v>-5.3499101308249548</v>
      </c>
      <c r="L266" s="518"/>
      <c r="M266" s="1102"/>
      <c r="N266" s="1105"/>
      <c r="O266" s="1108"/>
      <c r="Q266" s="521"/>
      <c r="R266" s="521"/>
      <c r="S266" s="521"/>
      <c r="T266" s="521"/>
    </row>
    <row r="267" spans="1:20" ht="13.5" thickBot="1" x14ac:dyDescent="0.3">
      <c r="A267" s="1111" t="str">
        <f>B4</f>
        <v>Setting VAC</v>
      </c>
      <c r="B267" s="1111"/>
      <c r="C267" s="1111"/>
      <c r="D267" s="1111"/>
      <c r="E267" s="1111" t="s">
        <v>385</v>
      </c>
      <c r="F267" s="1111" t="s">
        <v>251</v>
      </c>
      <c r="H267" s="521"/>
      <c r="I267" s="521"/>
      <c r="J267" s="521"/>
      <c r="K267" s="521"/>
      <c r="L267" s="518"/>
      <c r="M267" s="1103"/>
      <c r="N267" s="1106"/>
      <c r="O267" s="1109"/>
      <c r="Q267" s="521"/>
      <c r="R267" s="521"/>
      <c r="S267" s="521"/>
      <c r="T267" s="521"/>
    </row>
    <row r="268" spans="1:20" ht="31.5" x14ac:dyDescent="0.25">
      <c r="A268" s="677" t="s">
        <v>386</v>
      </c>
      <c r="B268" s="523">
        <f>VLOOKUP(B265,A299:L310,9,FALSE)</f>
        <v>2022</v>
      </c>
      <c r="C268" s="523">
        <f>VLOOKUP(B265,A299:L310,10,FALSE)</f>
        <v>2020</v>
      </c>
      <c r="D268" s="523">
        <f>VLOOKUP(B265,A299:L310,11,FALSE)</f>
        <v>2016</v>
      </c>
      <c r="E268" s="1111"/>
      <c r="F268" s="1111"/>
      <c r="H268" s="520" t="s">
        <v>412</v>
      </c>
      <c r="I268" s="520" t="s">
        <v>413</v>
      </c>
      <c r="J268" s="520" t="s">
        <v>441</v>
      </c>
      <c r="K268" s="521"/>
      <c r="L268" s="518"/>
      <c r="M268" s="524">
        <f>ID!E17</f>
        <v>220</v>
      </c>
      <c r="N268" s="525">
        <f>M268+H266</f>
        <v>219.80162849872772</v>
      </c>
      <c r="O268" s="526">
        <f>IF(M268="-","-",IF(M268=M268,N268,))</f>
        <v>219.80162849872772</v>
      </c>
      <c r="Q268" s="521"/>
      <c r="R268" s="521"/>
      <c r="S268" s="521"/>
      <c r="T268" s="521"/>
    </row>
    <row r="269" spans="1:20" ht="15.5" x14ac:dyDescent="0.25">
      <c r="A269" s="690">
        <f>VLOOKUP($A265,$B131:$H142,2,(FALSE))</f>
        <v>150</v>
      </c>
      <c r="B269" s="701">
        <f>VLOOKUP($A$265,$B$131:$H$142,3,(FALSE))</f>
        <v>-0.08</v>
      </c>
      <c r="C269" s="701">
        <f>VLOOKUP($A$265,$B$131:$H$142,4,(FALSE))</f>
        <v>-0.17</v>
      </c>
      <c r="D269" s="701">
        <f>VLOOKUP($A$265,$B$131:$H$142,5,(FALSE))</f>
        <v>0</v>
      </c>
      <c r="E269" s="701">
        <f>VLOOKUP($A$265,$B$131:$H$142,6,(FALSE))</f>
        <v>4.5000000000000005E-2</v>
      </c>
      <c r="F269" s="690">
        <f>VLOOKUP($A$265,$B$131:$H$142,7,(FALSE))</f>
        <v>1.8</v>
      </c>
      <c r="H269" s="527">
        <f>FORECAST(M272,B277:B282,A277:A282)</f>
        <v>1.3668887014812414</v>
      </c>
      <c r="I269" s="527">
        <f>FORECAST(N268,F269:F274,A269:A274)</f>
        <v>2.6376195419847326</v>
      </c>
      <c r="J269" s="520">
        <f>IFERROR(FORECAST(M273,B277:B282,A277:A282),"-")</f>
        <v>1.025356557465672</v>
      </c>
      <c r="K269" s="528"/>
      <c r="L269" s="518"/>
      <c r="M269" s="529" t="str">
        <f>ID!J26</f>
        <v>OL</v>
      </c>
      <c r="N269" s="587" t="str">
        <f>IFERROR(M269+I266,"-")</f>
        <v>-</v>
      </c>
      <c r="O269" s="530" t="str">
        <f>IF(M269="OL","OL",IF(M269="NC","NC",IF(M269="OR","OR",IFERROR(N269,"-"))))</f>
        <v>OL</v>
      </c>
      <c r="Q269" s="506"/>
      <c r="R269" s="531"/>
    </row>
    <row r="270" spans="1:20" ht="14.5" thickBot="1" x14ac:dyDescent="0.3">
      <c r="A270" s="702">
        <f>VLOOKUP($A$265,$B$144:$H$155,2,(FALSE))</f>
        <v>180</v>
      </c>
      <c r="B270" s="703">
        <f>VLOOKUP($A$265,$B$144:$H$155,3,(FALSE))</f>
        <v>-0.2</v>
      </c>
      <c r="C270" s="703">
        <f>VLOOKUP($A$265,$B$144:$H$155,4,(FALSE))</f>
        <v>-0.22</v>
      </c>
      <c r="D270" s="703">
        <f>VLOOKUP($A$265,$B$144:$H$155,5,(FALSE))</f>
        <v>0</v>
      </c>
      <c r="E270" s="703">
        <f>VLOOKUP($A$265,$B$144:$H$155,6,(FALSE))</f>
        <v>9.999999999999995E-3</v>
      </c>
      <c r="F270" s="690">
        <f>VLOOKUP($A$265,$B$144:$H$155,7,(FALSE))</f>
        <v>2.16</v>
      </c>
      <c r="H270" s="521"/>
      <c r="I270" s="521"/>
      <c r="J270" s="521"/>
      <c r="K270" s="521"/>
      <c r="L270" s="518"/>
      <c r="M270" s="529">
        <f>ID!J27</f>
        <v>0.1</v>
      </c>
      <c r="N270" s="587">
        <f>IFERROR(M270+J266,"-")</f>
        <v>0.10120218680256682</v>
      </c>
      <c r="O270" s="530">
        <f>IF(M270="OL","OL",IF(M270="NC","NC",IF(M270="OR","OR",IFERROR(N270,"-"))))</f>
        <v>0.10120218680256682</v>
      </c>
    </row>
    <row r="271" spans="1:20" ht="14" x14ac:dyDescent="0.25">
      <c r="A271" s="702">
        <f>VLOOKUP($A$265,$B$157:$H$168,2,(FALSE))</f>
        <v>200</v>
      </c>
      <c r="B271" s="703">
        <f>VLOOKUP($A$265,$B$157:$H$168,3,(FALSE))</f>
        <v>-0.25</v>
      </c>
      <c r="C271" s="703">
        <f>VLOOKUP($A$265,$B$157:$H$168,4,(FALSE))</f>
        <v>-0.33</v>
      </c>
      <c r="D271" s="703">
        <f>VLOOKUP($A$265,$B$157:$H$168,5,(FALSE))</f>
        <v>0</v>
      </c>
      <c r="E271" s="703">
        <f>VLOOKUP($A$265,$B$157:$H$168,6,(FALSE))</f>
        <v>4.0000000000000008E-2</v>
      </c>
      <c r="F271" s="690">
        <f>VLOOKUP($A$265,$B$157:$H$168,7,(FALSE))</f>
        <v>2.4</v>
      </c>
      <c r="H271" s="1057" t="s">
        <v>304</v>
      </c>
      <c r="I271" s="1058"/>
      <c r="J271" s="1059"/>
      <c r="K271" s="521"/>
      <c r="L271" s="532" t="s">
        <v>414</v>
      </c>
      <c r="M271" s="533">
        <f>ID!J28</f>
        <v>600</v>
      </c>
      <c r="N271" s="534">
        <f>IFERROR(M271+K266,"-")</f>
        <v>594.65008986917508</v>
      </c>
      <c r="O271" s="535">
        <f>IFERROR(N271,"-")</f>
        <v>594.65008986917508</v>
      </c>
      <c r="P271" s="506"/>
    </row>
    <row r="272" spans="1:20" ht="16" thickBot="1" x14ac:dyDescent="0.3">
      <c r="A272" s="509">
        <f>VLOOKUP($A$265,$B$170:$H$181,2,(FALSE))</f>
        <v>220</v>
      </c>
      <c r="B272" s="536">
        <f>VLOOKUP($A$265,$B$170:$H$181,3,(FALSE))</f>
        <v>-0.28999999999999998</v>
      </c>
      <c r="C272" s="536">
        <f>VLOOKUP($A$265,$B$170:$H$181,4,(FALSE))</f>
        <v>-0.39</v>
      </c>
      <c r="D272" s="536">
        <f>VLOOKUP($A$265,$B$170:$H$181,5,(FALSE))</f>
        <v>0</v>
      </c>
      <c r="E272" s="536">
        <f>VLOOKUP($A$265,$B$170:$H$181,6,(FALSE))</f>
        <v>5.0000000000000017E-2</v>
      </c>
      <c r="F272" s="690">
        <f>VLOOKUP($A$265,$B$170:$H$181,7,(FALSE))</f>
        <v>2.64</v>
      </c>
      <c r="H272" s="689" t="str">
        <f>TEXT(O268,"0.0")</f>
        <v>219.8</v>
      </c>
      <c r="I272" s="690" t="str">
        <f>TEXT(I269,"0.0")</f>
        <v>2.6</v>
      </c>
      <c r="J272" s="538" t="s">
        <v>306</v>
      </c>
      <c r="K272" s="521"/>
      <c r="L272" s="532" t="s">
        <v>415</v>
      </c>
      <c r="M272" s="704">
        <f>ID!R28</f>
        <v>10</v>
      </c>
      <c r="N272" s="539">
        <f>IFERROR(M272+H269,"-")</f>
        <v>11.366888701481241</v>
      </c>
      <c r="O272" s="540">
        <f>IFERROR(N272,"-")</f>
        <v>11.366888701481241</v>
      </c>
    </row>
    <row r="273" spans="1:18" ht="15.75" customHeight="1" thickBot="1" x14ac:dyDescent="0.35">
      <c r="A273" s="509">
        <f>VLOOKUP($A$265,$B$183:$H$194,2,(FALSE))</f>
        <v>230</v>
      </c>
      <c r="B273" s="536">
        <f>VLOOKUP($A$265,$B$183:$H$194,3,(FALSE))</f>
        <v>-0.34</v>
      </c>
      <c r="C273" s="536">
        <f>VLOOKUP($A$265,$B$183:$H$194,4,(FALSE))</f>
        <v>-0.39</v>
      </c>
      <c r="D273" s="536">
        <f>VLOOKUP($A$265,$B$183:$H$194,5,(FALSE))</f>
        <v>0</v>
      </c>
      <c r="E273" s="536">
        <f>VLOOKUP($A$265,$B$183:$H$194,6,(FALSE))</f>
        <v>2.4999999999999994E-2</v>
      </c>
      <c r="F273" s="690">
        <f>VLOOKUP($A$265,$B$183:$H$194,7,(FALSE))</f>
        <v>2.7600000000000002</v>
      </c>
      <c r="H273" s="541" t="s">
        <v>308</v>
      </c>
      <c r="I273" s="542" t="s">
        <v>309</v>
      </c>
      <c r="J273" s="543" t="s">
        <v>310</v>
      </c>
      <c r="K273" s="528"/>
      <c r="L273" s="518"/>
      <c r="M273" s="705">
        <f>ID!J29</f>
        <v>40</v>
      </c>
      <c r="N273" s="539">
        <f>IFERROR(M273+J269,"-")</f>
        <v>41.02535655746567</v>
      </c>
      <c r="O273" s="540">
        <f>IFERROR(N273,"-")</f>
        <v>41.02535655746567</v>
      </c>
    </row>
    <row r="274" spans="1:18" ht="17.5" x14ac:dyDescent="0.25">
      <c r="A274" s="509">
        <f>VLOOKUP($A$265,$B$196:$H$207,2,(FALSE))</f>
        <v>250</v>
      </c>
      <c r="B274" s="536">
        <f>VLOOKUP($A$265,$B$196:$H$207,3,(FALSE))</f>
        <v>0</v>
      </c>
      <c r="C274" s="536">
        <f>VLOOKUP($A$265,$B$196:$H$207,4,(FALSE))</f>
        <v>-0.39</v>
      </c>
      <c r="D274" s="536">
        <f>VLOOKUP($A$265,$B$196:$H$207,5,(FALSE))</f>
        <v>0</v>
      </c>
      <c r="E274" s="536">
        <f>VLOOKUP($A$265,$B$196:$H$207,6,(FALSE))</f>
        <v>0.19500000000000001</v>
      </c>
      <c r="F274" s="690">
        <f>VLOOKUP($A$265,$B$196:$H$207,7,(FALSE))</f>
        <v>3</v>
      </c>
      <c r="H274" s="1119" t="str">
        <f>H273&amp;H272&amp;I273&amp;I272&amp;J273&amp;J272</f>
        <v>( 219.8 ± 2.6 ) Volt</v>
      </c>
      <c r="I274" s="1120"/>
      <c r="J274" s="1121"/>
      <c r="K274" s="521"/>
      <c r="L274" s="518"/>
      <c r="M274" s="544"/>
      <c r="N274" s="545"/>
      <c r="O274" s="546"/>
    </row>
    <row r="275" spans="1:18" ht="13" customHeight="1" x14ac:dyDescent="0.25">
      <c r="A275" s="1098" t="str">
        <f>B12</f>
        <v>Current Leakage</v>
      </c>
      <c r="B275" s="1098"/>
      <c r="C275" s="1098"/>
      <c r="D275" s="1098"/>
      <c r="E275" s="547" t="s">
        <v>385</v>
      </c>
      <c r="F275" s="547" t="s">
        <v>251</v>
      </c>
      <c r="H275" s="521"/>
      <c r="I275" s="521"/>
      <c r="J275" s="521"/>
      <c r="K275" s="521"/>
      <c r="L275" s="518"/>
      <c r="M275" s="544"/>
      <c r="N275" s="545"/>
      <c r="O275" s="546"/>
      <c r="Q275" s="506"/>
    </row>
    <row r="276" spans="1:18" ht="14" x14ac:dyDescent="0.25">
      <c r="A276" s="677" t="s">
        <v>388</v>
      </c>
      <c r="B276" s="523">
        <f>B268</f>
        <v>2022</v>
      </c>
      <c r="C276" s="523">
        <f>C268</f>
        <v>2020</v>
      </c>
      <c r="D276" s="523">
        <f>D268</f>
        <v>2016</v>
      </c>
      <c r="E276" s="547"/>
      <c r="F276" s="547"/>
      <c r="H276" s="521"/>
      <c r="I276" s="521"/>
      <c r="J276" s="521"/>
      <c r="K276" s="521"/>
      <c r="L276" s="518"/>
      <c r="M276" s="544"/>
      <c r="N276" s="545"/>
      <c r="O276" s="546"/>
      <c r="Q276" s="506"/>
    </row>
    <row r="277" spans="1:18" ht="15.75" customHeight="1" x14ac:dyDescent="0.25">
      <c r="A277" s="512">
        <f>VLOOKUP($A$265,$K$131:$Q$142,2,(FALSE))</f>
        <v>0</v>
      </c>
      <c r="B277" s="548">
        <f>VLOOKUP($A$265,$K$131:$Q$142,3,(FALSE))</f>
        <v>0</v>
      </c>
      <c r="C277" s="548">
        <f>VLOOKUP($A$265,$K$131:$Q$142,4,(FALSE))</f>
        <v>9.9999999999999995E-7</v>
      </c>
      <c r="D277" s="548">
        <f>VLOOKUP($A$265,$K$131:$Q$142,5,(FALSE))</f>
        <v>0</v>
      </c>
      <c r="E277" s="548">
        <f>VLOOKUP($A$265,$K$131:$Q$142,6,(FALSE))</f>
        <v>4.9999999999999998E-7</v>
      </c>
      <c r="F277" s="548">
        <f>VLOOKUP($A$265,$K$131:$Q$142,7,(FALSE))</f>
        <v>0.12</v>
      </c>
      <c r="H277" s="1122"/>
      <c r="I277" s="1122"/>
      <c r="J277" s="1122"/>
      <c r="K277" s="1122"/>
      <c r="L277" s="518"/>
      <c r="M277" s="549"/>
      <c r="N277" s="549"/>
      <c r="O277" s="550"/>
      <c r="Q277" s="506"/>
      <c r="R277" s="506"/>
    </row>
    <row r="278" spans="1:18" x14ac:dyDescent="0.25">
      <c r="A278" s="512">
        <f>VLOOKUP($A$265,$K$144:$Q$155,2,(FALSE))</f>
        <v>20</v>
      </c>
      <c r="B278" s="548">
        <f>VLOOKUP($A$265,$K$144:$Q$155,3,(FALSE))</f>
        <v>4.9000000000000004</v>
      </c>
      <c r="C278" s="548">
        <f>VLOOKUP($A$265,$K$144:$Q$155,4,(FALSE))</f>
        <v>0.8</v>
      </c>
      <c r="D278" s="548">
        <f>VLOOKUP($A$265,$K$144:$Q$155,5,(FALSE))</f>
        <v>0</v>
      </c>
      <c r="E278" s="548">
        <f>VLOOKUP($A$265,$K$144:$Q$155,6,(FALSE))</f>
        <v>2.0500000000000003</v>
      </c>
      <c r="F278" s="548">
        <f>VLOOKUP($A$265,$K$144:$Q$155,7,(FALSE))</f>
        <v>0.11799999999999999</v>
      </c>
      <c r="H278" s="521"/>
      <c r="I278" s="521"/>
      <c r="J278" s="521"/>
      <c r="K278" s="521"/>
      <c r="L278" s="518"/>
      <c r="M278" s="551"/>
      <c r="N278" s="551"/>
      <c r="O278" s="546"/>
      <c r="Q278" s="506"/>
      <c r="R278" s="506"/>
    </row>
    <row r="279" spans="1:18" x14ac:dyDescent="0.25">
      <c r="A279" s="512">
        <f>VLOOKUP($A$265,$K$157:$Q$168,2,(FALSE))</f>
        <v>50</v>
      </c>
      <c r="B279" s="548">
        <f>VLOOKUP($A$265,$K$157:$Q$168,3,(FALSE))</f>
        <v>9.1999999999999993</v>
      </c>
      <c r="C279" s="548">
        <f>VLOOKUP($A$265,$K$157:$Q$168,4,(FALSE))</f>
        <v>1.7</v>
      </c>
      <c r="D279" s="548">
        <f>VLOOKUP($A$265,$K$157:$Q$168,5,(FALSE))</f>
        <v>0</v>
      </c>
      <c r="E279" s="548">
        <f>VLOOKUP($A$265,$K$157:$Q$168,6,(FALSE))</f>
        <v>3.7499999999999996</v>
      </c>
      <c r="F279" s="548">
        <f>VLOOKUP($A$265,$K$157:$Q$168,7,(FALSE))</f>
        <v>0.29499999999999998</v>
      </c>
      <c r="H279" s="521"/>
      <c r="I279" s="521"/>
      <c r="J279" s="521"/>
      <c r="K279" s="521"/>
      <c r="L279" s="518"/>
      <c r="M279" s="485"/>
      <c r="N279" s="485"/>
      <c r="O279" s="552"/>
      <c r="Q279" s="506"/>
      <c r="R279" s="506"/>
    </row>
    <row r="280" spans="1:18" x14ac:dyDescent="0.25">
      <c r="A280" s="512">
        <f>VLOOKUP($A$265,$K$170:$Q$181,2,(FALSE))</f>
        <v>200</v>
      </c>
      <c r="B280" s="548">
        <f>VLOOKUP($A$265,$K$170:$Q$181,3,(FALSE))</f>
        <v>-0.2</v>
      </c>
      <c r="C280" s="548">
        <f>VLOOKUP($A$265,$K$170:$Q$181,4,(FALSE))</f>
        <v>3.4</v>
      </c>
      <c r="D280" s="548">
        <f>VLOOKUP($A$265,$K$170:$Q$181,5,(FALSE))</f>
        <v>0</v>
      </c>
      <c r="E280" s="548">
        <f>VLOOKUP($A$265,$K$170:$Q$181,6,(FALSE))</f>
        <v>1.8</v>
      </c>
      <c r="F280" s="548">
        <f>VLOOKUP($A$265,$K$170:$Q$181,7,(FALSE))</f>
        <v>1.18</v>
      </c>
      <c r="H280" s="521"/>
      <c r="I280" s="521"/>
      <c r="J280" s="521"/>
      <c r="K280" s="521"/>
      <c r="L280" s="518"/>
      <c r="M280" s="485"/>
      <c r="N280" s="485"/>
      <c r="O280" s="552"/>
      <c r="Q280" s="506"/>
      <c r="R280" s="506"/>
    </row>
    <row r="281" spans="1:18" ht="16.5" customHeight="1" x14ac:dyDescent="0.3">
      <c r="A281" s="512">
        <f>VLOOKUP($A$265,$K$183:$Q$194,2,(FALSE))</f>
        <v>500</v>
      </c>
      <c r="B281" s="548">
        <f>VLOOKUP($A$265,$K$183:$Q$194,3,(FALSE))</f>
        <v>-25.1</v>
      </c>
      <c r="C281" s="548">
        <f>VLOOKUP($A$265,$K$183:$Q$194,4,(FALSE))</f>
        <v>7.2</v>
      </c>
      <c r="D281" s="548">
        <f>VLOOKUP($A$265,$K$183:$Q$194,5,(FALSE))</f>
        <v>0</v>
      </c>
      <c r="E281" s="548">
        <f>VLOOKUP($A$265,$K$183:$Q$194,6,(FALSE))</f>
        <v>16.150000000000002</v>
      </c>
      <c r="F281" s="548">
        <f>VLOOKUP($A$265,$K$183:$Q$194,7,(FALSE))</f>
        <v>2.9499999999999997</v>
      </c>
      <c r="H281" s="1122"/>
      <c r="I281" s="1122"/>
      <c r="J281" s="1122"/>
      <c r="K281" s="1122"/>
      <c r="L281" s="518"/>
      <c r="M281" s="553"/>
      <c r="N281" s="553"/>
      <c r="O281" s="554"/>
      <c r="P281" s="14"/>
      <c r="Q281" s="506"/>
      <c r="R281" s="506"/>
    </row>
    <row r="282" spans="1:18" x14ac:dyDescent="0.25">
      <c r="A282" s="512">
        <f>VLOOKUP($A$265,$K$196:$Q$207,2,(FALSE))</f>
        <v>1000</v>
      </c>
      <c r="B282" s="548">
        <f>VLOOKUP($A$265,$K$196:$Q$207,3,(FALSE))</f>
        <v>-6.6000000000000003E-2</v>
      </c>
      <c r="C282" s="548">
        <f>VLOOKUP($A$265,$K$196:$Q$207,4,(FALSE))</f>
        <v>9.9999999999999995E-7</v>
      </c>
      <c r="D282" s="548">
        <f>VLOOKUP($A$265,$K$196:$Q$207,5,(FALSE))</f>
        <v>0</v>
      </c>
      <c r="E282" s="548">
        <f>VLOOKUP($A$265,$K$196:$Q$207,6,(FALSE))</f>
        <v>3.3000500000000002E-2</v>
      </c>
      <c r="F282" s="548">
        <f>VLOOKUP($A$265,$K$196:$Q$207,7,(FALSE))</f>
        <v>2.99</v>
      </c>
      <c r="H282" s="521"/>
      <c r="I282" s="521"/>
      <c r="J282" s="521"/>
      <c r="K282" s="521"/>
      <c r="L282" s="518"/>
      <c r="M282" s="521"/>
      <c r="N282" s="521"/>
      <c r="O282" s="555"/>
      <c r="P282" s="95"/>
      <c r="Q282" s="506"/>
      <c r="R282" s="506"/>
    </row>
    <row r="283" spans="1:18" ht="13" x14ac:dyDescent="0.25">
      <c r="A283" s="1098" t="str">
        <f>B20</f>
        <v>Main-PE</v>
      </c>
      <c r="B283" s="1098"/>
      <c r="C283" s="1098"/>
      <c r="D283" s="1098"/>
      <c r="E283" s="547" t="s">
        <v>385</v>
      </c>
      <c r="F283" s="547" t="s">
        <v>251</v>
      </c>
      <c r="H283" s="521"/>
      <c r="I283" s="521"/>
      <c r="J283" s="521"/>
      <c r="K283" s="521"/>
      <c r="L283" s="518"/>
      <c r="M283" s="521"/>
      <c r="N283" s="521"/>
      <c r="O283" s="555"/>
      <c r="P283" s="95"/>
      <c r="Q283" s="506"/>
      <c r="R283" s="506"/>
    </row>
    <row r="284" spans="1:18" ht="14.5" x14ac:dyDescent="0.25">
      <c r="A284" s="677" t="s">
        <v>389</v>
      </c>
      <c r="B284" s="523">
        <f>B276</f>
        <v>2022</v>
      </c>
      <c r="C284" s="523">
        <f>C276</f>
        <v>2020</v>
      </c>
      <c r="D284" s="523">
        <f>D276</f>
        <v>2016</v>
      </c>
      <c r="E284" s="547"/>
      <c r="F284" s="547"/>
      <c r="H284" s="521"/>
      <c r="I284" s="521"/>
      <c r="J284" s="521"/>
      <c r="K284" s="521"/>
      <c r="L284" s="518"/>
      <c r="M284" s="521"/>
      <c r="N284" s="521"/>
      <c r="O284" s="555"/>
      <c r="P284" s="95"/>
      <c r="Q284" s="506"/>
      <c r="R284" s="506"/>
    </row>
    <row r="285" spans="1:18" ht="15.75" customHeight="1" x14ac:dyDescent="0.25">
      <c r="A285" s="512">
        <f>VLOOKUP($A$265,$B$212:$H$223,2,(FALSE))</f>
        <v>10</v>
      </c>
      <c r="B285" s="548">
        <f>VLOOKUP($A$265,$B$212:$H$223,3,(FALSE))</f>
        <v>0</v>
      </c>
      <c r="C285" s="548">
        <f>VLOOKUP($A$265,$B$212:$H$223,4,(FALSE))</f>
        <v>9.9999999999999995E-7</v>
      </c>
      <c r="D285" s="548">
        <f>VLOOKUP($A$265,$B$212:$H$223,5,(FALSE))</f>
        <v>0</v>
      </c>
      <c r="E285" s="548">
        <f>VLOOKUP($A$265,$B$212:$H$223,6,(FALSE))</f>
        <v>4.9999999999999998E-7</v>
      </c>
      <c r="F285" s="548">
        <f>VLOOKUP($A$265,$B$212:$H$223,7,(FALSE))</f>
        <v>0</v>
      </c>
      <c r="H285" s="1112"/>
      <c r="I285" s="1112"/>
      <c r="J285" s="1112"/>
      <c r="K285" s="1112"/>
      <c r="L285" s="485"/>
      <c r="M285" s="485"/>
      <c r="N285" s="485"/>
      <c r="O285" s="552"/>
      <c r="Q285" s="506"/>
      <c r="R285" s="506"/>
    </row>
    <row r="286" spans="1:18" x14ac:dyDescent="0.25">
      <c r="A286" s="512">
        <f>VLOOKUP($A$265,$B$225:$H$236,2,(FALSE))</f>
        <v>20</v>
      </c>
      <c r="B286" s="548">
        <f>VLOOKUP($A$265,$B$225:$H$236,3,(FALSE))</f>
        <v>0</v>
      </c>
      <c r="C286" s="548">
        <f>VLOOKUP($A$265,$B$225:$H$236,4,(FALSE))</f>
        <v>9.9999999999999995E-7</v>
      </c>
      <c r="D286" s="548">
        <f>VLOOKUP($A$265,$B$225:$H$236,5,(FALSE))</f>
        <v>0</v>
      </c>
      <c r="E286" s="548">
        <f>VLOOKUP($A$265,$B$225:$H$236,6,(FALSE))</f>
        <v>4.9999999999999998E-7</v>
      </c>
      <c r="F286" s="548">
        <f>VLOOKUP($A$265,$B$225:$H$236,7,(FALSE))</f>
        <v>0</v>
      </c>
      <c r="H286" s="556"/>
      <c r="I286" s="556"/>
      <c r="J286" s="556"/>
      <c r="K286" s="556"/>
      <c r="L286" s="485"/>
      <c r="M286" s="485"/>
      <c r="N286" s="485"/>
      <c r="O286" s="552"/>
      <c r="Q286" s="506"/>
      <c r="R286" s="506"/>
    </row>
    <row r="287" spans="1:18" x14ac:dyDescent="0.25">
      <c r="A287" s="512">
        <f>VLOOKUP($A$265,$B$238:$H$249,2,(FALSE))</f>
        <v>50</v>
      </c>
      <c r="B287" s="548">
        <f>VLOOKUP($A$265,$B$238:$H$249,3,(FALSE))</f>
        <v>0.2</v>
      </c>
      <c r="C287" s="548">
        <f>VLOOKUP($A$265,$B$238:$H$249,4,(FALSE))</f>
        <v>9.9999999999999995E-7</v>
      </c>
      <c r="D287" s="548">
        <f>VLOOKUP($A$265,$B$238:$H$249,5,(FALSE))</f>
        <v>0</v>
      </c>
      <c r="E287" s="548">
        <f>VLOOKUP($A$265,$B$238:$H$249,6,(FALSE))</f>
        <v>9.9999500000000005E-2</v>
      </c>
      <c r="F287" s="548">
        <f>VLOOKUP($A$265,$B$238:$H$249,7,(FALSE))</f>
        <v>0</v>
      </c>
      <c r="H287" s="556"/>
      <c r="I287" s="556"/>
      <c r="J287" s="556"/>
      <c r="K287" s="556"/>
      <c r="L287" s="485"/>
      <c r="M287" s="485"/>
      <c r="N287" s="485"/>
      <c r="O287" s="552"/>
      <c r="Q287" s="506"/>
      <c r="R287" s="506"/>
    </row>
    <row r="288" spans="1:18" x14ac:dyDescent="0.25">
      <c r="A288" s="512">
        <f>VLOOKUP($A$265,$B$251:$H$262,2,(FALSE))</f>
        <v>100</v>
      </c>
      <c r="B288" s="548">
        <f>VLOOKUP($A$265,$B$251:$H$262,3,(FALSE))</f>
        <v>0.6</v>
      </c>
      <c r="C288" s="548">
        <f>VLOOKUP($A$265,$B$251:$H$262,4,(FALSE))</f>
        <v>9.9999999999999995E-7</v>
      </c>
      <c r="D288" s="548">
        <f>VLOOKUP($A$265,$B$251:$H$262,5,(FALSE))</f>
        <v>0</v>
      </c>
      <c r="E288" s="548">
        <f>VLOOKUP($A$265,$B$251:$H$262,6,(FALSE))</f>
        <v>0.29999949999999997</v>
      </c>
      <c r="F288" s="548">
        <f>VLOOKUP($A$265,$B$251:$H$262,7,(FALSE))</f>
        <v>0</v>
      </c>
      <c r="H288" s="556"/>
      <c r="I288" s="556"/>
      <c r="J288" s="556"/>
      <c r="K288" s="556"/>
      <c r="L288" s="485"/>
      <c r="M288" s="485"/>
      <c r="N288" s="485"/>
      <c r="O288" s="552"/>
      <c r="Q288" s="506"/>
      <c r="R288" s="506"/>
    </row>
    <row r="289" spans="1:25" ht="15.75" customHeight="1" x14ac:dyDescent="0.25">
      <c r="A289" s="1098" t="str">
        <f>B26</f>
        <v>Resistance</v>
      </c>
      <c r="B289" s="1098"/>
      <c r="C289" s="1098"/>
      <c r="D289" s="1098"/>
      <c r="E289" s="547" t="s">
        <v>385</v>
      </c>
      <c r="F289" s="547" t="s">
        <v>251</v>
      </c>
      <c r="H289" s="1112"/>
      <c r="I289" s="1112"/>
      <c r="J289" s="1112"/>
      <c r="K289" s="1112"/>
      <c r="L289" s="485"/>
      <c r="M289" s="485"/>
      <c r="N289" s="485"/>
      <c r="O289" s="552"/>
      <c r="Q289" s="506"/>
      <c r="R289" s="506"/>
    </row>
    <row r="290" spans="1:25" ht="14.5" x14ac:dyDescent="0.25">
      <c r="A290" s="677" t="s">
        <v>390</v>
      </c>
      <c r="B290" s="523">
        <f>B284</f>
        <v>2022</v>
      </c>
      <c r="C290" s="523">
        <f>C284</f>
        <v>2020</v>
      </c>
      <c r="D290" s="523">
        <f>D284</f>
        <v>2016</v>
      </c>
      <c r="E290" s="547"/>
      <c r="F290" s="547"/>
      <c r="H290" s="556"/>
      <c r="I290" s="556"/>
      <c r="J290" s="556"/>
      <c r="K290" s="556"/>
      <c r="L290" s="485"/>
      <c r="M290" s="485"/>
      <c r="N290" s="485"/>
      <c r="O290" s="552"/>
      <c r="Q290" s="506"/>
      <c r="R290" s="506"/>
    </row>
    <row r="291" spans="1:25" ht="14" x14ac:dyDescent="0.25">
      <c r="A291" s="690">
        <f>VLOOKUP($A$265,$K$212:$Q$223,2,(FALSE))</f>
        <v>1E-3</v>
      </c>
      <c r="B291" s="701">
        <f>VLOOKUP($A$265,$K$212:$Q$223,3,(FALSE))</f>
        <v>0</v>
      </c>
      <c r="C291" s="701">
        <f>VLOOKUP($A$265,$K$212:$Q$223,4,(FALSE))</f>
        <v>-1E-3</v>
      </c>
      <c r="D291" s="701">
        <f>VLOOKUP($A$265,$K$212:$Q$223,5,(FALSE))</f>
        <v>0</v>
      </c>
      <c r="E291" s="701">
        <f>VLOOKUP($A$265,$K$212:$Q$223,6,(FALSE))</f>
        <v>5.0000000000000001E-4</v>
      </c>
      <c r="F291" s="701">
        <f>VLOOKUP($A$265,$K$212:$Q$223,7,(FALSE))</f>
        <v>1.2E-5</v>
      </c>
      <c r="H291" s="556"/>
      <c r="I291" s="556"/>
      <c r="J291" s="556"/>
      <c r="K291" s="556"/>
      <c r="L291" s="485"/>
      <c r="M291" s="485"/>
      <c r="N291" s="485"/>
      <c r="O291" s="552"/>
      <c r="Q291" s="506"/>
      <c r="R291" s="506"/>
    </row>
    <row r="292" spans="1:25" ht="14" x14ac:dyDescent="0.25">
      <c r="A292" s="690">
        <f>VLOOKUP($A$265,$K$225:$Q$236,2,(FALSE))</f>
        <v>0.10199999999999999</v>
      </c>
      <c r="B292" s="701">
        <f>VLOOKUP($A$265,$K$225:$Q$236,3,(FALSE))</f>
        <v>1E-3</v>
      </c>
      <c r="C292" s="701">
        <f>VLOOKUP($A$265,$K$225:$Q$236,4,(FALSE))</f>
        <v>-2E-3</v>
      </c>
      <c r="D292" s="701">
        <f>VLOOKUP($A$265,$K$225:$Q$236,5,(FALSE))</f>
        <v>0</v>
      </c>
      <c r="E292" s="701">
        <f>VLOOKUP($A$265,$K$225:$Q$236,6,(FALSE))</f>
        <v>1.5E-3</v>
      </c>
      <c r="F292" s="701">
        <f>VLOOKUP($A$265,$K$225:$Q$236,7,(FALSE))</f>
        <v>1.224E-3</v>
      </c>
      <c r="H292" s="556"/>
      <c r="I292" s="556"/>
      <c r="J292" s="556"/>
      <c r="K292" s="556"/>
      <c r="L292" s="485"/>
      <c r="M292" s="485"/>
      <c r="N292" s="485"/>
      <c r="O292" s="552"/>
      <c r="Q292" s="506"/>
      <c r="R292" s="506"/>
    </row>
    <row r="293" spans="1:25" ht="15.75" customHeight="1" x14ac:dyDescent="0.25">
      <c r="A293" s="690">
        <f>VLOOKUP($A$265,$K$238:$Q$249,2,(FALSE))</f>
        <v>0.5</v>
      </c>
      <c r="B293" s="701">
        <f>VLOOKUP($A$265,$K$238:$Q$249,3,(FALSE))</f>
        <v>4.0000000000000001E-3</v>
      </c>
      <c r="C293" s="701">
        <f>VLOOKUP($A$265,$K$238:$Q$249,4,(FALSE))</f>
        <v>9.9999999999999995E-7</v>
      </c>
      <c r="D293" s="701">
        <f>VLOOKUP($A$265,$K$238:$Q$249,5,(FALSE))</f>
        <v>0</v>
      </c>
      <c r="E293" s="701">
        <f>VLOOKUP($A$265,$K$238:$Q$249,6,(FALSE))</f>
        <v>1.9995E-3</v>
      </c>
      <c r="F293" s="701">
        <f>VLOOKUP($A$265,$K$238:$Q$249,7,(FALSE))</f>
        <v>6.0000000000000001E-3</v>
      </c>
      <c r="H293" s="1112"/>
      <c r="I293" s="1112"/>
      <c r="J293" s="1112"/>
      <c r="K293" s="1112"/>
      <c r="L293" s="485"/>
      <c r="M293" s="485"/>
      <c r="N293" s="485"/>
      <c r="O293" s="552"/>
      <c r="Q293" s="506"/>
      <c r="R293" s="506"/>
    </row>
    <row r="294" spans="1:25" ht="14" x14ac:dyDescent="0.25">
      <c r="A294" s="690">
        <f>VLOOKUP($A$265,$K$251:$Q$262,2,(FALSE))</f>
        <v>1</v>
      </c>
      <c r="B294" s="701">
        <f>VLOOKUP($A$265,$K$251:$Q$262,3,(FALSE))</f>
        <v>0</v>
      </c>
      <c r="C294" s="701">
        <f>VLOOKUP($A$265,$K$251:$Q$262,4,(FALSE))</f>
        <v>-1E-3</v>
      </c>
      <c r="D294" s="701">
        <f>VLOOKUP($A$265,$K$251:$Q$262,5,(FALSE))</f>
        <v>0</v>
      </c>
      <c r="E294" s="701">
        <f>VLOOKUP($A$265,$K$251:$Q$262,6,(FALSE))</f>
        <v>5.0000000000000001E-4</v>
      </c>
      <c r="F294" s="701">
        <f>VLOOKUP($A$265,$K$251:$Q$262,7,(FALSE))</f>
        <v>1.2E-2</v>
      </c>
      <c r="H294" s="556"/>
      <c r="I294" s="556"/>
      <c r="J294" s="556"/>
      <c r="K294" s="556"/>
      <c r="L294" s="485"/>
      <c r="M294" s="485"/>
      <c r="N294" s="485"/>
      <c r="O294" s="552"/>
      <c r="Q294" s="506"/>
      <c r="R294" s="506"/>
    </row>
    <row r="297" spans="1:25" ht="13" thickBot="1" x14ac:dyDescent="0.3"/>
    <row r="298" spans="1:25" ht="13.5" thickBot="1" x14ac:dyDescent="0.35">
      <c r="A298" s="585" t="str">
        <f>ID!B81</f>
        <v>Electrical Safety Analyzer, Merek : Fluke, Model : ESA 615, SN : 4670010</v>
      </c>
      <c r="B298" s="579"/>
      <c r="C298" s="579"/>
      <c r="D298" s="579"/>
      <c r="E298" s="579"/>
      <c r="F298" s="579"/>
      <c r="G298" s="579"/>
      <c r="H298" s="579"/>
      <c r="I298" s="579"/>
      <c r="J298" s="579"/>
      <c r="K298" s="579"/>
      <c r="L298" s="580"/>
      <c r="N298" s="1113">
        <f>A311</f>
        <v>9</v>
      </c>
      <c r="O298" s="1114"/>
      <c r="P298" s="1114"/>
      <c r="Q298" s="1114"/>
      <c r="R298" s="1114"/>
      <c r="S298" s="1114"/>
      <c r="T298" s="1114"/>
      <c r="U298" s="1114"/>
      <c r="V298" s="1114"/>
      <c r="W298" s="1114"/>
      <c r="X298" s="1114"/>
      <c r="Y298" s="1115"/>
    </row>
    <row r="299" spans="1:25" ht="13" x14ac:dyDescent="0.3">
      <c r="A299" s="573" t="s">
        <v>416</v>
      </c>
      <c r="B299" s="574"/>
      <c r="C299" s="574"/>
      <c r="D299" s="575"/>
      <c r="E299" s="575"/>
      <c r="F299" s="575"/>
      <c r="G299" s="575"/>
      <c r="H299" s="575"/>
      <c r="I299" s="576">
        <f>C5</f>
        <v>2022</v>
      </c>
      <c r="J299" s="577">
        <f>D5</f>
        <v>2020</v>
      </c>
      <c r="K299" s="577">
        <f>E5</f>
        <v>2019</v>
      </c>
      <c r="L299" s="578">
        <v>1</v>
      </c>
      <c r="N299" s="581">
        <v>1</v>
      </c>
      <c r="O299" s="582" t="s">
        <v>417</v>
      </c>
      <c r="P299" s="583"/>
      <c r="Q299" s="583"/>
      <c r="R299" s="583"/>
      <c r="S299" s="583"/>
      <c r="T299" s="583"/>
      <c r="U299" s="583"/>
      <c r="V299" s="583"/>
      <c r="W299" s="583"/>
      <c r="X299" s="583"/>
      <c r="Y299" s="584"/>
    </row>
    <row r="300" spans="1:25" ht="13" x14ac:dyDescent="0.3">
      <c r="A300" s="572" t="s">
        <v>418</v>
      </c>
      <c r="B300" s="557"/>
      <c r="C300" s="557"/>
      <c r="D300" s="558"/>
      <c r="E300" s="558"/>
      <c r="F300" s="558"/>
      <c r="G300" s="558"/>
      <c r="H300" s="558"/>
      <c r="I300" s="559">
        <f>J5</f>
        <v>2022</v>
      </c>
      <c r="J300" s="560">
        <f>K5</f>
        <v>2019</v>
      </c>
      <c r="K300" s="560">
        <f>L5</f>
        <v>2017</v>
      </c>
      <c r="L300" s="561">
        <v>2</v>
      </c>
      <c r="N300" s="562">
        <v>2</v>
      </c>
      <c r="O300" s="563" t="s">
        <v>417</v>
      </c>
      <c r="P300" s="564"/>
      <c r="Q300" s="564"/>
      <c r="R300" s="564"/>
      <c r="S300" s="564"/>
      <c r="T300" s="564"/>
      <c r="U300" s="564"/>
      <c r="V300" s="564"/>
      <c r="W300" s="564"/>
      <c r="X300" s="564"/>
      <c r="Y300" s="565"/>
    </row>
    <row r="301" spans="1:25" ht="13" x14ac:dyDescent="0.3">
      <c r="A301" s="572" t="s">
        <v>419</v>
      </c>
      <c r="B301" s="557"/>
      <c r="C301" s="557"/>
      <c r="D301" s="558"/>
      <c r="E301" s="558"/>
      <c r="F301" s="558"/>
      <c r="G301" s="558"/>
      <c r="H301" s="558"/>
      <c r="I301" s="559">
        <f>Q5</f>
        <v>2022</v>
      </c>
      <c r="J301" s="560">
        <f>R5</f>
        <v>2021</v>
      </c>
      <c r="K301" s="560">
        <f>S5</f>
        <v>2018</v>
      </c>
      <c r="L301" s="561">
        <v>3</v>
      </c>
      <c r="N301" s="562">
        <v>3</v>
      </c>
      <c r="O301" s="563" t="s">
        <v>417</v>
      </c>
      <c r="P301" s="564"/>
      <c r="Q301" s="564"/>
      <c r="R301" s="564"/>
      <c r="S301" s="564"/>
      <c r="T301" s="564"/>
      <c r="U301" s="564"/>
      <c r="V301" s="564"/>
      <c r="W301" s="564"/>
      <c r="X301" s="564"/>
      <c r="Y301" s="565"/>
    </row>
    <row r="302" spans="1:25" ht="13" x14ac:dyDescent="0.3">
      <c r="A302" s="572" t="s">
        <v>420</v>
      </c>
      <c r="B302" s="557"/>
      <c r="C302" s="557"/>
      <c r="D302" s="558"/>
      <c r="E302" s="558"/>
      <c r="F302" s="558"/>
      <c r="G302" s="558"/>
      <c r="H302" s="558"/>
      <c r="I302" s="559">
        <f>C36</f>
        <v>2022</v>
      </c>
      <c r="J302" s="560">
        <f>D36</f>
        <v>2021</v>
      </c>
      <c r="K302" s="560">
        <f>E36</f>
        <v>2019</v>
      </c>
      <c r="L302" s="561">
        <v>4</v>
      </c>
      <c r="N302" s="562">
        <v>4</v>
      </c>
      <c r="O302" s="563" t="s">
        <v>417</v>
      </c>
      <c r="P302" s="564"/>
      <c r="Q302" s="564"/>
      <c r="R302" s="564"/>
      <c r="S302" s="564"/>
      <c r="T302" s="564"/>
      <c r="U302" s="564"/>
      <c r="V302" s="564"/>
      <c r="W302" s="564"/>
      <c r="X302" s="564"/>
      <c r="Y302" s="565"/>
    </row>
    <row r="303" spans="1:25" ht="13" x14ac:dyDescent="0.3">
      <c r="A303" s="572" t="s">
        <v>421</v>
      </c>
      <c r="B303" s="557"/>
      <c r="C303" s="557"/>
      <c r="D303" s="558"/>
      <c r="E303" s="558"/>
      <c r="F303" s="558"/>
      <c r="G303" s="558"/>
      <c r="H303" s="558"/>
      <c r="I303" s="559">
        <f>J36</f>
        <v>2022</v>
      </c>
      <c r="J303" s="560">
        <f>K36</f>
        <v>2021</v>
      </c>
      <c r="K303" s="560">
        <f>L36</f>
        <v>2019</v>
      </c>
      <c r="L303" s="561">
        <v>5</v>
      </c>
      <c r="N303" s="562">
        <v>5</v>
      </c>
      <c r="O303" s="563" t="s">
        <v>417</v>
      </c>
      <c r="P303" s="564"/>
      <c r="Q303" s="564"/>
      <c r="R303" s="564"/>
      <c r="S303" s="564"/>
      <c r="T303" s="564"/>
      <c r="U303" s="564"/>
      <c r="V303" s="564"/>
      <c r="W303" s="564"/>
      <c r="X303" s="564"/>
      <c r="Y303" s="565"/>
    </row>
    <row r="304" spans="1:25" ht="13" x14ac:dyDescent="0.3">
      <c r="A304" s="572" t="s">
        <v>422</v>
      </c>
      <c r="B304" s="557"/>
      <c r="C304" s="557"/>
      <c r="D304" s="558"/>
      <c r="E304" s="558"/>
      <c r="F304" s="558"/>
      <c r="G304" s="558"/>
      <c r="H304" s="558"/>
      <c r="I304" s="559">
        <f>Q36</f>
        <v>2023</v>
      </c>
      <c r="J304" s="560">
        <f>R36</f>
        <v>2022</v>
      </c>
      <c r="K304" s="560">
        <f>S36</f>
        <v>2019</v>
      </c>
      <c r="L304" s="561">
        <v>6</v>
      </c>
      <c r="N304" s="562">
        <v>6</v>
      </c>
      <c r="O304" s="563" t="s">
        <v>417</v>
      </c>
      <c r="P304" s="564"/>
      <c r="Q304" s="564"/>
      <c r="R304" s="564"/>
      <c r="S304" s="564"/>
      <c r="T304" s="564"/>
      <c r="U304" s="564"/>
      <c r="V304" s="564"/>
      <c r="W304" s="564"/>
      <c r="X304" s="564"/>
      <c r="Y304" s="565"/>
    </row>
    <row r="305" spans="1:25" ht="13" x14ac:dyDescent="0.3">
      <c r="A305" s="572" t="s">
        <v>423</v>
      </c>
      <c r="B305" s="557"/>
      <c r="C305" s="557"/>
      <c r="D305" s="558"/>
      <c r="E305" s="558"/>
      <c r="F305" s="558"/>
      <c r="G305" s="558"/>
      <c r="H305" s="558"/>
      <c r="I305" s="559">
        <f>C67</f>
        <v>2023</v>
      </c>
      <c r="J305" s="560">
        <f>D67</f>
        <v>2022</v>
      </c>
      <c r="K305" s="560">
        <f>E67</f>
        <v>2020</v>
      </c>
      <c r="L305" s="561">
        <v>7</v>
      </c>
      <c r="N305" s="562">
        <v>7</v>
      </c>
      <c r="O305" s="563" t="s">
        <v>417</v>
      </c>
      <c r="P305" s="564"/>
      <c r="Q305" s="564"/>
      <c r="R305" s="564"/>
      <c r="S305" s="564"/>
      <c r="T305" s="564"/>
      <c r="U305" s="564"/>
      <c r="V305" s="564"/>
      <c r="W305" s="564"/>
      <c r="X305" s="564"/>
      <c r="Y305" s="565"/>
    </row>
    <row r="306" spans="1:25" ht="13" x14ac:dyDescent="0.3">
      <c r="A306" s="572" t="s">
        <v>424</v>
      </c>
      <c r="B306" s="557"/>
      <c r="C306" s="557"/>
      <c r="D306" s="558"/>
      <c r="E306" s="558"/>
      <c r="F306" s="558"/>
      <c r="G306" s="558"/>
      <c r="H306" s="558"/>
      <c r="I306" s="566">
        <f>J67</f>
        <v>2022</v>
      </c>
      <c r="J306" s="560">
        <f>K67</f>
        <v>2020</v>
      </c>
      <c r="K306" s="560">
        <f>L67</f>
        <v>2016</v>
      </c>
      <c r="L306" s="561">
        <v>8</v>
      </c>
      <c r="N306" s="562">
        <v>8</v>
      </c>
      <c r="O306" s="563" t="s">
        <v>417</v>
      </c>
      <c r="P306" s="564"/>
      <c r="Q306" s="564"/>
      <c r="R306" s="564"/>
      <c r="S306" s="564"/>
      <c r="T306" s="564"/>
      <c r="U306" s="564"/>
      <c r="V306" s="564"/>
      <c r="W306" s="564"/>
      <c r="X306" s="564"/>
      <c r="Y306" s="565"/>
    </row>
    <row r="307" spans="1:25" ht="13" x14ac:dyDescent="0.3">
      <c r="A307" s="572" t="s">
        <v>189</v>
      </c>
      <c r="B307" s="557"/>
      <c r="C307" s="557"/>
      <c r="D307" s="558"/>
      <c r="E307" s="558"/>
      <c r="F307" s="558"/>
      <c r="G307" s="558"/>
      <c r="H307" s="558"/>
      <c r="I307" s="566">
        <f>Q67</f>
        <v>2022</v>
      </c>
      <c r="J307" s="560">
        <f>R67</f>
        <v>2020</v>
      </c>
      <c r="K307" s="560">
        <f>S67</f>
        <v>2016</v>
      </c>
      <c r="L307" s="561">
        <v>9</v>
      </c>
      <c r="N307" s="562">
        <v>9</v>
      </c>
      <c r="O307" s="563" t="s">
        <v>417</v>
      </c>
      <c r="P307" s="564"/>
      <c r="Q307" s="564"/>
      <c r="R307" s="564"/>
      <c r="S307" s="564"/>
      <c r="T307" s="564"/>
      <c r="U307" s="564"/>
      <c r="V307" s="564"/>
      <c r="W307" s="564"/>
      <c r="X307" s="564"/>
      <c r="Y307" s="565"/>
    </row>
    <row r="308" spans="1:25" ht="13" x14ac:dyDescent="0.3">
      <c r="A308" s="572" t="s">
        <v>425</v>
      </c>
      <c r="B308" s="557"/>
      <c r="C308" s="557"/>
      <c r="D308" s="558"/>
      <c r="E308" s="558"/>
      <c r="F308" s="558"/>
      <c r="G308" s="558"/>
      <c r="H308" s="558"/>
      <c r="I308" s="566">
        <f>C98</f>
        <v>2021</v>
      </c>
      <c r="J308" s="560" t="str">
        <f>D98</f>
        <v>-</v>
      </c>
      <c r="K308" s="560">
        <f>E98</f>
        <v>2016</v>
      </c>
      <c r="L308" s="561">
        <v>10</v>
      </c>
      <c r="N308" s="562">
        <v>10</v>
      </c>
      <c r="O308" s="563" t="s">
        <v>417</v>
      </c>
      <c r="P308" s="567"/>
      <c r="Q308" s="567"/>
      <c r="R308" s="567"/>
      <c r="S308" s="567"/>
      <c r="T308" s="567"/>
      <c r="U308" s="567"/>
      <c r="V308" s="567"/>
      <c r="W308" s="567"/>
      <c r="X308" s="567"/>
      <c r="Y308" s="568"/>
    </row>
    <row r="309" spans="1:25" ht="13" x14ac:dyDescent="0.3">
      <c r="A309" s="572" t="s">
        <v>426</v>
      </c>
      <c r="B309" s="557"/>
      <c r="C309" s="557"/>
      <c r="D309" s="558"/>
      <c r="E309" s="558"/>
      <c r="F309" s="558"/>
      <c r="G309" s="558"/>
      <c r="H309" s="558"/>
      <c r="I309" s="566" t="str">
        <f>J98</f>
        <v>-</v>
      </c>
      <c r="J309" s="560" t="str">
        <f>K98</f>
        <v>-</v>
      </c>
      <c r="K309" s="560">
        <f>L98</f>
        <v>2016</v>
      </c>
      <c r="L309" s="561">
        <v>11</v>
      </c>
      <c r="N309" s="562">
        <v>11</v>
      </c>
      <c r="O309" s="563" t="s">
        <v>417</v>
      </c>
      <c r="P309" s="567"/>
      <c r="Q309" s="567"/>
      <c r="R309" s="567"/>
      <c r="S309" s="567"/>
      <c r="T309" s="567"/>
      <c r="U309" s="567"/>
      <c r="V309" s="567"/>
      <c r="W309" s="567"/>
      <c r="X309" s="567"/>
      <c r="Y309" s="568"/>
    </row>
    <row r="310" spans="1:25" ht="13" x14ac:dyDescent="0.3">
      <c r="A310" s="572" t="s">
        <v>427</v>
      </c>
      <c r="B310" s="557"/>
      <c r="C310" s="557"/>
      <c r="D310" s="558"/>
      <c r="E310" s="558"/>
      <c r="F310" s="558"/>
      <c r="G310" s="558"/>
      <c r="H310" s="558"/>
      <c r="I310" s="566" t="str">
        <f>Q98</f>
        <v>-</v>
      </c>
      <c r="J310" s="560" t="str">
        <f>R98</f>
        <v>-</v>
      </c>
      <c r="K310" s="560">
        <f>S98</f>
        <v>2016</v>
      </c>
      <c r="L310" s="561">
        <v>12</v>
      </c>
      <c r="N310" s="562">
        <v>12</v>
      </c>
      <c r="O310" s="563" t="s">
        <v>417</v>
      </c>
      <c r="P310" s="567"/>
      <c r="Q310" s="567"/>
      <c r="R310" s="567"/>
      <c r="S310" s="567"/>
      <c r="T310" s="567"/>
      <c r="U310" s="567"/>
      <c r="V310" s="567"/>
      <c r="W310" s="567"/>
      <c r="X310" s="567"/>
      <c r="Y310" s="568"/>
    </row>
    <row r="311" spans="1:25" ht="13.5" thickBot="1" x14ac:dyDescent="0.35">
      <c r="A311" s="1116">
        <f>VLOOKUP(A298,A299:L310,12,(FALSE))</f>
        <v>9</v>
      </c>
      <c r="B311" s="1117"/>
      <c r="C311" s="1117"/>
      <c r="D311" s="1117"/>
      <c r="E311" s="1117"/>
      <c r="F311" s="1117"/>
      <c r="G311" s="1117"/>
      <c r="H311" s="1117"/>
      <c r="I311" s="1117"/>
      <c r="J311" s="1117"/>
      <c r="K311" s="1117"/>
      <c r="L311" s="1118"/>
      <c r="N311" s="569" t="str">
        <f>VLOOKUP(N298,N299:Y310,2,FALSE)</f>
        <v>Hasil pengukuran keselamatan listrik tertelusur ke Satuan Internasional ( SI ) melalui PT. Kaliman (LK-032-IDN)</v>
      </c>
      <c r="O311" s="570"/>
      <c r="P311" s="570"/>
      <c r="Q311" s="570"/>
      <c r="R311" s="570"/>
      <c r="S311" s="570"/>
      <c r="T311" s="570"/>
      <c r="U311" s="570"/>
      <c r="V311" s="570"/>
      <c r="W311" s="570"/>
      <c r="X311" s="570"/>
      <c r="Y311" s="571"/>
    </row>
  </sheetData>
  <mergeCells count="229"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L209:Q209"/>
    <mergeCell ref="C210:F210"/>
    <mergeCell ref="L210:O210"/>
    <mergeCell ref="A212:A223"/>
    <mergeCell ref="A225:A236"/>
    <mergeCell ref="A238:A249"/>
    <mergeCell ref="A196:A207"/>
    <mergeCell ref="A209:A211"/>
    <mergeCell ref="B209:B211"/>
    <mergeCell ref="C209:H209"/>
    <mergeCell ref="J209:J211"/>
    <mergeCell ref="K209:K211"/>
    <mergeCell ref="L129:O129"/>
    <mergeCell ref="A131:A142"/>
    <mergeCell ref="A144:A155"/>
    <mergeCell ref="A157:A168"/>
    <mergeCell ref="A170:A181"/>
    <mergeCell ref="A183:A194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5A25-D8D8-4C75-B29B-D9F4322C3160}">
  <dimension ref="A1:AF218"/>
  <sheetViews>
    <sheetView topLeftCell="A160" workbookViewId="0">
      <selection activeCell="G19" sqref="G19"/>
    </sheetView>
  </sheetViews>
  <sheetFormatPr defaultColWidth="8.7265625" defaultRowHeight="12.5" x14ac:dyDescent="0.25"/>
  <cols>
    <col min="1" max="1" width="10.26953125" style="76" bestFit="1" customWidth="1"/>
    <col min="2" max="2" width="9.54296875" style="76" bestFit="1" customWidth="1"/>
    <col min="3" max="9" width="8.7265625" style="76"/>
    <col min="10" max="10" width="9.1796875" style="76" bestFit="1" customWidth="1"/>
    <col min="11" max="11" width="8.7265625" style="76"/>
    <col min="12" max="12" width="8.54296875" style="76" customWidth="1"/>
    <col min="13" max="13" width="12.26953125" style="76" customWidth="1"/>
    <col min="14" max="16384" width="8.7265625" style="76"/>
  </cols>
  <sheetData>
    <row r="1" spans="1:24" ht="18" x14ac:dyDescent="0.25">
      <c r="A1" s="1077" t="s">
        <v>376</v>
      </c>
      <c r="B1" s="1078"/>
      <c r="C1" s="1078"/>
      <c r="D1" s="1078"/>
      <c r="E1" s="1078"/>
      <c r="F1" s="1078"/>
      <c r="G1" s="1078"/>
      <c r="H1" s="1078"/>
      <c r="I1" s="1078"/>
      <c r="J1" s="1078"/>
      <c r="K1" s="1078"/>
      <c r="L1" s="1078"/>
      <c r="M1" s="1078"/>
      <c r="N1" s="1078"/>
      <c r="O1" s="1078"/>
      <c r="P1" s="1078"/>
      <c r="Q1" s="1078"/>
      <c r="R1" s="1078"/>
      <c r="S1" s="1078"/>
      <c r="T1" s="1078"/>
      <c r="U1" s="1078"/>
      <c r="V1" s="76" t="s">
        <v>78</v>
      </c>
    </row>
    <row r="2" spans="1:24" ht="14.5" x14ac:dyDescent="0.25">
      <c r="A2" s="1079" t="s">
        <v>377</v>
      </c>
      <c r="B2" s="1124" t="s">
        <v>487</v>
      </c>
      <c r="C2" s="1124"/>
      <c r="D2" s="1124"/>
      <c r="E2" s="1124"/>
      <c r="F2" s="1124"/>
      <c r="G2" s="1124"/>
      <c r="H2" s="1081" t="s">
        <v>379</v>
      </c>
      <c r="I2" s="1080" t="s">
        <v>486</v>
      </c>
      <c r="J2" s="1080"/>
      <c r="K2" s="1080"/>
      <c r="L2" s="1080"/>
      <c r="M2" s="1080"/>
      <c r="N2" s="1080"/>
      <c r="O2" s="1081" t="s">
        <v>381</v>
      </c>
      <c r="P2" s="1080" t="s">
        <v>16</v>
      </c>
      <c r="Q2" s="1080"/>
      <c r="R2" s="1080"/>
      <c r="S2" s="1080"/>
      <c r="T2" s="1080"/>
      <c r="U2" s="1080"/>
    </row>
    <row r="3" spans="1:24" ht="14" x14ac:dyDescent="0.3">
      <c r="A3" s="1079"/>
      <c r="B3" s="1082" t="s">
        <v>480</v>
      </c>
      <c r="C3" s="1082"/>
      <c r="D3" s="1082"/>
      <c r="E3" s="1082"/>
      <c r="F3" s="1082"/>
      <c r="G3" s="1082"/>
      <c r="H3" s="1081"/>
      <c r="I3" s="1082" t="str">
        <f>B3</f>
        <v>SERTIFIKAT</v>
      </c>
      <c r="J3" s="1082"/>
      <c r="K3" s="1082"/>
      <c r="L3" s="1082"/>
      <c r="M3" s="1082"/>
      <c r="N3" s="1082"/>
      <c r="O3" s="1081"/>
      <c r="P3" s="1083" t="str">
        <f>I3</f>
        <v>SERTIFIKAT</v>
      </c>
      <c r="Q3" s="1083"/>
      <c r="R3" s="1083"/>
      <c r="S3" s="1083"/>
      <c r="T3" s="1083"/>
      <c r="U3" s="1083"/>
    </row>
    <row r="4" spans="1:24" ht="13" x14ac:dyDescent="0.25">
      <c r="A4" s="1079"/>
      <c r="B4" s="1085" t="s">
        <v>485</v>
      </c>
      <c r="C4" s="1085"/>
      <c r="D4" s="1085"/>
      <c r="E4" s="1085"/>
      <c r="F4" s="1084" t="s">
        <v>385</v>
      </c>
      <c r="G4" s="1084" t="s">
        <v>251</v>
      </c>
      <c r="H4" s="1081"/>
      <c r="I4" s="1084" t="str">
        <f>B4</f>
        <v>SINE WAVE (Hz)</v>
      </c>
      <c r="J4" s="1084"/>
      <c r="K4" s="1084"/>
      <c r="L4" s="1084"/>
      <c r="M4" s="1084" t="s">
        <v>385</v>
      </c>
      <c r="N4" s="1084" t="s">
        <v>251</v>
      </c>
      <c r="O4" s="1081"/>
      <c r="P4" s="1084" t="str">
        <f>B4</f>
        <v>SINE WAVE (Hz)</v>
      </c>
      <c r="Q4" s="1084"/>
      <c r="R4" s="1084"/>
      <c r="S4" s="1084"/>
      <c r="T4" s="1084" t="s">
        <v>385</v>
      </c>
      <c r="U4" s="1084" t="s">
        <v>251</v>
      </c>
    </row>
    <row r="5" spans="1:24" ht="14" x14ac:dyDescent="0.25">
      <c r="A5" s="1079"/>
      <c r="B5" s="691" t="s">
        <v>432</v>
      </c>
      <c r="C5" s="102">
        <v>2018</v>
      </c>
      <c r="D5" s="102">
        <v>2016</v>
      </c>
      <c r="E5" s="102" t="s">
        <v>16</v>
      </c>
      <c r="F5" s="1084"/>
      <c r="G5" s="1084"/>
      <c r="H5" s="1081"/>
      <c r="I5" s="691" t="str">
        <f>B5</f>
        <v>( Hz )</v>
      </c>
      <c r="J5" s="102">
        <v>2018</v>
      </c>
      <c r="K5" s="102">
        <v>2016</v>
      </c>
      <c r="L5" s="102" t="s">
        <v>16</v>
      </c>
      <c r="M5" s="1084"/>
      <c r="N5" s="1084"/>
      <c r="O5" s="1081"/>
      <c r="P5" s="691" t="str">
        <f>I5</f>
        <v>( Hz )</v>
      </c>
      <c r="Q5" s="458">
        <v>2022</v>
      </c>
      <c r="R5" s="458">
        <v>2021</v>
      </c>
      <c r="S5" s="458">
        <v>2018</v>
      </c>
      <c r="T5" s="1084"/>
      <c r="U5" s="1084"/>
      <c r="V5" s="484"/>
      <c r="W5" s="484"/>
      <c r="X5" s="485"/>
    </row>
    <row r="6" spans="1:24" ht="13" x14ac:dyDescent="0.25">
      <c r="A6" s="1123"/>
      <c r="B6" s="368">
        <v>0</v>
      </c>
      <c r="C6" s="78">
        <f t="shared" ref="C6:C10" si="0">0.01%*B6</f>
        <v>0</v>
      </c>
      <c r="D6" s="58">
        <v>0</v>
      </c>
      <c r="E6" s="58" t="s">
        <v>16</v>
      </c>
      <c r="F6" s="798">
        <f>0.5*(MAX(C6:E6)-MIN(C6:E6))</f>
        <v>0</v>
      </c>
      <c r="G6" s="271">
        <v>5.0000000000000002E-5</v>
      </c>
      <c r="H6" s="1125"/>
      <c r="I6" s="267">
        <v>0</v>
      </c>
      <c r="J6" s="78">
        <f t="shared" ref="J6:J10" si="1">0.01%*I6</f>
        <v>0</v>
      </c>
      <c r="K6" s="58">
        <v>0</v>
      </c>
      <c r="L6" s="102" t="s">
        <v>16</v>
      </c>
      <c r="M6" s="798">
        <f>0.5*(MAX(J6:L6)-MIN(J6:L6))</f>
        <v>0</v>
      </c>
      <c r="N6" s="271">
        <v>5.0000000000000002E-5</v>
      </c>
      <c r="O6" s="1081"/>
      <c r="P6" s="105" t="s">
        <v>16</v>
      </c>
      <c r="Q6" s="105" t="s">
        <v>16</v>
      </c>
      <c r="R6" s="105" t="s">
        <v>16</v>
      </c>
      <c r="S6" s="105" t="s">
        <v>16</v>
      </c>
      <c r="T6" s="105" t="s">
        <v>16</v>
      </c>
      <c r="U6" s="105" t="s">
        <v>16</v>
      </c>
      <c r="V6" s="489"/>
      <c r="W6" s="490"/>
      <c r="X6" s="485"/>
    </row>
    <row r="7" spans="1:24" ht="13" x14ac:dyDescent="0.25">
      <c r="A7" s="1123"/>
      <c r="B7" s="368">
        <v>10</v>
      </c>
      <c r="C7" s="78">
        <f t="shared" si="0"/>
        <v>1E-3</v>
      </c>
      <c r="D7" s="58">
        <v>0</v>
      </c>
      <c r="E7" s="58" t="s">
        <v>16</v>
      </c>
      <c r="F7" s="798">
        <f t="shared" ref="F7:F10" si="2">0.5*(MAX(C7:E7)-MIN(C7:E7))</f>
        <v>5.0000000000000001E-4</v>
      </c>
      <c r="G7" s="271">
        <v>5.0000000000000002E-5</v>
      </c>
      <c r="H7" s="1125"/>
      <c r="I7" s="267">
        <v>10</v>
      </c>
      <c r="J7" s="78">
        <f t="shared" si="1"/>
        <v>1E-3</v>
      </c>
      <c r="K7" s="58">
        <v>0</v>
      </c>
      <c r="L7" s="102" t="s">
        <v>16</v>
      </c>
      <c r="M7" s="798">
        <f t="shared" ref="M7:M10" si="3">0.5*(MAX(J7:L7)-MIN(J7:L7))</f>
        <v>5.0000000000000001E-4</v>
      </c>
      <c r="N7" s="271">
        <v>5.0000000000000002E-5</v>
      </c>
      <c r="O7" s="1081"/>
      <c r="P7" s="105" t="s">
        <v>16</v>
      </c>
      <c r="Q7" s="105" t="s">
        <v>16</v>
      </c>
      <c r="R7" s="105" t="s">
        <v>16</v>
      </c>
      <c r="S7" s="105" t="s">
        <v>16</v>
      </c>
      <c r="T7" s="105" t="s">
        <v>16</v>
      </c>
      <c r="U7" s="105" t="s">
        <v>16</v>
      </c>
      <c r="V7" s="489"/>
      <c r="W7" s="490"/>
      <c r="X7" s="485"/>
    </row>
    <row r="8" spans="1:24" ht="13" x14ac:dyDescent="0.25">
      <c r="A8" s="1123"/>
      <c r="B8" s="368">
        <v>30</v>
      </c>
      <c r="C8" s="78">
        <f t="shared" si="0"/>
        <v>3.0000000000000001E-3</v>
      </c>
      <c r="D8" s="58">
        <v>0</v>
      </c>
      <c r="E8" s="58" t="s">
        <v>16</v>
      </c>
      <c r="F8" s="798">
        <f t="shared" si="2"/>
        <v>1.5E-3</v>
      </c>
      <c r="G8" s="271">
        <v>5.0000000000000002E-5</v>
      </c>
      <c r="H8" s="1125"/>
      <c r="I8" s="267">
        <v>30</v>
      </c>
      <c r="J8" s="78">
        <f t="shared" si="1"/>
        <v>3.0000000000000001E-3</v>
      </c>
      <c r="K8" s="58">
        <v>0</v>
      </c>
      <c r="L8" s="102" t="s">
        <v>16</v>
      </c>
      <c r="M8" s="798">
        <f t="shared" si="3"/>
        <v>1.5E-3</v>
      </c>
      <c r="N8" s="271">
        <v>5.0000000000000002E-5</v>
      </c>
      <c r="O8" s="1081"/>
      <c r="P8" s="105" t="s">
        <v>16</v>
      </c>
      <c r="Q8" s="105" t="s">
        <v>16</v>
      </c>
      <c r="R8" s="105" t="s">
        <v>16</v>
      </c>
      <c r="S8" s="105" t="s">
        <v>16</v>
      </c>
      <c r="T8" s="105" t="s">
        <v>16</v>
      </c>
      <c r="U8" s="105" t="s">
        <v>16</v>
      </c>
      <c r="V8" s="489"/>
      <c r="W8" s="490"/>
      <c r="X8" s="485"/>
    </row>
    <row r="9" spans="1:24" ht="13" x14ac:dyDescent="0.25">
      <c r="A9" s="1123"/>
      <c r="B9" s="368">
        <v>50</v>
      </c>
      <c r="C9" s="78">
        <f t="shared" si="0"/>
        <v>5.0000000000000001E-3</v>
      </c>
      <c r="D9" s="58">
        <v>0</v>
      </c>
      <c r="E9" s="58" t="s">
        <v>16</v>
      </c>
      <c r="F9" s="798">
        <f t="shared" si="2"/>
        <v>2.5000000000000001E-3</v>
      </c>
      <c r="G9" s="271">
        <v>5.0000000000000002E-5</v>
      </c>
      <c r="H9" s="1125"/>
      <c r="I9" s="267">
        <v>50</v>
      </c>
      <c r="J9" s="78">
        <f t="shared" si="1"/>
        <v>5.0000000000000001E-3</v>
      </c>
      <c r="K9" s="58">
        <v>0</v>
      </c>
      <c r="L9" s="102" t="s">
        <v>16</v>
      </c>
      <c r="M9" s="798">
        <f t="shared" si="3"/>
        <v>2.5000000000000001E-3</v>
      </c>
      <c r="N9" s="271">
        <v>5.0000000000000002E-5</v>
      </c>
      <c r="O9" s="1081"/>
      <c r="P9" s="105" t="s">
        <v>16</v>
      </c>
      <c r="Q9" s="105" t="s">
        <v>16</v>
      </c>
      <c r="R9" s="105" t="s">
        <v>16</v>
      </c>
      <c r="S9" s="105" t="s">
        <v>16</v>
      </c>
      <c r="T9" s="105" t="s">
        <v>16</v>
      </c>
      <c r="U9" s="105" t="s">
        <v>16</v>
      </c>
      <c r="V9" s="489"/>
      <c r="W9" s="490"/>
      <c r="X9" s="485"/>
    </row>
    <row r="10" spans="1:24" ht="13" x14ac:dyDescent="0.25">
      <c r="A10" s="1123"/>
      <c r="B10" s="368">
        <v>100</v>
      </c>
      <c r="C10" s="78">
        <f t="shared" si="0"/>
        <v>0.01</v>
      </c>
      <c r="D10" s="58">
        <v>0</v>
      </c>
      <c r="E10" s="58" t="s">
        <v>16</v>
      </c>
      <c r="F10" s="798">
        <f t="shared" si="2"/>
        <v>5.0000000000000001E-3</v>
      </c>
      <c r="G10" s="271">
        <v>5.0000000000000002E-5</v>
      </c>
      <c r="H10" s="1125"/>
      <c r="I10" s="267">
        <v>100</v>
      </c>
      <c r="J10" s="78">
        <f t="shared" si="1"/>
        <v>0.01</v>
      </c>
      <c r="K10" s="58">
        <v>0</v>
      </c>
      <c r="L10" s="102" t="s">
        <v>16</v>
      </c>
      <c r="M10" s="798">
        <f t="shared" si="3"/>
        <v>5.0000000000000001E-3</v>
      </c>
      <c r="N10" s="271">
        <v>5.0000000000000002E-5</v>
      </c>
      <c r="O10" s="1081"/>
      <c r="P10" s="105" t="s">
        <v>16</v>
      </c>
      <c r="Q10" s="105" t="s">
        <v>16</v>
      </c>
      <c r="R10" s="105" t="s">
        <v>16</v>
      </c>
      <c r="S10" s="105" t="s">
        <v>16</v>
      </c>
      <c r="T10" s="105" t="s">
        <v>16</v>
      </c>
      <c r="U10" s="105" t="s">
        <v>16</v>
      </c>
      <c r="V10" s="489"/>
      <c r="W10" s="490"/>
      <c r="X10" s="485"/>
    </row>
    <row r="11" spans="1:24" ht="13" x14ac:dyDescent="0.25">
      <c r="A11" s="1123"/>
      <c r="B11" s="791">
        <v>500</v>
      </c>
      <c r="C11" s="78">
        <f>0.01%*B11</f>
        <v>0.05</v>
      </c>
      <c r="D11" s="58">
        <v>0</v>
      </c>
      <c r="E11" s="58" t="s">
        <v>16</v>
      </c>
      <c r="F11" s="798">
        <f>0.5*(MAX(C11:E11)-MIN(C11:E11))</f>
        <v>2.5000000000000001E-2</v>
      </c>
      <c r="G11" s="271">
        <v>5.0000000000000002E-5</v>
      </c>
      <c r="H11" s="1125"/>
      <c r="I11" s="267">
        <v>500</v>
      </c>
      <c r="J11" s="78">
        <f>0.01%*I11</f>
        <v>0.05</v>
      </c>
      <c r="K11" s="58">
        <v>0</v>
      </c>
      <c r="L11" s="102" t="s">
        <v>16</v>
      </c>
      <c r="M11" s="798">
        <f>0.5*(MAX(J11:L11)-MIN(J11:L11))</f>
        <v>2.5000000000000001E-2</v>
      </c>
      <c r="N11" s="271">
        <v>5.0000000000000002E-5</v>
      </c>
      <c r="O11" s="1081"/>
      <c r="P11" s="105" t="s">
        <v>16</v>
      </c>
      <c r="Q11" s="105" t="s">
        <v>16</v>
      </c>
      <c r="R11" s="105" t="s">
        <v>16</v>
      </c>
      <c r="S11" s="105" t="s">
        <v>16</v>
      </c>
      <c r="T11" s="105" t="s">
        <v>16</v>
      </c>
      <c r="U11" s="105" t="s">
        <v>16</v>
      </c>
      <c r="V11" s="489"/>
      <c r="W11" s="490"/>
      <c r="X11" s="485"/>
    </row>
    <row r="12" spans="1:24" ht="13" customHeight="1" x14ac:dyDescent="0.25">
      <c r="A12" s="1079"/>
      <c r="B12" s="1085" t="s">
        <v>482</v>
      </c>
      <c r="C12" s="1085"/>
      <c r="D12" s="1085"/>
      <c r="E12" s="1085"/>
      <c r="F12" s="1084" t="s">
        <v>385</v>
      </c>
      <c r="G12" s="1086" t="s">
        <v>251</v>
      </c>
      <c r="H12" s="1081"/>
      <c r="I12" s="1085" t="str">
        <f>B12</f>
        <v>SQUARE WAVE (µv)</v>
      </c>
      <c r="J12" s="1085"/>
      <c r="K12" s="1085"/>
      <c r="L12" s="1085"/>
      <c r="M12" s="1084" t="s">
        <v>385</v>
      </c>
      <c r="N12" s="1084" t="s">
        <v>251</v>
      </c>
      <c r="O12" s="1081"/>
      <c r="P12" s="1085" t="str">
        <f>B12</f>
        <v>SQUARE WAVE (µv)</v>
      </c>
      <c r="Q12" s="1085"/>
      <c r="R12" s="1085"/>
      <c r="S12" s="1085"/>
      <c r="T12" s="1084" t="s">
        <v>385</v>
      </c>
      <c r="U12" s="1084" t="s">
        <v>251</v>
      </c>
      <c r="V12" s="485"/>
      <c r="W12" s="485"/>
      <c r="X12" s="485"/>
    </row>
    <row r="13" spans="1:24" ht="14" x14ac:dyDescent="0.25">
      <c r="A13" s="1079"/>
      <c r="B13" s="691" t="s">
        <v>484</v>
      </c>
      <c r="C13" s="105">
        <v>2017</v>
      </c>
      <c r="D13" s="105">
        <v>2015</v>
      </c>
      <c r="E13" s="790" t="s">
        <v>16</v>
      </c>
      <c r="F13" s="1084"/>
      <c r="G13" s="1087"/>
      <c r="H13" s="1081"/>
      <c r="I13" s="691" t="str">
        <f>B13</f>
        <v>(µv)</v>
      </c>
      <c r="J13" s="105">
        <v>2017</v>
      </c>
      <c r="K13" s="105">
        <v>2015</v>
      </c>
      <c r="L13" s="105" t="s">
        <v>16</v>
      </c>
      <c r="M13" s="1084"/>
      <c r="N13" s="1084"/>
      <c r="O13" s="1081"/>
      <c r="P13" s="691" t="str">
        <f>I13</f>
        <v>(µv)</v>
      </c>
      <c r="Q13" s="458">
        <f>Q5</f>
        <v>2022</v>
      </c>
      <c r="R13" s="458">
        <f>R5</f>
        <v>2021</v>
      </c>
      <c r="S13" s="458">
        <f>S5</f>
        <v>2018</v>
      </c>
      <c r="T13" s="1084"/>
      <c r="U13" s="1084"/>
      <c r="V13" s="485"/>
      <c r="W13" s="485"/>
      <c r="X13" s="485"/>
    </row>
    <row r="14" spans="1:24" ht="13" x14ac:dyDescent="0.25">
      <c r="A14" s="1079"/>
      <c r="B14" s="106">
        <v>0</v>
      </c>
      <c r="C14" s="78">
        <f t="shared" ref="C14:C18" si="4">0.01%*B14</f>
        <v>0</v>
      </c>
      <c r="D14" s="792">
        <v>0</v>
      </c>
      <c r="E14" s="790" t="s">
        <v>16</v>
      </c>
      <c r="F14" s="798">
        <f>0.5*(MAX(C14:E14)-MIN(C14:E14))</f>
        <v>0</v>
      </c>
      <c r="G14" s="692">
        <f>1%*B14</f>
        <v>0</v>
      </c>
      <c r="H14" s="1081"/>
      <c r="I14" s="106">
        <v>0</v>
      </c>
      <c r="J14" s="78">
        <f t="shared" ref="J14:J18" si="5">0.01%*I14</f>
        <v>0</v>
      </c>
      <c r="K14" s="58">
        <v>0</v>
      </c>
      <c r="L14" s="66" t="s">
        <v>16</v>
      </c>
      <c r="M14" s="798">
        <f>0.5*(MAX(J14:L14)-MIN(J14:L14))</f>
        <v>0</v>
      </c>
      <c r="N14" s="692">
        <f>1%*I14</f>
        <v>0</v>
      </c>
      <c r="O14" s="1081"/>
      <c r="P14" s="105" t="s">
        <v>16</v>
      </c>
      <c r="Q14" s="105" t="s">
        <v>16</v>
      </c>
      <c r="R14" s="105" t="s">
        <v>16</v>
      </c>
      <c r="S14" s="105" t="s">
        <v>16</v>
      </c>
      <c r="T14" s="105" t="s">
        <v>16</v>
      </c>
      <c r="U14" s="105" t="s">
        <v>16</v>
      </c>
      <c r="V14" s="485"/>
      <c r="W14" s="485"/>
      <c r="X14" s="485"/>
    </row>
    <row r="15" spans="1:24" ht="13" x14ac:dyDescent="0.25">
      <c r="A15" s="1079"/>
      <c r="B15" s="106">
        <v>0.1</v>
      </c>
      <c r="C15" s="78">
        <f t="shared" si="4"/>
        <v>1.0000000000000001E-5</v>
      </c>
      <c r="D15" s="792">
        <v>0</v>
      </c>
      <c r="E15" s="790" t="s">
        <v>16</v>
      </c>
      <c r="F15" s="798">
        <f t="shared" ref="F15:F19" si="6">0.5*(MAX(C15:E15)-MIN(C15:E15))</f>
        <v>5.0000000000000004E-6</v>
      </c>
      <c r="G15" s="692">
        <f t="shared" ref="G15:G19" si="7">1%*B15</f>
        <v>1E-3</v>
      </c>
      <c r="H15" s="1081"/>
      <c r="I15" s="106">
        <v>0.1</v>
      </c>
      <c r="J15" s="78">
        <f t="shared" si="5"/>
        <v>1.0000000000000001E-5</v>
      </c>
      <c r="K15" s="58">
        <v>0</v>
      </c>
      <c r="L15" s="66" t="s">
        <v>16</v>
      </c>
      <c r="M15" s="798">
        <f t="shared" ref="M15:M18" si="8">0.5*(MAX(J15:L15)-MIN(J15:L15))</f>
        <v>5.0000000000000004E-6</v>
      </c>
      <c r="N15" s="692">
        <f t="shared" ref="N15:N19" si="9">1%*I15</f>
        <v>1E-3</v>
      </c>
      <c r="O15" s="1081"/>
      <c r="P15" s="105" t="s">
        <v>16</v>
      </c>
      <c r="Q15" s="105" t="s">
        <v>16</v>
      </c>
      <c r="R15" s="105" t="s">
        <v>16</v>
      </c>
      <c r="S15" s="105" t="s">
        <v>16</v>
      </c>
      <c r="T15" s="105" t="s">
        <v>16</v>
      </c>
      <c r="U15" s="105" t="s">
        <v>16</v>
      </c>
      <c r="V15" s="485"/>
      <c r="W15" s="485"/>
      <c r="X15" s="485"/>
    </row>
    <row r="16" spans="1:24" ht="13" x14ac:dyDescent="0.25">
      <c r="A16" s="1079"/>
      <c r="B16" s="106">
        <v>2</v>
      </c>
      <c r="C16" s="78">
        <f t="shared" si="4"/>
        <v>2.0000000000000001E-4</v>
      </c>
      <c r="D16" s="792">
        <v>0</v>
      </c>
      <c r="E16" s="790" t="s">
        <v>16</v>
      </c>
      <c r="F16" s="798">
        <f t="shared" si="6"/>
        <v>1E-4</v>
      </c>
      <c r="G16" s="692">
        <f t="shared" si="7"/>
        <v>0.02</v>
      </c>
      <c r="H16" s="1081"/>
      <c r="I16" s="106">
        <v>2</v>
      </c>
      <c r="J16" s="78">
        <f t="shared" si="5"/>
        <v>2.0000000000000001E-4</v>
      </c>
      <c r="K16" s="58">
        <v>0</v>
      </c>
      <c r="L16" s="66" t="s">
        <v>16</v>
      </c>
      <c r="M16" s="798">
        <f t="shared" si="8"/>
        <v>1E-4</v>
      </c>
      <c r="N16" s="692">
        <f t="shared" si="9"/>
        <v>0.02</v>
      </c>
      <c r="O16" s="1081"/>
      <c r="P16" s="105" t="s">
        <v>16</v>
      </c>
      <c r="Q16" s="105" t="s">
        <v>16</v>
      </c>
      <c r="R16" s="105" t="s">
        <v>16</v>
      </c>
      <c r="S16" s="105" t="s">
        <v>16</v>
      </c>
      <c r="T16" s="105" t="s">
        <v>16</v>
      </c>
      <c r="U16" s="105" t="s">
        <v>16</v>
      </c>
      <c r="V16" s="485"/>
      <c r="W16" s="485"/>
      <c r="X16" s="485"/>
    </row>
    <row r="17" spans="1:28" ht="13" x14ac:dyDescent="0.25">
      <c r="A17" s="1079"/>
      <c r="B17" s="177">
        <v>5</v>
      </c>
      <c r="C17" s="78">
        <f t="shared" si="4"/>
        <v>5.0000000000000001E-4</v>
      </c>
      <c r="D17" s="792">
        <v>0</v>
      </c>
      <c r="E17" s="790" t="s">
        <v>16</v>
      </c>
      <c r="F17" s="798">
        <f t="shared" si="6"/>
        <v>2.5000000000000001E-4</v>
      </c>
      <c r="G17" s="692">
        <f t="shared" si="7"/>
        <v>0.05</v>
      </c>
      <c r="H17" s="1081"/>
      <c r="I17" s="177">
        <v>5</v>
      </c>
      <c r="J17" s="78">
        <f t="shared" si="5"/>
        <v>5.0000000000000001E-4</v>
      </c>
      <c r="K17" s="58">
        <v>0</v>
      </c>
      <c r="L17" s="261" t="s">
        <v>16</v>
      </c>
      <c r="M17" s="798">
        <f t="shared" si="8"/>
        <v>2.5000000000000001E-4</v>
      </c>
      <c r="N17" s="692">
        <f t="shared" si="9"/>
        <v>0.05</v>
      </c>
      <c r="O17" s="1081"/>
      <c r="P17" s="105" t="s">
        <v>16</v>
      </c>
      <c r="Q17" s="105" t="s">
        <v>16</v>
      </c>
      <c r="R17" s="105" t="s">
        <v>16</v>
      </c>
      <c r="S17" s="105" t="s">
        <v>16</v>
      </c>
      <c r="T17" s="105" t="s">
        <v>16</v>
      </c>
      <c r="U17" s="105" t="s">
        <v>16</v>
      </c>
      <c r="V17" s="485"/>
      <c r="W17" s="485"/>
      <c r="X17" s="485"/>
    </row>
    <row r="18" spans="1:28" ht="13" x14ac:dyDescent="0.3">
      <c r="A18" s="1079"/>
      <c r="B18" s="177">
        <v>50</v>
      </c>
      <c r="C18" s="78">
        <f t="shared" si="4"/>
        <v>5.0000000000000001E-3</v>
      </c>
      <c r="D18" s="792">
        <v>0</v>
      </c>
      <c r="E18" s="790" t="s">
        <v>16</v>
      </c>
      <c r="F18" s="798">
        <f t="shared" si="6"/>
        <v>2.5000000000000001E-3</v>
      </c>
      <c r="G18" s="692">
        <f t="shared" si="7"/>
        <v>0.5</v>
      </c>
      <c r="H18" s="1081"/>
      <c r="I18" s="177">
        <v>50</v>
      </c>
      <c r="J18" s="78">
        <f t="shared" si="5"/>
        <v>5.0000000000000001E-3</v>
      </c>
      <c r="K18" s="58">
        <v>0</v>
      </c>
      <c r="L18" s="66" t="s">
        <v>16</v>
      </c>
      <c r="M18" s="798">
        <f t="shared" si="8"/>
        <v>2.5000000000000001E-3</v>
      </c>
      <c r="N18" s="692">
        <f t="shared" si="9"/>
        <v>0.5</v>
      </c>
      <c r="O18" s="1081"/>
      <c r="P18" s="105" t="s">
        <v>16</v>
      </c>
      <c r="Q18" s="105" t="s">
        <v>16</v>
      </c>
      <c r="R18" s="105" t="s">
        <v>16</v>
      </c>
      <c r="S18" s="105" t="s">
        <v>16</v>
      </c>
      <c r="T18" s="105" t="s">
        <v>16</v>
      </c>
      <c r="U18" s="105" t="s">
        <v>16</v>
      </c>
      <c r="V18" s="485"/>
      <c r="W18" s="485"/>
      <c r="X18" s="485"/>
      <c r="AB18" s="297"/>
    </row>
    <row r="19" spans="1:28" ht="13" x14ac:dyDescent="0.25">
      <c r="A19" s="1079"/>
      <c r="B19" s="177">
        <v>60</v>
      </c>
      <c r="C19" s="78">
        <f>0.01%*B19</f>
        <v>6.0000000000000001E-3</v>
      </c>
      <c r="D19" s="792">
        <v>0</v>
      </c>
      <c r="E19" s="790" t="s">
        <v>16</v>
      </c>
      <c r="F19" s="798">
        <f t="shared" si="6"/>
        <v>3.0000000000000001E-3</v>
      </c>
      <c r="G19" s="692">
        <f t="shared" si="7"/>
        <v>0.6</v>
      </c>
      <c r="H19" s="1081"/>
      <c r="I19" s="177">
        <v>60</v>
      </c>
      <c r="J19" s="78">
        <f>0.01%*I19</f>
        <v>6.0000000000000001E-3</v>
      </c>
      <c r="K19" s="58">
        <v>0</v>
      </c>
      <c r="L19" s="66" t="s">
        <v>16</v>
      </c>
      <c r="M19" s="798">
        <f>0.5*(MAX(J19:L19)-MIN(J19:L19))</f>
        <v>3.0000000000000001E-3</v>
      </c>
      <c r="N19" s="692">
        <f t="shared" si="9"/>
        <v>0.6</v>
      </c>
      <c r="O19" s="1081"/>
      <c r="P19" s="105" t="s">
        <v>16</v>
      </c>
      <c r="Q19" s="105" t="s">
        <v>16</v>
      </c>
      <c r="R19" s="105" t="s">
        <v>16</v>
      </c>
      <c r="S19" s="105" t="s">
        <v>16</v>
      </c>
      <c r="T19" s="105" t="s">
        <v>16</v>
      </c>
      <c r="U19" s="105" t="s">
        <v>16</v>
      </c>
      <c r="V19" s="485"/>
      <c r="W19" s="485"/>
      <c r="X19" s="485"/>
    </row>
    <row r="20" spans="1:28" ht="13" x14ac:dyDescent="0.25">
      <c r="A20" s="1079"/>
      <c r="B20" s="1085" t="s">
        <v>483</v>
      </c>
      <c r="C20" s="1085"/>
      <c r="D20" s="1085"/>
      <c r="E20" s="1085"/>
      <c r="F20" s="1084" t="s">
        <v>385</v>
      </c>
      <c r="G20" s="1086" t="s">
        <v>251</v>
      </c>
      <c r="H20" s="1081"/>
      <c r="I20" s="1085" t="str">
        <f>B20</f>
        <v>TRIANGLE WAVE (µv)</v>
      </c>
      <c r="J20" s="1085"/>
      <c r="K20" s="1085"/>
      <c r="L20" s="1085"/>
      <c r="M20" s="1084" t="s">
        <v>385</v>
      </c>
      <c r="N20" s="1084" t="s">
        <v>251</v>
      </c>
      <c r="O20" s="1081"/>
      <c r="P20" s="1085" t="str">
        <f>B20</f>
        <v>TRIANGLE WAVE (µv)</v>
      </c>
      <c r="Q20" s="1085"/>
      <c r="R20" s="1085"/>
      <c r="S20" s="1085"/>
      <c r="T20" s="1084" t="s">
        <v>385</v>
      </c>
      <c r="U20" s="1084" t="s">
        <v>251</v>
      </c>
      <c r="V20" s="485"/>
      <c r="W20" s="485"/>
      <c r="X20" s="485"/>
    </row>
    <row r="21" spans="1:28" ht="14" x14ac:dyDescent="0.25">
      <c r="A21" s="1079"/>
      <c r="B21" s="691" t="s">
        <v>484</v>
      </c>
      <c r="C21" s="105">
        <f>C13</f>
        <v>2017</v>
      </c>
      <c r="D21" s="105">
        <f>D13</f>
        <v>2015</v>
      </c>
      <c r="E21" s="105" t="s">
        <v>16</v>
      </c>
      <c r="F21" s="1084"/>
      <c r="G21" s="1087"/>
      <c r="H21" s="1081"/>
      <c r="I21" s="691" t="str">
        <f>B21</f>
        <v>(µv)</v>
      </c>
      <c r="J21" s="458">
        <f>J13</f>
        <v>2017</v>
      </c>
      <c r="K21" s="458">
        <f>K13</f>
        <v>2015</v>
      </c>
      <c r="L21" s="458" t="str">
        <f>L5</f>
        <v>-</v>
      </c>
      <c r="M21" s="1084"/>
      <c r="N21" s="1084"/>
      <c r="O21" s="1081"/>
      <c r="P21" s="691" t="str">
        <f>I21</f>
        <v>(µv)</v>
      </c>
      <c r="Q21" s="458">
        <f>Q5</f>
        <v>2022</v>
      </c>
      <c r="R21" s="458">
        <f>R5</f>
        <v>2021</v>
      </c>
      <c r="S21" s="458">
        <f>S5</f>
        <v>2018</v>
      </c>
      <c r="T21" s="1084"/>
      <c r="U21" s="1084"/>
      <c r="V21" s="485"/>
      <c r="W21" s="485"/>
      <c r="X21" s="485"/>
    </row>
    <row r="22" spans="1:28" ht="13" x14ac:dyDescent="0.25">
      <c r="A22" s="1079"/>
      <c r="B22" s="105" t="s">
        <v>16</v>
      </c>
      <c r="C22" s="105" t="s">
        <v>16</v>
      </c>
      <c r="D22" s="105" t="s">
        <v>16</v>
      </c>
      <c r="E22" s="66" t="s">
        <v>16</v>
      </c>
      <c r="F22" s="270">
        <f>0.5*(MAX(C22:E22)-MIN(C22:E22))</f>
        <v>0</v>
      </c>
      <c r="G22" s="66" t="s">
        <v>16</v>
      </c>
      <c r="H22" s="1081"/>
      <c r="I22" s="105" t="s">
        <v>16</v>
      </c>
      <c r="J22" s="105" t="s">
        <v>16</v>
      </c>
      <c r="K22" s="105" t="s">
        <v>16</v>
      </c>
      <c r="L22" s="105" t="s">
        <v>16</v>
      </c>
      <c r="M22" s="270">
        <f>0.5*(MAX(J22:L22)-MIN(J22:L22))</f>
        <v>0</v>
      </c>
      <c r="N22" s="105" t="s">
        <v>16</v>
      </c>
      <c r="O22" s="1081"/>
      <c r="P22" s="105" t="s">
        <v>16</v>
      </c>
      <c r="Q22" s="105" t="s">
        <v>16</v>
      </c>
      <c r="R22" s="105" t="s">
        <v>16</v>
      </c>
      <c r="S22" s="105" t="s">
        <v>16</v>
      </c>
      <c r="T22" s="105" t="s">
        <v>16</v>
      </c>
      <c r="U22" s="105" t="s">
        <v>16</v>
      </c>
      <c r="V22" s="485"/>
      <c r="W22" s="485"/>
      <c r="X22" s="485"/>
    </row>
    <row r="23" spans="1:28" ht="13" x14ac:dyDescent="0.25">
      <c r="A23" s="1079"/>
      <c r="B23" s="105" t="s">
        <v>16</v>
      </c>
      <c r="C23" s="105" t="s">
        <v>16</v>
      </c>
      <c r="D23" s="105" t="s">
        <v>16</v>
      </c>
      <c r="E23" s="66" t="s">
        <v>16</v>
      </c>
      <c r="F23" s="270">
        <f t="shared" ref="F23:F27" si="10">0.5*(MAX(C23:E23)-MIN(C23:E23))</f>
        <v>0</v>
      </c>
      <c r="G23" s="66" t="s">
        <v>16</v>
      </c>
      <c r="H23" s="1081"/>
      <c r="I23" s="105" t="s">
        <v>16</v>
      </c>
      <c r="J23" s="105" t="s">
        <v>16</v>
      </c>
      <c r="K23" s="105" t="s">
        <v>16</v>
      </c>
      <c r="L23" s="105" t="s">
        <v>16</v>
      </c>
      <c r="M23" s="270">
        <f t="shared" ref="M23:M27" si="11">0.5*(MAX(J23:L23)-MIN(J23:L23))</f>
        <v>0</v>
      </c>
      <c r="N23" s="105" t="s">
        <v>16</v>
      </c>
      <c r="O23" s="1081"/>
      <c r="P23" s="105" t="s">
        <v>16</v>
      </c>
      <c r="Q23" s="105" t="s">
        <v>16</v>
      </c>
      <c r="R23" s="105" t="s">
        <v>16</v>
      </c>
      <c r="S23" s="105" t="s">
        <v>16</v>
      </c>
      <c r="T23" s="105" t="s">
        <v>16</v>
      </c>
      <c r="U23" s="105" t="s">
        <v>16</v>
      </c>
      <c r="V23" s="485"/>
      <c r="W23" s="485"/>
      <c r="X23" s="485"/>
    </row>
    <row r="24" spans="1:28" ht="13" x14ac:dyDescent="0.25">
      <c r="A24" s="1079"/>
      <c r="B24" s="105" t="s">
        <v>16</v>
      </c>
      <c r="C24" s="105" t="s">
        <v>16</v>
      </c>
      <c r="D24" s="105" t="s">
        <v>16</v>
      </c>
      <c r="E24" s="66" t="s">
        <v>16</v>
      </c>
      <c r="F24" s="270">
        <f>0.5*(MAX(C24:E24)-MIN(C24:E24))</f>
        <v>0</v>
      </c>
      <c r="G24" s="66" t="s">
        <v>16</v>
      </c>
      <c r="H24" s="1081"/>
      <c r="I24" s="105" t="s">
        <v>16</v>
      </c>
      <c r="J24" s="105" t="s">
        <v>16</v>
      </c>
      <c r="K24" s="105" t="s">
        <v>16</v>
      </c>
      <c r="L24" s="105" t="s">
        <v>16</v>
      </c>
      <c r="M24" s="270">
        <f t="shared" si="11"/>
        <v>0</v>
      </c>
      <c r="N24" s="105" t="s">
        <v>16</v>
      </c>
      <c r="O24" s="1081"/>
      <c r="P24" s="105" t="s">
        <v>16</v>
      </c>
      <c r="Q24" s="105" t="s">
        <v>16</v>
      </c>
      <c r="R24" s="105" t="s">
        <v>16</v>
      </c>
      <c r="S24" s="105" t="s">
        <v>16</v>
      </c>
      <c r="T24" s="105" t="s">
        <v>16</v>
      </c>
      <c r="U24" s="105" t="s">
        <v>16</v>
      </c>
      <c r="V24" s="485"/>
      <c r="W24" s="485"/>
      <c r="X24" s="485"/>
    </row>
    <row r="25" spans="1:28" ht="13" x14ac:dyDescent="0.25">
      <c r="A25" s="1079"/>
      <c r="B25" s="105" t="s">
        <v>16</v>
      </c>
      <c r="C25" s="105" t="s">
        <v>16</v>
      </c>
      <c r="D25" s="105" t="s">
        <v>16</v>
      </c>
      <c r="E25" s="261" t="s">
        <v>16</v>
      </c>
      <c r="F25" s="270">
        <f t="shared" si="10"/>
        <v>0</v>
      </c>
      <c r="G25" s="66" t="s">
        <v>16</v>
      </c>
      <c r="H25" s="1081"/>
      <c r="I25" s="105" t="s">
        <v>16</v>
      </c>
      <c r="J25" s="105" t="s">
        <v>16</v>
      </c>
      <c r="K25" s="105" t="s">
        <v>16</v>
      </c>
      <c r="L25" s="105" t="s">
        <v>16</v>
      </c>
      <c r="M25" s="270">
        <f t="shared" si="11"/>
        <v>0</v>
      </c>
      <c r="N25" s="105" t="s">
        <v>16</v>
      </c>
      <c r="O25" s="1081"/>
      <c r="P25" s="105" t="s">
        <v>16</v>
      </c>
      <c r="Q25" s="105" t="s">
        <v>16</v>
      </c>
      <c r="R25" s="105" t="s">
        <v>16</v>
      </c>
      <c r="S25" s="105" t="s">
        <v>16</v>
      </c>
      <c r="T25" s="105" t="s">
        <v>16</v>
      </c>
      <c r="U25" s="105" t="s">
        <v>16</v>
      </c>
      <c r="V25" s="485"/>
      <c r="W25" s="485"/>
      <c r="X25" s="485"/>
    </row>
    <row r="26" spans="1:28" ht="13" x14ac:dyDescent="0.25">
      <c r="A26" s="1079"/>
      <c r="B26" s="105" t="s">
        <v>16</v>
      </c>
      <c r="C26" s="105" t="s">
        <v>16</v>
      </c>
      <c r="D26" s="105" t="s">
        <v>16</v>
      </c>
      <c r="E26" s="66" t="s">
        <v>16</v>
      </c>
      <c r="F26" s="270">
        <f t="shared" si="10"/>
        <v>0</v>
      </c>
      <c r="G26" s="66" t="s">
        <v>16</v>
      </c>
      <c r="H26" s="1081"/>
      <c r="I26" s="105" t="s">
        <v>16</v>
      </c>
      <c r="J26" s="105" t="s">
        <v>16</v>
      </c>
      <c r="K26" s="105" t="s">
        <v>16</v>
      </c>
      <c r="L26" s="105" t="s">
        <v>16</v>
      </c>
      <c r="M26" s="270">
        <f t="shared" si="11"/>
        <v>0</v>
      </c>
      <c r="N26" s="105" t="s">
        <v>16</v>
      </c>
      <c r="O26" s="1081"/>
      <c r="P26" s="105" t="s">
        <v>16</v>
      </c>
      <c r="Q26" s="105" t="s">
        <v>16</v>
      </c>
      <c r="R26" s="105" t="s">
        <v>16</v>
      </c>
      <c r="S26" s="105" t="s">
        <v>16</v>
      </c>
      <c r="T26" s="105" t="s">
        <v>16</v>
      </c>
      <c r="U26" s="105" t="s">
        <v>16</v>
      </c>
      <c r="V26" s="485"/>
      <c r="W26" s="485"/>
      <c r="X26" s="485"/>
    </row>
    <row r="27" spans="1:28" ht="13" x14ac:dyDescent="0.25">
      <c r="A27" s="1079"/>
      <c r="B27" s="105" t="s">
        <v>16</v>
      </c>
      <c r="C27" s="105" t="s">
        <v>16</v>
      </c>
      <c r="D27" s="105" t="s">
        <v>16</v>
      </c>
      <c r="E27" s="261" t="s">
        <v>16</v>
      </c>
      <c r="F27" s="270">
        <f t="shared" si="10"/>
        <v>0</v>
      </c>
      <c r="G27" s="66" t="s">
        <v>16</v>
      </c>
      <c r="H27" s="1081"/>
      <c r="I27" s="105" t="s">
        <v>16</v>
      </c>
      <c r="J27" s="105" t="s">
        <v>16</v>
      </c>
      <c r="K27" s="105" t="s">
        <v>16</v>
      </c>
      <c r="L27" s="105" t="s">
        <v>16</v>
      </c>
      <c r="M27" s="270">
        <f t="shared" si="11"/>
        <v>0</v>
      </c>
      <c r="N27" s="105" t="s">
        <v>16</v>
      </c>
      <c r="O27" s="1081"/>
      <c r="P27" s="105" t="s">
        <v>16</v>
      </c>
      <c r="Q27" s="105" t="s">
        <v>16</v>
      </c>
      <c r="R27" s="105" t="s">
        <v>16</v>
      </c>
      <c r="S27" s="105" t="s">
        <v>16</v>
      </c>
      <c r="T27" s="105" t="s">
        <v>16</v>
      </c>
      <c r="U27" s="105" t="s">
        <v>16</v>
      </c>
      <c r="V27" s="485"/>
      <c r="W27" s="485"/>
      <c r="X27" s="485"/>
    </row>
    <row r="28" spans="1:28" ht="13" customHeight="1" x14ac:dyDescent="0.25">
      <c r="A28" s="1079"/>
      <c r="B28" s="1085" t="s">
        <v>481</v>
      </c>
      <c r="C28" s="1085"/>
      <c r="D28" s="1085"/>
      <c r="E28" s="1085"/>
      <c r="F28" s="1084" t="s">
        <v>385</v>
      </c>
      <c r="G28" s="1086" t="s">
        <v>251</v>
      </c>
      <c r="H28" s="1081"/>
      <c r="I28" s="1085" t="str">
        <f>B28</f>
        <v>SINE WAVE (µv)</v>
      </c>
      <c r="J28" s="1085"/>
      <c r="K28" s="1085"/>
      <c r="L28" s="1085"/>
      <c r="M28" s="1084" t="s">
        <v>385</v>
      </c>
      <c r="N28" s="1084" t="s">
        <v>251</v>
      </c>
      <c r="O28" s="1081"/>
      <c r="P28" s="1085" t="str">
        <f>B28</f>
        <v>SINE WAVE (µv)</v>
      </c>
      <c r="Q28" s="1085"/>
      <c r="R28" s="1085"/>
      <c r="S28" s="1085"/>
      <c r="T28" s="1084" t="s">
        <v>385</v>
      </c>
      <c r="U28" s="1084" t="s">
        <v>251</v>
      </c>
      <c r="V28" s="485"/>
      <c r="W28" s="485"/>
      <c r="X28" s="485"/>
    </row>
    <row r="29" spans="1:28" ht="14" x14ac:dyDescent="0.25">
      <c r="A29" s="1079"/>
      <c r="B29" s="691" t="s">
        <v>484</v>
      </c>
      <c r="C29" s="458">
        <f>C21</f>
        <v>2017</v>
      </c>
      <c r="D29" s="458">
        <f t="shared" ref="D29:E29" si="12">D21</f>
        <v>2015</v>
      </c>
      <c r="E29" s="458" t="str">
        <f t="shared" si="12"/>
        <v>-</v>
      </c>
      <c r="F29" s="1084"/>
      <c r="G29" s="1087"/>
      <c r="H29" s="1081"/>
      <c r="I29" s="691" t="str">
        <f>B29</f>
        <v>(µv)</v>
      </c>
      <c r="J29" s="458">
        <f>J21</f>
        <v>2017</v>
      </c>
      <c r="K29" s="458">
        <f>K21</f>
        <v>2015</v>
      </c>
      <c r="L29" s="458" t="str">
        <f>L5</f>
        <v>-</v>
      </c>
      <c r="M29" s="1084"/>
      <c r="N29" s="1084"/>
      <c r="O29" s="1081"/>
      <c r="P29" s="691" t="str">
        <f>I29</f>
        <v>(µv)</v>
      </c>
      <c r="Q29" s="458">
        <f>Q5</f>
        <v>2022</v>
      </c>
      <c r="R29" s="458">
        <f>R5</f>
        <v>2021</v>
      </c>
      <c r="S29" s="458">
        <f>S5</f>
        <v>2018</v>
      </c>
      <c r="T29" s="1084"/>
      <c r="U29" s="1084"/>
      <c r="V29" s="485"/>
      <c r="W29" s="485"/>
      <c r="X29" s="485"/>
    </row>
    <row r="30" spans="1:28" x14ac:dyDescent="0.25">
      <c r="A30" s="1079"/>
      <c r="B30" s="790" t="s">
        <v>16</v>
      </c>
      <c r="C30" s="790" t="s">
        <v>16</v>
      </c>
      <c r="D30" s="790" t="s">
        <v>16</v>
      </c>
      <c r="E30" s="790" t="s">
        <v>16</v>
      </c>
      <c r="F30" s="270">
        <f t="shared" ref="F30:F33" si="13">0.5*(MAX(C30:E30)-MIN(C30:E30))</f>
        <v>0</v>
      </c>
      <c r="G30" s="790" t="s">
        <v>16</v>
      </c>
      <c r="H30" s="1081"/>
      <c r="I30" s="790" t="s">
        <v>16</v>
      </c>
      <c r="J30" s="790" t="s">
        <v>16</v>
      </c>
      <c r="K30" s="790" t="s">
        <v>16</v>
      </c>
      <c r="L30" s="790" t="s">
        <v>16</v>
      </c>
      <c r="M30" s="270">
        <f t="shared" ref="M30:M33" si="14">0.5*(MAX(J30:L30)-MIN(J30:L30))</f>
        <v>0</v>
      </c>
      <c r="N30" s="790" t="s">
        <v>16</v>
      </c>
      <c r="O30" s="1081"/>
      <c r="P30" s="790" t="s">
        <v>16</v>
      </c>
      <c r="Q30" s="790" t="s">
        <v>16</v>
      </c>
      <c r="R30" s="790" t="s">
        <v>16</v>
      </c>
      <c r="S30" s="790" t="s">
        <v>16</v>
      </c>
      <c r="T30" s="790" t="s">
        <v>16</v>
      </c>
      <c r="U30" s="790" t="s">
        <v>16</v>
      </c>
      <c r="V30" s="485"/>
      <c r="W30" s="485"/>
      <c r="X30" s="485"/>
    </row>
    <row r="31" spans="1:28" x14ac:dyDescent="0.25">
      <c r="A31" s="1079"/>
      <c r="B31" s="790" t="s">
        <v>16</v>
      </c>
      <c r="C31" s="790" t="s">
        <v>16</v>
      </c>
      <c r="D31" s="790" t="s">
        <v>16</v>
      </c>
      <c r="E31" s="790" t="s">
        <v>16</v>
      </c>
      <c r="F31" s="270">
        <f>0.5*(MAX(C31:E31)-MIN(C31:E31))</f>
        <v>0</v>
      </c>
      <c r="G31" s="790" t="s">
        <v>16</v>
      </c>
      <c r="H31" s="1081"/>
      <c r="I31" s="790" t="s">
        <v>16</v>
      </c>
      <c r="J31" s="790" t="s">
        <v>16</v>
      </c>
      <c r="K31" s="790" t="s">
        <v>16</v>
      </c>
      <c r="L31" s="790" t="s">
        <v>16</v>
      </c>
      <c r="M31" s="270">
        <f t="shared" si="14"/>
        <v>0</v>
      </c>
      <c r="N31" s="790" t="s">
        <v>16</v>
      </c>
      <c r="O31" s="1081"/>
      <c r="P31" s="790" t="s">
        <v>16</v>
      </c>
      <c r="Q31" s="790" t="s">
        <v>16</v>
      </c>
      <c r="R31" s="790" t="s">
        <v>16</v>
      </c>
      <c r="S31" s="790" t="s">
        <v>16</v>
      </c>
      <c r="T31" s="790" t="s">
        <v>16</v>
      </c>
      <c r="U31" s="790" t="s">
        <v>16</v>
      </c>
      <c r="V31" s="485"/>
      <c r="W31" s="485"/>
      <c r="X31" s="485"/>
    </row>
    <row r="32" spans="1:28" x14ac:dyDescent="0.25">
      <c r="A32" s="1079"/>
      <c r="B32" s="790" t="s">
        <v>16</v>
      </c>
      <c r="C32" s="790" t="s">
        <v>16</v>
      </c>
      <c r="D32" s="790" t="s">
        <v>16</v>
      </c>
      <c r="E32" s="790" t="s">
        <v>16</v>
      </c>
      <c r="F32" s="270">
        <f t="shared" si="13"/>
        <v>0</v>
      </c>
      <c r="G32" s="790" t="s">
        <v>16</v>
      </c>
      <c r="H32" s="1081"/>
      <c r="I32" s="790" t="s">
        <v>16</v>
      </c>
      <c r="J32" s="790" t="s">
        <v>16</v>
      </c>
      <c r="K32" s="790" t="s">
        <v>16</v>
      </c>
      <c r="L32" s="790" t="s">
        <v>16</v>
      </c>
      <c r="M32" s="270">
        <f t="shared" si="14"/>
        <v>0</v>
      </c>
      <c r="N32" s="790" t="s">
        <v>16</v>
      </c>
      <c r="O32" s="1081"/>
      <c r="P32" s="790" t="s">
        <v>16</v>
      </c>
      <c r="Q32" s="790" t="s">
        <v>16</v>
      </c>
      <c r="R32" s="790" t="s">
        <v>16</v>
      </c>
      <c r="S32" s="790" t="s">
        <v>16</v>
      </c>
      <c r="T32" s="790" t="s">
        <v>16</v>
      </c>
      <c r="U32" s="790" t="s">
        <v>16</v>
      </c>
      <c r="V32" s="485"/>
      <c r="W32" s="485"/>
      <c r="X32" s="485"/>
    </row>
    <row r="33" spans="1:24" x14ac:dyDescent="0.25">
      <c r="A33" s="1079"/>
      <c r="B33" s="790" t="s">
        <v>16</v>
      </c>
      <c r="C33" s="790" t="s">
        <v>16</v>
      </c>
      <c r="D33" s="790" t="s">
        <v>16</v>
      </c>
      <c r="E33" s="790" t="s">
        <v>16</v>
      </c>
      <c r="F33" s="270">
        <f t="shared" si="13"/>
        <v>0</v>
      </c>
      <c r="G33" s="790" t="s">
        <v>16</v>
      </c>
      <c r="H33" s="1081"/>
      <c r="I33" s="790" t="s">
        <v>16</v>
      </c>
      <c r="J33" s="790" t="s">
        <v>16</v>
      </c>
      <c r="K33" s="790" t="s">
        <v>16</v>
      </c>
      <c r="L33" s="790" t="s">
        <v>16</v>
      </c>
      <c r="M33" s="270">
        <f t="shared" si="14"/>
        <v>0</v>
      </c>
      <c r="N33" s="790" t="s">
        <v>16</v>
      </c>
      <c r="O33" s="1081"/>
      <c r="P33" s="790" t="s">
        <v>16</v>
      </c>
      <c r="Q33" s="790" t="s">
        <v>16</v>
      </c>
      <c r="R33" s="790" t="s">
        <v>16</v>
      </c>
      <c r="S33" s="790" t="s">
        <v>16</v>
      </c>
      <c r="T33" s="790" t="s">
        <v>16</v>
      </c>
      <c r="U33" s="790" t="s">
        <v>16</v>
      </c>
      <c r="V33" s="485"/>
      <c r="W33" s="485"/>
      <c r="X33" s="485"/>
    </row>
    <row r="34" spans="1:24" x14ac:dyDescent="0.25">
      <c r="A34" s="493"/>
      <c r="T34" s="494"/>
      <c r="V34" s="485"/>
      <c r="W34" s="485"/>
      <c r="X34" s="485"/>
    </row>
    <row r="35" spans="1:24" ht="14.5" x14ac:dyDescent="0.25">
      <c r="A35" s="1079" t="s">
        <v>391</v>
      </c>
      <c r="B35" s="1088" t="s">
        <v>392</v>
      </c>
      <c r="C35" s="1088"/>
      <c r="D35" s="1088"/>
      <c r="E35" s="1088"/>
      <c r="F35" s="1088"/>
      <c r="G35" s="1088"/>
      <c r="H35" s="1081" t="s">
        <v>393</v>
      </c>
      <c r="I35" s="1080" t="s">
        <v>394</v>
      </c>
      <c r="J35" s="1080"/>
      <c r="K35" s="1080"/>
      <c r="L35" s="1080"/>
      <c r="M35" s="1080"/>
      <c r="N35" s="1080"/>
      <c r="O35" s="1081" t="s">
        <v>395</v>
      </c>
      <c r="P35" s="1088" t="s">
        <v>396</v>
      </c>
      <c r="Q35" s="1088"/>
      <c r="R35" s="1088"/>
      <c r="S35" s="1088"/>
      <c r="T35" s="1088"/>
      <c r="U35" s="1088"/>
      <c r="V35" s="485"/>
      <c r="W35" s="485"/>
      <c r="X35" s="485"/>
    </row>
    <row r="36" spans="1:24" ht="14" x14ac:dyDescent="0.3">
      <c r="A36" s="1079"/>
      <c r="B36" s="1082" t="str">
        <f>B3</f>
        <v>SERTIFIKAT</v>
      </c>
      <c r="C36" s="1082"/>
      <c r="D36" s="1082"/>
      <c r="E36" s="1082"/>
      <c r="F36" s="1082"/>
      <c r="G36" s="1082"/>
      <c r="H36" s="1081"/>
      <c r="I36" s="1082" t="str">
        <f>B36</f>
        <v>SERTIFIKAT</v>
      </c>
      <c r="J36" s="1082"/>
      <c r="K36" s="1082"/>
      <c r="L36" s="1082"/>
      <c r="M36" s="1082"/>
      <c r="N36" s="1082"/>
      <c r="O36" s="1081"/>
      <c r="P36" s="1082" t="str">
        <f>I36</f>
        <v>SERTIFIKAT</v>
      </c>
      <c r="Q36" s="1082"/>
      <c r="R36" s="1082"/>
      <c r="S36" s="1082"/>
      <c r="T36" s="1082"/>
      <c r="U36" s="1082"/>
      <c r="V36" s="485"/>
      <c r="W36" s="485"/>
      <c r="X36" s="485"/>
    </row>
    <row r="37" spans="1:24" ht="13" x14ac:dyDescent="0.25">
      <c r="A37" s="1079"/>
      <c r="B37" s="1084" t="str">
        <f>B4</f>
        <v>SINE WAVE (Hz)</v>
      </c>
      <c r="C37" s="1084"/>
      <c r="D37" s="1084"/>
      <c r="E37" s="1084"/>
      <c r="F37" s="1084" t="s">
        <v>385</v>
      </c>
      <c r="G37" s="1084" t="s">
        <v>251</v>
      </c>
      <c r="H37" s="1081"/>
      <c r="I37" s="1084" t="str">
        <f>B37</f>
        <v>SINE WAVE (Hz)</v>
      </c>
      <c r="J37" s="1084"/>
      <c r="K37" s="1084"/>
      <c r="L37" s="1084"/>
      <c r="M37" s="1084" t="s">
        <v>385</v>
      </c>
      <c r="N37" s="1084" t="s">
        <v>251</v>
      </c>
      <c r="O37" s="1081"/>
      <c r="P37" s="1084" t="str">
        <f>I37</f>
        <v>SINE WAVE (Hz)</v>
      </c>
      <c r="Q37" s="1084"/>
      <c r="R37" s="1084"/>
      <c r="S37" s="1084"/>
      <c r="T37" s="1084" t="s">
        <v>385</v>
      </c>
      <c r="U37" s="1084" t="s">
        <v>251</v>
      </c>
      <c r="V37" s="485"/>
      <c r="W37" s="485"/>
      <c r="X37" s="485"/>
    </row>
    <row r="38" spans="1:24" ht="14" x14ac:dyDescent="0.25">
      <c r="A38" s="1079"/>
      <c r="B38" s="691" t="s">
        <v>386</v>
      </c>
      <c r="C38" s="458">
        <v>2022</v>
      </c>
      <c r="D38" s="458">
        <v>2021</v>
      </c>
      <c r="E38" s="458">
        <v>2019</v>
      </c>
      <c r="F38" s="1084"/>
      <c r="G38" s="1084"/>
      <c r="H38" s="1081"/>
      <c r="I38" s="691" t="s">
        <v>386</v>
      </c>
      <c r="J38" s="458">
        <v>2022</v>
      </c>
      <c r="K38" s="458">
        <v>2021</v>
      </c>
      <c r="L38" s="458">
        <v>2019</v>
      </c>
      <c r="M38" s="1084"/>
      <c r="N38" s="1084"/>
      <c r="O38" s="1081"/>
      <c r="P38" s="691" t="s">
        <v>386</v>
      </c>
      <c r="Q38" s="458">
        <v>2023</v>
      </c>
      <c r="R38" s="458">
        <v>2022</v>
      </c>
      <c r="S38" s="458">
        <v>2019</v>
      </c>
      <c r="T38" s="1084"/>
      <c r="U38" s="1084"/>
      <c r="V38" s="484"/>
      <c r="W38" s="484"/>
      <c r="X38" s="485"/>
    </row>
    <row r="39" spans="1:24" x14ac:dyDescent="0.25">
      <c r="A39" s="1079"/>
      <c r="B39" s="790" t="s">
        <v>16</v>
      </c>
      <c r="C39" s="790" t="s">
        <v>16</v>
      </c>
      <c r="D39" s="790" t="s">
        <v>16</v>
      </c>
      <c r="E39" s="790" t="s">
        <v>16</v>
      </c>
      <c r="F39" s="790" t="s">
        <v>16</v>
      </c>
      <c r="G39" s="790" t="s">
        <v>16</v>
      </c>
      <c r="H39" s="1081"/>
      <c r="I39" s="790" t="s">
        <v>16</v>
      </c>
      <c r="J39" s="790" t="s">
        <v>16</v>
      </c>
      <c r="K39" s="790" t="s">
        <v>16</v>
      </c>
      <c r="L39" s="790" t="s">
        <v>16</v>
      </c>
      <c r="M39" s="790" t="s">
        <v>16</v>
      </c>
      <c r="N39" s="790" t="s">
        <v>16</v>
      </c>
      <c r="O39" s="1081"/>
      <c r="P39" s="790" t="s">
        <v>16</v>
      </c>
      <c r="Q39" s="790" t="s">
        <v>16</v>
      </c>
      <c r="R39" s="790" t="s">
        <v>16</v>
      </c>
      <c r="S39" s="790" t="s">
        <v>16</v>
      </c>
      <c r="T39" s="790" t="s">
        <v>16</v>
      </c>
      <c r="U39" s="790" t="s">
        <v>16</v>
      </c>
      <c r="V39" s="489"/>
      <c r="W39" s="490"/>
      <c r="X39" s="485"/>
    </row>
    <row r="40" spans="1:24" x14ac:dyDescent="0.25">
      <c r="A40" s="1079"/>
      <c r="B40" s="790" t="s">
        <v>16</v>
      </c>
      <c r="C40" s="790" t="s">
        <v>16</v>
      </c>
      <c r="D40" s="790" t="s">
        <v>16</v>
      </c>
      <c r="E40" s="790" t="s">
        <v>16</v>
      </c>
      <c r="F40" s="790" t="s">
        <v>16</v>
      </c>
      <c r="G40" s="790" t="s">
        <v>16</v>
      </c>
      <c r="H40" s="1081"/>
      <c r="I40" s="790" t="s">
        <v>16</v>
      </c>
      <c r="J40" s="790" t="s">
        <v>16</v>
      </c>
      <c r="K40" s="790" t="s">
        <v>16</v>
      </c>
      <c r="L40" s="790" t="s">
        <v>16</v>
      </c>
      <c r="M40" s="790" t="s">
        <v>16</v>
      </c>
      <c r="N40" s="790" t="s">
        <v>16</v>
      </c>
      <c r="O40" s="1081"/>
      <c r="P40" s="790" t="s">
        <v>16</v>
      </c>
      <c r="Q40" s="790" t="s">
        <v>16</v>
      </c>
      <c r="R40" s="790" t="s">
        <v>16</v>
      </c>
      <c r="S40" s="790" t="s">
        <v>16</v>
      </c>
      <c r="T40" s="790" t="s">
        <v>16</v>
      </c>
      <c r="U40" s="790" t="s">
        <v>16</v>
      </c>
      <c r="V40" s="489"/>
      <c r="W40" s="490"/>
      <c r="X40" s="485"/>
    </row>
    <row r="41" spans="1:24" x14ac:dyDescent="0.25">
      <c r="A41" s="1079"/>
      <c r="B41" s="790" t="s">
        <v>16</v>
      </c>
      <c r="C41" s="790" t="s">
        <v>16</v>
      </c>
      <c r="D41" s="790" t="s">
        <v>16</v>
      </c>
      <c r="E41" s="790" t="s">
        <v>16</v>
      </c>
      <c r="F41" s="790" t="s">
        <v>16</v>
      </c>
      <c r="G41" s="790" t="s">
        <v>16</v>
      </c>
      <c r="H41" s="1081"/>
      <c r="I41" s="790" t="s">
        <v>16</v>
      </c>
      <c r="J41" s="790" t="s">
        <v>16</v>
      </c>
      <c r="K41" s="790" t="s">
        <v>16</v>
      </c>
      <c r="L41" s="790" t="s">
        <v>16</v>
      </c>
      <c r="M41" s="790" t="s">
        <v>16</v>
      </c>
      <c r="N41" s="790" t="s">
        <v>16</v>
      </c>
      <c r="O41" s="1081"/>
      <c r="P41" s="790" t="s">
        <v>16</v>
      </c>
      <c r="Q41" s="790" t="s">
        <v>16</v>
      </c>
      <c r="R41" s="790" t="s">
        <v>16</v>
      </c>
      <c r="S41" s="790" t="s">
        <v>16</v>
      </c>
      <c r="T41" s="790" t="s">
        <v>16</v>
      </c>
      <c r="U41" s="790" t="s">
        <v>16</v>
      </c>
      <c r="V41" s="489"/>
      <c r="W41" s="490"/>
      <c r="X41" s="485"/>
    </row>
    <row r="42" spans="1:24" x14ac:dyDescent="0.25">
      <c r="A42" s="1079"/>
      <c r="B42" s="790" t="s">
        <v>16</v>
      </c>
      <c r="C42" s="790" t="s">
        <v>16</v>
      </c>
      <c r="D42" s="790" t="s">
        <v>16</v>
      </c>
      <c r="E42" s="790" t="s">
        <v>16</v>
      </c>
      <c r="F42" s="790" t="s">
        <v>16</v>
      </c>
      <c r="G42" s="790" t="s">
        <v>16</v>
      </c>
      <c r="H42" s="1081"/>
      <c r="I42" s="790" t="s">
        <v>16</v>
      </c>
      <c r="J42" s="790" t="s">
        <v>16</v>
      </c>
      <c r="K42" s="790" t="s">
        <v>16</v>
      </c>
      <c r="L42" s="790" t="s">
        <v>16</v>
      </c>
      <c r="M42" s="790" t="s">
        <v>16</v>
      </c>
      <c r="N42" s="790" t="s">
        <v>16</v>
      </c>
      <c r="O42" s="1081"/>
      <c r="P42" s="790" t="s">
        <v>16</v>
      </c>
      <c r="Q42" s="790" t="s">
        <v>16</v>
      </c>
      <c r="R42" s="790" t="s">
        <v>16</v>
      </c>
      <c r="S42" s="790" t="s">
        <v>16</v>
      </c>
      <c r="T42" s="790" t="s">
        <v>16</v>
      </c>
      <c r="U42" s="790" t="s">
        <v>16</v>
      </c>
      <c r="V42" s="489"/>
      <c r="W42" s="490"/>
      <c r="X42" s="485"/>
    </row>
    <row r="43" spans="1:24" x14ac:dyDescent="0.25">
      <c r="A43" s="1079"/>
      <c r="B43" s="790" t="s">
        <v>16</v>
      </c>
      <c r="C43" s="790" t="s">
        <v>16</v>
      </c>
      <c r="D43" s="790" t="s">
        <v>16</v>
      </c>
      <c r="E43" s="790" t="s">
        <v>16</v>
      </c>
      <c r="F43" s="790" t="s">
        <v>16</v>
      </c>
      <c r="G43" s="790" t="s">
        <v>16</v>
      </c>
      <c r="H43" s="1081"/>
      <c r="I43" s="790" t="s">
        <v>16</v>
      </c>
      <c r="J43" s="790" t="s">
        <v>16</v>
      </c>
      <c r="K43" s="790" t="s">
        <v>16</v>
      </c>
      <c r="L43" s="790" t="s">
        <v>16</v>
      </c>
      <c r="M43" s="790" t="s">
        <v>16</v>
      </c>
      <c r="N43" s="790" t="s">
        <v>16</v>
      </c>
      <c r="O43" s="1081"/>
      <c r="P43" s="790" t="s">
        <v>16</v>
      </c>
      <c r="Q43" s="790" t="s">
        <v>16</v>
      </c>
      <c r="R43" s="790" t="s">
        <v>16</v>
      </c>
      <c r="S43" s="790" t="s">
        <v>16</v>
      </c>
      <c r="T43" s="790" t="s">
        <v>16</v>
      </c>
      <c r="U43" s="790" t="s">
        <v>16</v>
      </c>
      <c r="V43" s="489"/>
      <c r="W43" s="490"/>
      <c r="X43" s="485"/>
    </row>
    <row r="44" spans="1:24" x14ac:dyDescent="0.25">
      <c r="A44" s="1079"/>
      <c r="B44" s="790" t="s">
        <v>16</v>
      </c>
      <c r="C44" s="790" t="s">
        <v>16</v>
      </c>
      <c r="D44" s="790" t="s">
        <v>16</v>
      </c>
      <c r="E44" s="790" t="s">
        <v>16</v>
      </c>
      <c r="F44" s="790" t="s">
        <v>16</v>
      </c>
      <c r="G44" s="790" t="s">
        <v>16</v>
      </c>
      <c r="H44" s="1081"/>
      <c r="I44" s="790" t="s">
        <v>16</v>
      </c>
      <c r="J44" s="790" t="s">
        <v>16</v>
      </c>
      <c r="K44" s="790" t="s">
        <v>16</v>
      </c>
      <c r="L44" s="790" t="s">
        <v>16</v>
      </c>
      <c r="M44" s="790" t="s">
        <v>16</v>
      </c>
      <c r="N44" s="790" t="s">
        <v>16</v>
      </c>
      <c r="O44" s="1081"/>
      <c r="P44" s="790" t="s">
        <v>16</v>
      </c>
      <c r="Q44" s="790" t="s">
        <v>16</v>
      </c>
      <c r="R44" s="790" t="s">
        <v>16</v>
      </c>
      <c r="S44" s="790" t="s">
        <v>16</v>
      </c>
      <c r="T44" s="790" t="s">
        <v>16</v>
      </c>
      <c r="U44" s="790" t="s">
        <v>16</v>
      </c>
      <c r="V44" s="489"/>
      <c r="W44" s="490"/>
      <c r="X44" s="485"/>
    </row>
    <row r="45" spans="1:24" ht="12.75" customHeight="1" x14ac:dyDescent="0.25">
      <c r="A45" s="1079"/>
      <c r="B45" s="1085" t="str">
        <f>B12</f>
        <v>SQUARE WAVE (µv)</v>
      </c>
      <c r="C45" s="1085"/>
      <c r="D45" s="1085"/>
      <c r="E45" s="1085"/>
      <c r="F45" s="1084" t="s">
        <v>385</v>
      </c>
      <c r="G45" s="1084" t="s">
        <v>251</v>
      </c>
      <c r="H45" s="1081"/>
      <c r="I45" s="1085" t="str">
        <f>B45</f>
        <v>SQUARE WAVE (µv)</v>
      </c>
      <c r="J45" s="1085"/>
      <c r="K45" s="1085"/>
      <c r="L45" s="1085"/>
      <c r="M45" s="1084" t="s">
        <v>385</v>
      </c>
      <c r="N45" s="1084" t="s">
        <v>251</v>
      </c>
      <c r="O45" s="1081"/>
      <c r="P45" s="1085" t="str">
        <f>I45</f>
        <v>SQUARE WAVE (µv)</v>
      </c>
      <c r="Q45" s="1085"/>
      <c r="R45" s="1085"/>
      <c r="S45" s="1085"/>
      <c r="T45" s="1084" t="s">
        <v>385</v>
      </c>
      <c r="U45" s="1084" t="s">
        <v>251</v>
      </c>
      <c r="V45" s="485"/>
      <c r="W45" s="485"/>
      <c r="X45" s="485"/>
    </row>
    <row r="46" spans="1:24" ht="14" x14ac:dyDescent="0.25">
      <c r="A46" s="1079"/>
      <c r="B46" s="691" t="s">
        <v>388</v>
      </c>
      <c r="C46" s="458">
        <f>C38</f>
        <v>2022</v>
      </c>
      <c r="D46" s="458">
        <f>D38</f>
        <v>2021</v>
      </c>
      <c r="E46" s="458">
        <f>E38</f>
        <v>2019</v>
      </c>
      <c r="F46" s="1084"/>
      <c r="G46" s="1084"/>
      <c r="H46" s="1081"/>
      <c r="I46" s="691" t="s">
        <v>388</v>
      </c>
      <c r="J46" s="458">
        <f>J38</f>
        <v>2022</v>
      </c>
      <c r="K46" s="458">
        <f>K38</f>
        <v>2021</v>
      </c>
      <c r="L46" s="458">
        <f>L38</f>
        <v>2019</v>
      </c>
      <c r="M46" s="1084"/>
      <c r="N46" s="1084"/>
      <c r="O46" s="1081"/>
      <c r="P46" s="691" t="s">
        <v>388</v>
      </c>
      <c r="Q46" s="458">
        <f>Q38</f>
        <v>2023</v>
      </c>
      <c r="R46" s="458">
        <f>R38</f>
        <v>2022</v>
      </c>
      <c r="S46" s="458">
        <f>S38</f>
        <v>2019</v>
      </c>
      <c r="T46" s="1084"/>
      <c r="U46" s="1084"/>
      <c r="V46" s="485"/>
      <c r="W46" s="485"/>
      <c r="X46" s="485"/>
    </row>
    <row r="47" spans="1:24" x14ac:dyDescent="0.25">
      <c r="A47" s="1079"/>
      <c r="B47" s="790" t="s">
        <v>16</v>
      </c>
      <c r="C47" s="790" t="s">
        <v>16</v>
      </c>
      <c r="D47" s="790" t="s">
        <v>16</v>
      </c>
      <c r="E47" s="790" t="s">
        <v>16</v>
      </c>
      <c r="F47" s="790" t="s">
        <v>16</v>
      </c>
      <c r="G47" s="790" t="s">
        <v>16</v>
      </c>
      <c r="H47" s="1081"/>
      <c r="I47" s="790" t="s">
        <v>16</v>
      </c>
      <c r="J47" s="790" t="s">
        <v>16</v>
      </c>
      <c r="K47" s="790" t="s">
        <v>16</v>
      </c>
      <c r="L47" s="790" t="s">
        <v>16</v>
      </c>
      <c r="M47" s="790" t="s">
        <v>16</v>
      </c>
      <c r="N47" s="790" t="s">
        <v>16</v>
      </c>
      <c r="O47" s="1081"/>
      <c r="P47" s="790" t="s">
        <v>16</v>
      </c>
      <c r="Q47" s="790" t="s">
        <v>16</v>
      </c>
      <c r="R47" s="790" t="s">
        <v>16</v>
      </c>
      <c r="S47" s="790" t="s">
        <v>16</v>
      </c>
      <c r="T47" s="790" t="s">
        <v>16</v>
      </c>
      <c r="U47" s="790" t="s">
        <v>16</v>
      </c>
    </row>
    <row r="48" spans="1:24" x14ac:dyDescent="0.25">
      <c r="A48" s="1079"/>
      <c r="B48" s="790" t="s">
        <v>16</v>
      </c>
      <c r="C48" s="790" t="s">
        <v>16</v>
      </c>
      <c r="D48" s="790" t="s">
        <v>16</v>
      </c>
      <c r="E48" s="790" t="s">
        <v>16</v>
      </c>
      <c r="F48" s="790" t="s">
        <v>16</v>
      </c>
      <c r="G48" s="790" t="s">
        <v>16</v>
      </c>
      <c r="H48" s="1081"/>
      <c r="I48" s="790" t="s">
        <v>16</v>
      </c>
      <c r="J48" s="790" t="s">
        <v>16</v>
      </c>
      <c r="K48" s="790" t="s">
        <v>16</v>
      </c>
      <c r="L48" s="790" t="s">
        <v>16</v>
      </c>
      <c r="M48" s="790" t="s">
        <v>16</v>
      </c>
      <c r="N48" s="790" t="s">
        <v>16</v>
      </c>
      <c r="O48" s="1081"/>
      <c r="P48" s="790" t="s">
        <v>16</v>
      </c>
      <c r="Q48" s="790" t="s">
        <v>16</v>
      </c>
      <c r="R48" s="790" t="s">
        <v>16</v>
      </c>
      <c r="S48" s="790" t="s">
        <v>16</v>
      </c>
      <c r="T48" s="790" t="s">
        <v>16</v>
      </c>
      <c r="U48" s="790" t="s">
        <v>16</v>
      </c>
    </row>
    <row r="49" spans="1:21" x14ac:dyDescent="0.25">
      <c r="A49" s="1079"/>
      <c r="B49" s="790" t="s">
        <v>16</v>
      </c>
      <c r="C49" s="790" t="s">
        <v>16</v>
      </c>
      <c r="D49" s="790" t="s">
        <v>16</v>
      </c>
      <c r="E49" s="790" t="s">
        <v>16</v>
      </c>
      <c r="F49" s="790" t="s">
        <v>16</v>
      </c>
      <c r="G49" s="790" t="s">
        <v>16</v>
      </c>
      <c r="H49" s="1081"/>
      <c r="I49" s="790" t="s">
        <v>16</v>
      </c>
      <c r="J49" s="790" t="s">
        <v>16</v>
      </c>
      <c r="K49" s="790" t="s">
        <v>16</v>
      </c>
      <c r="L49" s="790" t="s">
        <v>16</v>
      </c>
      <c r="M49" s="790" t="s">
        <v>16</v>
      </c>
      <c r="N49" s="790" t="s">
        <v>16</v>
      </c>
      <c r="O49" s="1081"/>
      <c r="P49" s="790" t="s">
        <v>16</v>
      </c>
      <c r="Q49" s="790" t="s">
        <v>16</v>
      </c>
      <c r="R49" s="790" t="s">
        <v>16</v>
      </c>
      <c r="S49" s="790" t="s">
        <v>16</v>
      </c>
      <c r="T49" s="790" t="s">
        <v>16</v>
      </c>
      <c r="U49" s="790" t="s">
        <v>16</v>
      </c>
    </row>
    <row r="50" spans="1:21" x14ac:dyDescent="0.25">
      <c r="A50" s="1079"/>
      <c r="B50" s="790" t="s">
        <v>16</v>
      </c>
      <c r="C50" s="790" t="s">
        <v>16</v>
      </c>
      <c r="D50" s="790" t="s">
        <v>16</v>
      </c>
      <c r="E50" s="790" t="s">
        <v>16</v>
      </c>
      <c r="F50" s="790" t="s">
        <v>16</v>
      </c>
      <c r="G50" s="790" t="s">
        <v>16</v>
      </c>
      <c r="H50" s="1081"/>
      <c r="I50" s="790" t="s">
        <v>16</v>
      </c>
      <c r="J50" s="790" t="s">
        <v>16</v>
      </c>
      <c r="K50" s="790" t="s">
        <v>16</v>
      </c>
      <c r="L50" s="790" t="s">
        <v>16</v>
      </c>
      <c r="M50" s="790" t="s">
        <v>16</v>
      </c>
      <c r="N50" s="790" t="s">
        <v>16</v>
      </c>
      <c r="O50" s="1081"/>
      <c r="P50" s="790" t="s">
        <v>16</v>
      </c>
      <c r="Q50" s="790" t="s">
        <v>16</v>
      </c>
      <c r="R50" s="790" t="s">
        <v>16</v>
      </c>
      <c r="S50" s="790" t="s">
        <v>16</v>
      </c>
      <c r="T50" s="790" t="s">
        <v>16</v>
      </c>
      <c r="U50" s="790" t="s">
        <v>16</v>
      </c>
    </row>
    <row r="51" spans="1:21" x14ac:dyDescent="0.25">
      <c r="A51" s="1079"/>
      <c r="B51" s="790" t="s">
        <v>16</v>
      </c>
      <c r="C51" s="790" t="s">
        <v>16</v>
      </c>
      <c r="D51" s="790" t="s">
        <v>16</v>
      </c>
      <c r="E51" s="790" t="s">
        <v>16</v>
      </c>
      <c r="F51" s="790" t="s">
        <v>16</v>
      </c>
      <c r="G51" s="790" t="s">
        <v>16</v>
      </c>
      <c r="H51" s="1081"/>
      <c r="I51" s="790" t="s">
        <v>16</v>
      </c>
      <c r="J51" s="790" t="s">
        <v>16</v>
      </c>
      <c r="K51" s="790" t="s">
        <v>16</v>
      </c>
      <c r="L51" s="790" t="s">
        <v>16</v>
      </c>
      <c r="M51" s="790" t="s">
        <v>16</v>
      </c>
      <c r="N51" s="790" t="s">
        <v>16</v>
      </c>
      <c r="O51" s="1081"/>
      <c r="P51" s="790" t="s">
        <v>16</v>
      </c>
      <c r="Q51" s="790" t="s">
        <v>16</v>
      </c>
      <c r="R51" s="790" t="s">
        <v>16</v>
      </c>
      <c r="S51" s="790" t="s">
        <v>16</v>
      </c>
      <c r="T51" s="790" t="s">
        <v>16</v>
      </c>
      <c r="U51" s="790" t="s">
        <v>16</v>
      </c>
    </row>
    <row r="52" spans="1:21" x14ac:dyDescent="0.25">
      <c r="A52" s="1079"/>
      <c r="B52" s="790" t="s">
        <v>16</v>
      </c>
      <c r="C52" s="790" t="s">
        <v>16</v>
      </c>
      <c r="D52" s="790" t="s">
        <v>16</v>
      </c>
      <c r="E52" s="790" t="s">
        <v>16</v>
      </c>
      <c r="F52" s="790" t="s">
        <v>16</v>
      </c>
      <c r="G52" s="790" t="s">
        <v>16</v>
      </c>
      <c r="H52" s="1081"/>
      <c r="I52" s="790" t="s">
        <v>16</v>
      </c>
      <c r="J52" s="790" t="s">
        <v>16</v>
      </c>
      <c r="K52" s="790" t="s">
        <v>16</v>
      </c>
      <c r="L52" s="790" t="s">
        <v>16</v>
      </c>
      <c r="M52" s="790" t="s">
        <v>16</v>
      </c>
      <c r="N52" s="790" t="s">
        <v>16</v>
      </c>
      <c r="O52" s="1081"/>
      <c r="P52" s="790" t="s">
        <v>16</v>
      </c>
      <c r="Q52" s="790" t="s">
        <v>16</v>
      </c>
      <c r="R52" s="790" t="s">
        <v>16</v>
      </c>
      <c r="S52" s="790" t="s">
        <v>16</v>
      </c>
      <c r="T52" s="790" t="s">
        <v>16</v>
      </c>
      <c r="U52" s="790" t="s">
        <v>16</v>
      </c>
    </row>
    <row r="53" spans="1:21" ht="13" x14ac:dyDescent="0.25">
      <c r="A53" s="1079"/>
      <c r="B53" s="1085" t="str">
        <f>B20</f>
        <v>TRIANGLE WAVE (µv)</v>
      </c>
      <c r="C53" s="1085"/>
      <c r="D53" s="1085"/>
      <c r="E53" s="1085"/>
      <c r="F53" s="1084" t="s">
        <v>385</v>
      </c>
      <c r="G53" s="1084" t="s">
        <v>251</v>
      </c>
      <c r="H53" s="1081"/>
      <c r="I53" s="1085" t="str">
        <f>B53</f>
        <v>TRIANGLE WAVE (µv)</v>
      </c>
      <c r="J53" s="1085"/>
      <c r="K53" s="1085"/>
      <c r="L53" s="1085"/>
      <c r="M53" s="1084" t="s">
        <v>385</v>
      </c>
      <c r="N53" s="1084" t="s">
        <v>251</v>
      </c>
      <c r="O53" s="1081"/>
      <c r="P53" s="1085" t="str">
        <f>I53</f>
        <v>TRIANGLE WAVE (µv)</v>
      </c>
      <c r="Q53" s="1085"/>
      <c r="R53" s="1085"/>
      <c r="S53" s="1085"/>
      <c r="T53" s="1084" t="s">
        <v>385</v>
      </c>
      <c r="U53" s="1084" t="s">
        <v>251</v>
      </c>
    </row>
    <row r="54" spans="1:21" ht="14.5" x14ac:dyDescent="0.25">
      <c r="A54" s="1079"/>
      <c r="B54" s="691" t="s">
        <v>389</v>
      </c>
      <c r="C54" s="458">
        <f>C38</f>
        <v>2022</v>
      </c>
      <c r="D54" s="458">
        <f>D38</f>
        <v>2021</v>
      </c>
      <c r="E54" s="458">
        <f>E38</f>
        <v>2019</v>
      </c>
      <c r="F54" s="1084"/>
      <c r="G54" s="1084"/>
      <c r="H54" s="1081"/>
      <c r="I54" s="691" t="s">
        <v>389</v>
      </c>
      <c r="J54" s="458">
        <f>J38</f>
        <v>2022</v>
      </c>
      <c r="K54" s="458">
        <f>K38</f>
        <v>2021</v>
      </c>
      <c r="L54" s="458">
        <f>L38</f>
        <v>2019</v>
      </c>
      <c r="M54" s="1084"/>
      <c r="N54" s="1084"/>
      <c r="O54" s="1081"/>
      <c r="P54" s="691" t="s">
        <v>389</v>
      </c>
      <c r="Q54" s="458">
        <f>Q38</f>
        <v>2023</v>
      </c>
      <c r="R54" s="458">
        <f>R38</f>
        <v>2022</v>
      </c>
      <c r="S54" s="458">
        <f>S38</f>
        <v>2019</v>
      </c>
      <c r="T54" s="1084"/>
      <c r="U54" s="1084"/>
    </row>
    <row r="55" spans="1:21" x14ac:dyDescent="0.25">
      <c r="A55" s="1079"/>
      <c r="B55" s="790" t="s">
        <v>16</v>
      </c>
      <c r="C55" s="790" t="s">
        <v>16</v>
      </c>
      <c r="D55" s="790" t="s">
        <v>16</v>
      </c>
      <c r="E55" s="790" t="s">
        <v>16</v>
      </c>
      <c r="F55" s="790" t="s">
        <v>16</v>
      </c>
      <c r="G55" s="790" t="s">
        <v>16</v>
      </c>
      <c r="H55" s="1081"/>
      <c r="I55" s="790" t="s">
        <v>16</v>
      </c>
      <c r="J55" s="790" t="s">
        <v>16</v>
      </c>
      <c r="K55" s="790" t="s">
        <v>16</v>
      </c>
      <c r="L55" s="790" t="s">
        <v>16</v>
      </c>
      <c r="M55" s="790" t="s">
        <v>16</v>
      </c>
      <c r="N55" s="790" t="s">
        <v>16</v>
      </c>
      <c r="O55" s="1081"/>
      <c r="P55" s="790" t="s">
        <v>16</v>
      </c>
      <c r="Q55" s="790" t="s">
        <v>16</v>
      </c>
      <c r="R55" s="790" t="s">
        <v>16</v>
      </c>
      <c r="S55" s="790" t="s">
        <v>16</v>
      </c>
      <c r="T55" s="790" t="s">
        <v>16</v>
      </c>
      <c r="U55" s="790" t="s">
        <v>16</v>
      </c>
    </row>
    <row r="56" spans="1:21" x14ac:dyDescent="0.25">
      <c r="A56" s="1079"/>
      <c r="B56" s="790" t="s">
        <v>16</v>
      </c>
      <c r="C56" s="790" t="s">
        <v>16</v>
      </c>
      <c r="D56" s="790" t="s">
        <v>16</v>
      </c>
      <c r="E56" s="790" t="s">
        <v>16</v>
      </c>
      <c r="F56" s="790" t="s">
        <v>16</v>
      </c>
      <c r="G56" s="790" t="s">
        <v>16</v>
      </c>
      <c r="H56" s="1081"/>
      <c r="I56" s="790" t="s">
        <v>16</v>
      </c>
      <c r="J56" s="790" t="s">
        <v>16</v>
      </c>
      <c r="K56" s="790" t="s">
        <v>16</v>
      </c>
      <c r="L56" s="790" t="s">
        <v>16</v>
      </c>
      <c r="M56" s="790" t="s">
        <v>16</v>
      </c>
      <c r="N56" s="790" t="s">
        <v>16</v>
      </c>
      <c r="O56" s="1081"/>
      <c r="P56" s="790" t="s">
        <v>16</v>
      </c>
      <c r="Q56" s="790" t="s">
        <v>16</v>
      </c>
      <c r="R56" s="790" t="s">
        <v>16</v>
      </c>
      <c r="S56" s="790" t="s">
        <v>16</v>
      </c>
      <c r="T56" s="790" t="s">
        <v>16</v>
      </c>
      <c r="U56" s="790" t="s">
        <v>16</v>
      </c>
    </row>
    <row r="57" spans="1:21" x14ac:dyDescent="0.25">
      <c r="A57" s="1079"/>
      <c r="B57" s="790" t="s">
        <v>16</v>
      </c>
      <c r="C57" s="790" t="s">
        <v>16</v>
      </c>
      <c r="D57" s="790" t="s">
        <v>16</v>
      </c>
      <c r="E57" s="790" t="s">
        <v>16</v>
      </c>
      <c r="F57" s="790" t="s">
        <v>16</v>
      </c>
      <c r="G57" s="790" t="s">
        <v>16</v>
      </c>
      <c r="H57" s="1081"/>
      <c r="I57" s="790" t="s">
        <v>16</v>
      </c>
      <c r="J57" s="790" t="s">
        <v>16</v>
      </c>
      <c r="K57" s="790" t="s">
        <v>16</v>
      </c>
      <c r="L57" s="790" t="s">
        <v>16</v>
      </c>
      <c r="M57" s="790" t="s">
        <v>16</v>
      </c>
      <c r="N57" s="790" t="s">
        <v>16</v>
      </c>
      <c r="O57" s="1081"/>
      <c r="P57" s="790" t="s">
        <v>16</v>
      </c>
      <c r="Q57" s="790" t="s">
        <v>16</v>
      </c>
      <c r="R57" s="790" t="s">
        <v>16</v>
      </c>
      <c r="S57" s="790" t="s">
        <v>16</v>
      </c>
      <c r="T57" s="790" t="s">
        <v>16</v>
      </c>
      <c r="U57" s="790" t="s">
        <v>16</v>
      </c>
    </row>
    <row r="58" spans="1:21" x14ac:dyDescent="0.25">
      <c r="A58" s="1079"/>
      <c r="B58" s="790" t="s">
        <v>16</v>
      </c>
      <c r="C58" s="790" t="s">
        <v>16</v>
      </c>
      <c r="D58" s="790" t="s">
        <v>16</v>
      </c>
      <c r="E58" s="790" t="s">
        <v>16</v>
      </c>
      <c r="F58" s="790" t="s">
        <v>16</v>
      </c>
      <c r="G58" s="790" t="s">
        <v>16</v>
      </c>
      <c r="H58" s="1081"/>
      <c r="I58" s="790" t="s">
        <v>16</v>
      </c>
      <c r="J58" s="790" t="s">
        <v>16</v>
      </c>
      <c r="K58" s="790" t="s">
        <v>16</v>
      </c>
      <c r="L58" s="790" t="s">
        <v>16</v>
      </c>
      <c r="M58" s="790" t="s">
        <v>16</v>
      </c>
      <c r="N58" s="790" t="s">
        <v>16</v>
      </c>
      <c r="O58" s="1081"/>
      <c r="P58" s="790" t="s">
        <v>16</v>
      </c>
      <c r="Q58" s="790" t="s">
        <v>16</v>
      </c>
      <c r="R58" s="790" t="s">
        <v>16</v>
      </c>
      <c r="S58" s="790" t="s">
        <v>16</v>
      </c>
      <c r="T58" s="790" t="s">
        <v>16</v>
      </c>
      <c r="U58" s="790" t="s">
        <v>16</v>
      </c>
    </row>
    <row r="59" spans="1:21" ht="12.75" customHeight="1" x14ac:dyDescent="0.25">
      <c r="A59" s="1079"/>
      <c r="B59" s="1085" t="str">
        <f>B28</f>
        <v>SINE WAVE (µv)</v>
      </c>
      <c r="C59" s="1085"/>
      <c r="D59" s="1085"/>
      <c r="E59" s="1085"/>
      <c r="F59" s="1084" t="s">
        <v>385</v>
      </c>
      <c r="G59" s="1084" t="s">
        <v>251</v>
      </c>
      <c r="H59" s="1081"/>
      <c r="I59" s="1085" t="str">
        <f>B59</f>
        <v>SINE WAVE (µv)</v>
      </c>
      <c r="J59" s="1085"/>
      <c r="K59" s="1085"/>
      <c r="L59" s="1085"/>
      <c r="M59" s="1084" t="s">
        <v>385</v>
      </c>
      <c r="N59" s="1084" t="s">
        <v>251</v>
      </c>
      <c r="O59" s="1081"/>
      <c r="P59" s="1085" t="str">
        <f>I59</f>
        <v>SINE WAVE (µv)</v>
      </c>
      <c r="Q59" s="1085"/>
      <c r="R59" s="1085"/>
      <c r="S59" s="1085"/>
      <c r="T59" s="1084" t="s">
        <v>385</v>
      </c>
      <c r="U59" s="1084" t="s">
        <v>251</v>
      </c>
    </row>
    <row r="60" spans="1:21" ht="14.5" x14ac:dyDescent="0.25">
      <c r="A60" s="1079"/>
      <c r="B60" s="691" t="s">
        <v>390</v>
      </c>
      <c r="C60" s="458">
        <f>C38</f>
        <v>2022</v>
      </c>
      <c r="D60" s="458">
        <f>D38</f>
        <v>2021</v>
      </c>
      <c r="E60" s="458">
        <f>E38</f>
        <v>2019</v>
      </c>
      <c r="F60" s="1084"/>
      <c r="G60" s="1084"/>
      <c r="H60" s="1081"/>
      <c r="I60" s="691" t="s">
        <v>390</v>
      </c>
      <c r="J60" s="458">
        <f>J38</f>
        <v>2022</v>
      </c>
      <c r="K60" s="458">
        <f>K38</f>
        <v>2021</v>
      </c>
      <c r="L60" s="458">
        <f>L38</f>
        <v>2019</v>
      </c>
      <c r="M60" s="1084"/>
      <c r="N60" s="1084"/>
      <c r="O60" s="1081"/>
      <c r="P60" s="691" t="s">
        <v>390</v>
      </c>
      <c r="Q60" s="458">
        <f>Q38</f>
        <v>2023</v>
      </c>
      <c r="R60" s="458">
        <f>R38</f>
        <v>2022</v>
      </c>
      <c r="S60" s="458">
        <f>S38</f>
        <v>2019</v>
      </c>
      <c r="T60" s="1084"/>
      <c r="U60" s="1084"/>
    </row>
    <row r="61" spans="1:21" x14ac:dyDescent="0.25">
      <c r="A61" s="1079"/>
      <c r="B61" s="790" t="s">
        <v>16</v>
      </c>
      <c r="C61" s="790" t="s">
        <v>16</v>
      </c>
      <c r="D61" s="790" t="s">
        <v>16</v>
      </c>
      <c r="E61" s="790" t="s">
        <v>16</v>
      </c>
      <c r="F61" s="790" t="s">
        <v>16</v>
      </c>
      <c r="G61" s="790" t="s">
        <v>16</v>
      </c>
      <c r="H61" s="1081"/>
      <c r="I61" s="790" t="s">
        <v>16</v>
      </c>
      <c r="J61" s="790" t="s">
        <v>16</v>
      </c>
      <c r="K61" s="790" t="s">
        <v>16</v>
      </c>
      <c r="L61" s="790" t="s">
        <v>16</v>
      </c>
      <c r="M61" s="790" t="s">
        <v>16</v>
      </c>
      <c r="N61" s="790" t="s">
        <v>16</v>
      </c>
      <c r="O61" s="1081"/>
      <c r="P61" s="790" t="s">
        <v>16</v>
      </c>
      <c r="Q61" s="790" t="s">
        <v>16</v>
      </c>
      <c r="R61" s="790" t="s">
        <v>16</v>
      </c>
      <c r="S61" s="790" t="s">
        <v>16</v>
      </c>
      <c r="T61" s="790" t="s">
        <v>16</v>
      </c>
      <c r="U61" s="790" t="s">
        <v>16</v>
      </c>
    </row>
    <row r="62" spans="1:21" x14ac:dyDescent="0.25">
      <c r="A62" s="1079"/>
      <c r="B62" s="790" t="s">
        <v>16</v>
      </c>
      <c r="C62" s="790" t="s">
        <v>16</v>
      </c>
      <c r="D62" s="790" t="s">
        <v>16</v>
      </c>
      <c r="E62" s="790" t="s">
        <v>16</v>
      </c>
      <c r="F62" s="790" t="s">
        <v>16</v>
      </c>
      <c r="G62" s="790" t="s">
        <v>16</v>
      </c>
      <c r="H62" s="1081"/>
      <c r="I62" s="790" t="s">
        <v>16</v>
      </c>
      <c r="J62" s="790" t="s">
        <v>16</v>
      </c>
      <c r="K62" s="790" t="s">
        <v>16</v>
      </c>
      <c r="L62" s="790" t="s">
        <v>16</v>
      </c>
      <c r="M62" s="790" t="s">
        <v>16</v>
      </c>
      <c r="N62" s="790" t="s">
        <v>16</v>
      </c>
      <c r="O62" s="1081"/>
      <c r="P62" s="790" t="s">
        <v>16</v>
      </c>
      <c r="Q62" s="790" t="s">
        <v>16</v>
      </c>
      <c r="R62" s="790" t="s">
        <v>16</v>
      </c>
      <c r="S62" s="790" t="s">
        <v>16</v>
      </c>
      <c r="T62" s="790" t="s">
        <v>16</v>
      </c>
      <c r="U62" s="790" t="s">
        <v>16</v>
      </c>
    </row>
    <row r="63" spans="1:21" x14ac:dyDescent="0.25">
      <c r="A63" s="1079"/>
      <c r="B63" s="790" t="s">
        <v>16</v>
      </c>
      <c r="C63" s="790" t="s">
        <v>16</v>
      </c>
      <c r="D63" s="790" t="s">
        <v>16</v>
      </c>
      <c r="E63" s="790" t="s">
        <v>16</v>
      </c>
      <c r="F63" s="790" t="s">
        <v>16</v>
      </c>
      <c r="G63" s="790" t="s">
        <v>16</v>
      </c>
      <c r="H63" s="1081"/>
      <c r="I63" s="790" t="s">
        <v>16</v>
      </c>
      <c r="J63" s="790" t="s">
        <v>16</v>
      </c>
      <c r="K63" s="790" t="s">
        <v>16</v>
      </c>
      <c r="L63" s="790" t="s">
        <v>16</v>
      </c>
      <c r="M63" s="790" t="s">
        <v>16</v>
      </c>
      <c r="N63" s="790" t="s">
        <v>16</v>
      </c>
      <c r="O63" s="1081"/>
      <c r="P63" s="790" t="s">
        <v>16</v>
      </c>
      <c r="Q63" s="790" t="s">
        <v>16</v>
      </c>
      <c r="R63" s="790" t="s">
        <v>16</v>
      </c>
      <c r="S63" s="790" t="s">
        <v>16</v>
      </c>
      <c r="T63" s="790" t="s">
        <v>16</v>
      </c>
      <c r="U63" s="790" t="s">
        <v>16</v>
      </c>
    </row>
    <row r="64" spans="1:21" x14ac:dyDescent="0.25">
      <c r="A64" s="1079"/>
      <c r="B64" s="790" t="s">
        <v>16</v>
      </c>
      <c r="C64" s="790" t="s">
        <v>16</v>
      </c>
      <c r="D64" s="790" t="s">
        <v>16</v>
      </c>
      <c r="E64" s="790" t="s">
        <v>16</v>
      </c>
      <c r="F64" s="790" t="s">
        <v>16</v>
      </c>
      <c r="G64" s="790" t="s">
        <v>16</v>
      </c>
      <c r="H64" s="1081"/>
      <c r="I64" s="790" t="s">
        <v>16</v>
      </c>
      <c r="J64" s="790" t="s">
        <v>16</v>
      </c>
      <c r="K64" s="790" t="s">
        <v>16</v>
      </c>
      <c r="L64" s="790" t="s">
        <v>16</v>
      </c>
      <c r="M64" s="790" t="s">
        <v>16</v>
      </c>
      <c r="N64" s="790" t="s">
        <v>16</v>
      </c>
      <c r="O64" s="1081"/>
      <c r="P64" s="790" t="s">
        <v>16</v>
      </c>
      <c r="Q64" s="790" t="s">
        <v>16</v>
      </c>
      <c r="R64" s="790" t="s">
        <v>16</v>
      </c>
      <c r="S64" s="790" t="s">
        <v>16</v>
      </c>
      <c r="T64" s="790" t="s">
        <v>16</v>
      </c>
      <c r="U64" s="790" t="s">
        <v>16</v>
      </c>
    </row>
    <row r="65" spans="1:21" ht="15.5" x14ac:dyDescent="0.25">
      <c r="A65" s="496"/>
      <c r="B65" s="276"/>
      <c r="C65" s="276"/>
      <c r="D65" s="497"/>
      <c r="E65" s="497"/>
      <c r="F65" s="497"/>
      <c r="H65" s="498"/>
      <c r="I65" s="499"/>
      <c r="J65" s="276"/>
      <c r="K65" s="497"/>
      <c r="L65" s="497"/>
      <c r="M65" s="497"/>
      <c r="O65" s="498"/>
      <c r="P65" s="276"/>
      <c r="Q65" s="276"/>
      <c r="T65" s="494"/>
    </row>
    <row r="66" spans="1:21" ht="15.5" x14ac:dyDescent="0.25">
      <c r="A66" s="1092"/>
      <c r="B66" s="1093"/>
      <c r="C66" s="1093"/>
      <c r="D66" s="1093"/>
      <c r="E66" s="1093"/>
      <c r="F66" s="1093"/>
      <c r="G66" s="1093"/>
      <c r="H66" s="1093"/>
      <c r="I66" s="1093"/>
      <c r="J66" s="1093"/>
      <c r="K66" s="1093"/>
      <c r="L66" s="1093"/>
      <c r="M66" s="1093"/>
      <c r="N66" s="1093"/>
      <c r="O66" s="1093"/>
      <c r="P66" s="1093"/>
      <c r="Q66" s="1093"/>
      <c r="R66" s="1093"/>
      <c r="S66" s="1093"/>
      <c r="T66" s="1093"/>
      <c r="U66" s="1093"/>
    </row>
    <row r="67" spans="1:21" ht="15.5" x14ac:dyDescent="0.25">
      <c r="A67" s="1092"/>
      <c r="B67" s="1093"/>
      <c r="C67" s="1093"/>
      <c r="D67" s="1093"/>
      <c r="E67" s="1093"/>
      <c r="F67" s="1093"/>
      <c r="G67" s="1093"/>
      <c r="H67" s="1093"/>
      <c r="I67" s="1093"/>
      <c r="J67" s="1093"/>
      <c r="K67" s="1093"/>
      <c r="L67" s="1093"/>
      <c r="M67" s="1093"/>
      <c r="N67" s="1093"/>
      <c r="O67" s="1093"/>
      <c r="P67" s="1093"/>
      <c r="Q67" s="1093"/>
      <c r="R67" s="1093"/>
      <c r="S67" s="1093"/>
      <c r="T67" s="1093"/>
      <c r="U67" s="1093"/>
    </row>
    <row r="68" spans="1:21" x14ac:dyDescent="0.25">
      <c r="A68" s="505"/>
      <c r="B68" s="280"/>
      <c r="C68" s="280"/>
      <c r="D68" s="506"/>
      <c r="E68" s="506"/>
      <c r="F68" s="506"/>
      <c r="G68" s="506"/>
      <c r="H68" s="506"/>
      <c r="I68" s="506"/>
      <c r="J68" s="506"/>
      <c r="K68" s="506"/>
      <c r="L68" s="506"/>
      <c r="M68" s="506"/>
      <c r="N68" s="506"/>
      <c r="O68" s="506"/>
      <c r="P68" s="506"/>
      <c r="Q68" s="506"/>
    </row>
    <row r="69" spans="1:21" ht="14" x14ac:dyDescent="0.3">
      <c r="A69" s="1072" t="s">
        <v>404</v>
      </c>
      <c r="B69" s="1073"/>
      <c r="C69" s="1074" t="str">
        <f>B36</f>
        <v>SERTIFIKAT</v>
      </c>
      <c r="D69" s="1074"/>
      <c r="E69" s="1074"/>
      <c r="F69" s="1074"/>
      <c r="G69" s="1074"/>
      <c r="H69" s="1074"/>
      <c r="J69" s="1072" t="str">
        <f>A69</f>
        <v>No. Urut</v>
      </c>
      <c r="K69" s="1073"/>
      <c r="L69" s="1094" t="str">
        <f>C69</f>
        <v>SERTIFIKAT</v>
      </c>
      <c r="M69" s="1095"/>
      <c r="N69" s="1095"/>
      <c r="O69" s="1096"/>
      <c r="P69" s="695"/>
      <c r="Q69" s="695"/>
    </row>
    <row r="70" spans="1:21" ht="13" customHeight="1" x14ac:dyDescent="0.25">
      <c r="A70" s="1072"/>
      <c r="B70" s="1073"/>
      <c r="C70" s="1075" t="str">
        <f>B4</f>
        <v>SINE WAVE (Hz)</v>
      </c>
      <c r="D70" s="1075"/>
      <c r="E70" s="1075"/>
      <c r="F70" s="1075"/>
      <c r="G70" s="507" t="s">
        <v>385</v>
      </c>
      <c r="H70" s="507" t="s">
        <v>251</v>
      </c>
      <c r="J70" s="1072"/>
      <c r="K70" s="1073"/>
      <c r="L70" s="1091" t="str">
        <f>B12</f>
        <v>SQUARE WAVE (µv)</v>
      </c>
      <c r="M70" s="1091"/>
      <c r="N70" s="1091"/>
      <c r="O70" s="1091"/>
      <c r="P70" s="507" t="s">
        <v>385</v>
      </c>
      <c r="Q70" s="507" t="s">
        <v>251</v>
      </c>
    </row>
    <row r="71" spans="1:21" ht="14" x14ac:dyDescent="0.25">
      <c r="A71" s="1072"/>
      <c r="B71" s="1073"/>
      <c r="C71" s="691" t="s">
        <v>432</v>
      </c>
      <c r="D71" s="507"/>
      <c r="E71" s="507"/>
      <c r="F71" s="487"/>
      <c r="G71" s="507"/>
      <c r="H71" s="507"/>
      <c r="J71" s="1072"/>
      <c r="K71" s="1073"/>
      <c r="L71" s="691" t="s">
        <v>484</v>
      </c>
      <c r="M71" s="507"/>
      <c r="N71" s="507"/>
      <c r="O71" s="487"/>
      <c r="P71" s="507"/>
      <c r="Q71" s="507"/>
    </row>
    <row r="72" spans="1:21" ht="14" x14ac:dyDescent="0.25">
      <c r="A72" s="1076" t="s">
        <v>95</v>
      </c>
      <c r="B72" s="697">
        <v>1</v>
      </c>
      <c r="C72" s="697">
        <f>B6</f>
        <v>0</v>
      </c>
      <c r="D72" s="697">
        <f>C6</f>
        <v>0</v>
      </c>
      <c r="E72" s="697">
        <f t="shared" ref="E72:F72" si="15">D6</f>
        <v>0</v>
      </c>
      <c r="F72" s="697" t="str">
        <f t="shared" si="15"/>
        <v>-</v>
      </c>
      <c r="G72" s="697">
        <f>F6</f>
        <v>0</v>
      </c>
      <c r="H72" s="697">
        <f>G6</f>
        <v>5.0000000000000002E-5</v>
      </c>
      <c r="I72" s="697"/>
      <c r="J72" s="697" t="s">
        <v>95</v>
      </c>
      <c r="K72" s="697">
        <v>1</v>
      </c>
      <c r="L72" s="697">
        <f>B14</f>
        <v>0</v>
      </c>
      <c r="M72" s="697">
        <f t="shared" ref="M72:P72" si="16">C14</f>
        <v>0</v>
      </c>
      <c r="N72" s="697">
        <f t="shared" si="16"/>
        <v>0</v>
      </c>
      <c r="O72" s="697" t="str">
        <f t="shared" si="16"/>
        <v>-</v>
      </c>
      <c r="P72" s="697">
        <f t="shared" si="16"/>
        <v>0</v>
      </c>
      <c r="Q72" s="697">
        <f>G14</f>
        <v>0</v>
      </c>
    </row>
    <row r="73" spans="1:21" ht="14" x14ac:dyDescent="0.25">
      <c r="A73" s="1076"/>
      <c r="B73" s="697">
        <v>2</v>
      </c>
      <c r="C73" s="697">
        <f t="shared" ref="C73:H73" si="17">I6</f>
        <v>0</v>
      </c>
      <c r="D73" s="697">
        <f t="shared" si="17"/>
        <v>0</v>
      </c>
      <c r="E73" s="697">
        <f t="shared" si="17"/>
        <v>0</v>
      </c>
      <c r="F73" s="697" t="str">
        <f t="shared" si="17"/>
        <v>-</v>
      </c>
      <c r="G73" s="697">
        <f t="shared" si="17"/>
        <v>0</v>
      </c>
      <c r="H73" s="697">
        <f t="shared" si="17"/>
        <v>5.0000000000000002E-5</v>
      </c>
      <c r="I73" s="697"/>
      <c r="J73" s="697"/>
      <c r="K73" s="697">
        <v>2</v>
      </c>
      <c r="L73" s="697">
        <f>I14</f>
        <v>0</v>
      </c>
      <c r="M73" s="697">
        <f t="shared" ref="M73:Q73" si="18">J14</f>
        <v>0</v>
      </c>
      <c r="N73" s="697">
        <f t="shared" si="18"/>
        <v>0</v>
      </c>
      <c r="O73" s="697" t="str">
        <f t="shared" si="18"/>
        <v>-</v>
      </c>
      <c r="P73" s="697">
        <f t="shared" si="18"/>
        <v>0</v>
      </c>
      <c r="Q73" s="697">
        <f t="shared" si="18"/>
        <v>0</v>
      </c>
    </row>
    <row r="74" spans="1:21" ht="14" x14ac:dyDescent="0.25">
      <c r="A74" s="1076"/>
      <c r="B74" s="698">
        <v>3</v>
      </c>
      <c r="C74" s="697" t="str">
        <f t="shared" ref="C74:H74" si="19">P6</f>
        <v>-</v>
      </c>
      <c r="D74" s="697" t="str">
        <f t="shared" si="19"/>
        <v>-</v>
      </c>
      <c r="E74" s="697" t="str">
        <f t="shared" si="19"/>
        <v>-</v>
      </c>
      <c r="F74" s="697" t="str">
        <f t="shared" si="19"/>
        <v>-</v>
      </c>
      <c r="G74" s="697" t="str">
        <f t="shared" si="19"/>
        <v>-</v>
      </c>
      <c r="H74" s="697" t="str">
        <f t="shared" si="19"/>
        <v>-</v>
      </c>
      <c r="I74" s="697"/>
      <c r="J74" s="697"/>
      <c r="K74" s="697">
        <v>3</v>
      </c>
      <c r="L74" s="697" t="str">
        <f t="shared" ref="L74:Q74" si="20">P14</f>
        <v>-</v>
      </c>
      <c r="M74" s="697" t="str">
        <f t="shared" si="20"/>
        <v>-</v>
      </c>
      <c r="N74" s="697" t="str">
        <f t="shared" si="20"/>
        <v>-</v>
      </c>
      <c r="O74" s="697" t="str">
        <f t="shared" si="20"/>
        <v>-</v>
      </c>
      <c r="P74" s="697" t="str">
        <f t="shared" si="20"/>
        <v>-</v>
      </c>
      <c r="Q74" s="697" t="str">
        <f t="shared" si="20"/>
        <v>-</v>
      </c>
    </row>
    <row r="75" spans="1:21" ht="14" x14ac:dyDescent="0.25">
      <c r="A75" s="1076"/>
      <c r="B75" s="698">
        <v>4</v>
      </c>
      <c r="C75" s="697" t="str">
        <f t="shared" ref="C75:H75" si="21">B39</f>
        <v>-</v>
      </c>
      <c r="D75" s="697" t="str">
        <f t="shared" si="21"/>
        <v>-</v>
      </c>
      <c r="E75" s="697" t="str">
        <f t="shared" si="21"/>
        <v>-</v>
      </c>
      <c r="F75" s="697" t="str">
        <f t="shared" si="21"/>
        <v>-</v>
      </c>
      <c r="G75" s="697" t="str">
        <f t="shared" si="21"/>
        <v>-</v>
      </c>
      <c r="H75" s="697" t="str">
        <f t="shared" si="21"/>
        <v>-</v>
      </c>
      <c r="I75" s="697"/>
      <c r="J75" s="697"/>
      <c r="K75" s="697">
        <v>4</v>
      </c>
      <c r="L75" s="697" t="str">
        <f t="shared" ref="L75:Q75" si="22">B47</f>
        <v>-</v>
      </c>
      <c r="M75" s="697" t="str">
        <f t="shared" si="22"/>
        <v>-</v>
      </c>
      <c r="N75" s="697" t="str">
        <f t="shared" si="22"/>
        <v>-</v>
      </c>
      <c r="O75" s="697" t="str">
        <f t="shared" si="22"/>
        <v>-</v>
      </c>
      <c r="P75" s="697" t="str">
        <f t="shared" si="22"/>
        <v>-</v>
      </c>
      <c r="Q75" s="697" t="str">
        <f t="shared" si="22"/>
        <v>-</v>
      </c>
    </row>
    <row r="76" spans="1:21" ht="14" x14ac:dyDescent="0.25">
      <c r="A76" s="1076"/>
      <c r="B76" s="508">
        <v>5</v>
      </c>
      <c r="C76" s="697" t="str">
        <f t="shared" ref="C76:H76" si="23">I39</f>
        <v>-</v>
      </c>
      <c r="D76" s="697" t="str">
        <f t="shared" si="23"/>
        <v>-</v>
      </c>
      <c r="E76" s="697" t="str">
        <f t="shared" si="23"/>
        <v>-</v>
      </c>
      <c r="F76" s="697" t="str">
        <f t="shared" si="23"/>
        <v>-</v>
      </c>
      <c r="G76" s="697" t="str">
        <f t="shared" si="23"/>
        <v>-</v>
      </c>
      <c r="H76" s="697" t="str">
        <f t="shared" si="23"/>
        <v>-</v>
      </c>
      <c r="I76" s="697"/>
      <c r="J76" s="697"/>
      <c r="K76" s="697">
        <v>5</v>
      </c>
      <c r="L76" s="697" t="str">
        <f t="shared" ref="L76:Q76" si="24">I47</f>
        <v>-</v>
      </c>
      <c r="M76" s="697" t="str">
        <f t="shared" si="24"/>
        <v>-</v>
      </c>
      <c r="N76" s="697" t="str">
        <f t="shared" si="24"/>
        <v>-</v>
      </c>
      <c r="O76" s="697" t="str">
        <f t="shared" si="24"/>
        <v>-</v>
      </c>
      <c r="P76" s="697" t="str">
        <f t="shared" si="24"/>
        <v>-</v>
      </c>
      <c r="Q76" s="697" t="str">
        <f t="shared" si="24"/>
        <v>-</v>
      </c>
    </row>
    <row r="77" spans="1:21" ht="14" x14ac:dyDescent="0.25">
      <c r="A77" s="1076"/>
      <c r="B77" s="508">
        <v>6</v>
      </c>
      <c r="C77" s="697" t="str">
        <f t="shared" ref="C77:H77" si="25">P39</f>
        <v>-</v>
      </c>
      <c r="D77" s="697" t="str">
        <f t="shared" si="25"/>
        <v>-</v>
      </c>
      <c r="E77" s="697" t="str">
        <f t="shared" si="25"/>
        <v>-</v>
      </c>
      <c r="F77" s="697" t="str">
        <f t="shared" si="25"/>
        <v>-</v>
      </c>
      <c r="G77" s="697" t="str">
        <f t="shared" si="25"/>
        <v>-</v>
      </c>
      <c r="H77" s="697" t="str">
        <f t="shared" si="25"/>
        <v>-</v>
      </c>
      <c r="I77" s="697"/>
      <c r="J77" s="697"/>
      <c r="K77" s="697">
        <v>6</v>
      </c>
      <c r="L77" s="697" t="str">
        <f t="shared" ref="L77:Q77" si="26">P47</f>
        <v>-</v>
      </c>
      <c r="M77" s="697" t="str">
        <f t="shared" si="26"/>
        <v>-</v>
      </c>
      <c r="N77" s="697" t="str">
        <f t="shared" si="26"/>
        <v>-</v>
      </c>
      <c r="O77" s="697" t="str">
        <f t="shared" si="26"/>
        <v>-</v>
      </c>
      <c r="P77" s="697" t="str">
        <f t="shared" si="26"/>
        <v>-</v>
      </c>
      <c r="Q77" s="697" t="str">
        <f t="shared" si="26"/>
        <v>-</v>
      </c>
    </row>
    <row r="78" spans="1:21" s="485" customFormat="1" ht="14" x14ac:dyDescent="0.25">
      <c r="A78" s="509"/>
      <c r="B78" s="509"/>
      <c r="C78" s="697"/>
      <c r="D78" s="697"/>
      <c r="E78" s="697"/>
      <c r="F78" s="697"/>
      <c r="G78" s="697"/>
      <c r="H78" s="697"/>
      <c r="I78" s="697"/>
      <c r="J78" s="697"/>
      <c r="K78" s="697"/>
      <c r="L78" s="697"/>
      <c r="M78" s="697"/>
      <c r="N78" s="697"/>
      <c r="O78" s="697"/>
      <c r="P78" s="697"/>
      <c r="Q78" s="697"/>
    </row>
    <row r="79" spans="1:21" ht="14" x14ac:dyDescent="0.25">
      <c r="A79" s="1076" t="s">
        <v>96</v>
      </c>
      <c r="B79" s="697">
        <v>1</v>
      </c>
      <c r="C79" s="697">
        <f>B7</f>
        <v>10</v>
      </c>
      <c r="D79" s="697">
        <f t="shared" ref="D79:H79" si="27">C7</f>
        <v>1E-3</v>
      </c>
      <c r="E79" s="697">
        <f t="shared" si="27"/>
        <v>0</v>
      </c>
      <c r="F79" s="697" t="str">
        <f t="shared" si="27"/>
        <v>-</v>
      </c>
      <c r="G79" s="697">
        <f t="shared" si="27"/>
        <v>5.0000000000000001E-4</v>
      </c>
      <c r="H79" s="697">
        <f t="shared" si="27"/>
        <v>5.0000000000000002E-5</v>
      </c>
      <c r="I79" s="697"/>
      <c r="J79" s="697" t="s">
        <v>96</v>
      </c>
      <c r="K79" s="697">
        <v>1</v>
      </c>
      <c r="L79" s="697">
        <f>B15</f>
        <v>0.1</v>
      </c>
      <c r="M79" s="697">
        <f t="shared" ref="M79:Q79" si="28">C15</f>
        <v>1.0000000000000001E-5</v>
      </c>
      <c r="N79" s="697">
        <f t="shared" si="28"/>
        <v>0</v>
      </c>
      <c r="O79" s="697" t="str">
        <f t="shared" si="28"/>
        <v>-</v>
      </c>
      <c r="P79" s="697">
        <f t="shared" si="28"/>
        <v>5.0000000000000004E-6</v>
      </c>
      <c r="Q79" s="697">
        <f t="shared" si="28"/>
        <v>1E-3</v>
      </c>
    </row>
    <row r="80" spans="1:21" ht="14" x14ac:dyDescent="0.25">
      <c r="A80" s="1076"/>
      <c r="B80" s="697">
        <v>2</v>
      </c>
      <c r="C80" s="697">
        <f>I7</f>
        <v>10</v>
      </c>
      <c r="D80" s="697">
        <f t="shared" ref="D80:H80" si="29">J7</f>
        <v>1E-3</v>
      </c>
      <c r="E80" s="697">
        <f t="shared" si="29"/>
        <v>0</v>
      </c>
      <c r="F80" s="697" t="str">
        <f t="shared" si="29"/>
        <v>-</v>
      </c>
      <c r="G80" s="697">
        <f t="shared" si="29"/>
        <v>5.0000000000000001E-4</v>
      </c>
      <c r="H80" s="697">
        <f t="shared" si="29"/>
        <v>5.0000000000000002E-5</v>
      </c>
      <c r="I80" s="697"/>
      <c r="J80" s="697"/>
      <c r="K80" s="697">
        <v>2</v>
      </c>
      <c r="L80" s="697">
        <f>I15</f>
        <v>0.1</v>
      </c>
      <c r="M80" s="697">
        <f t="shared" ref="M80:Q80" si="30">J15</f>
        <v>1.0000000000000001E-5</v>
      </c>
      <c r="N80" s="697">
        <f t="shared" si="30"/>
        <v>0</v>
      </c>
      <c r="O80" s="697" t="str">
        <f t="shared" si="30"/>
        <v>-</v>
      </c>
      <c r="P80" s="697">
        <f t="shared" si="30"/>
        <v>5.0000000000000004E-6</v>
      </c>
      <c r="Q80" s="697">
        <f t="shared" si="30"/>
        <v>1E-3</v>
      </c>
    </row>
    <row r="81" spans="1:17" ht="14" x14ac:dyDescent="0.25">
      <c r="A81" s="1076"/>
      <c r="B81" s="698">
        <v>3</v>
      </c>
      <c r="C81" s="697" t="str">
        <f>P7</f>
        <v>-</v>
      </c>
      <c r="D81" s="697" t="str">
        <f t="shared" ref="D81:H81" si="31">Q7</f>
        <v>-</v>
      </c>
      <c r="E81" s="697" t="str">
        <f t="shared" si="31"/>
        <v>-</v>
      </c>
      <c r="F81" s="697" t="str">
        <f t="shared" si="31"/>
        <v>-</v>
      </c>
      <c r="G81" s="697" t="str">
        <f t="shared" si="31"/>
        <v>-</v>
      </c>
      <c r="H81" s="697" t="str">
        <f t="shared" si="31"/>
        <v>-</v>
      </c>
      <c r="I81" s="697"/>
      <c r="J81" s="697"/>
      <c r="K81" s="697">
        <v>3</v>
      </c>
      <c r="L81" s="697" t="str">
        <f t="shared" ref="L81:Q81" si="32">P15</f>
        <v>-</v>
      </c>
      <c r="M81" s="697" t="str">
        <f t="shared" si="32"/>
        <v>-</v>
      </c>
      <c r="N81" s="697" t="str">
        <f t="shared" si="32"/>
        <v>-</v>
      </c>
      <c r="O81" s="697" t="str">
        <f t="shared" si="32"/>
        <v>-</v>
      </c>
      <c r="P81" s="697" t="str">
        <f t="shared" si="32"/>
        <v>-</v>
      </c>
      <c r="Q81" s="697" t="str">
        <f t="shared" si="32"/>
        <v>-</v>
      </c>
    </row>
    <row r="82" spans="1:17" ht="14" x14ac:dyDescent="0.25">
      <c r="A82" s="1076"/>
      <c r="B82" s="698">
        <v>4</v>
      </c>
      <c r="C82" s="697" t="str">
        <f t="shared" ref="C82:H82" si="33">B40</f>
        <v>-</v>
      </c>
      <c r="D82" s="697" t="str">
        <f t="shared" si="33"/>
        <v>-</v>
      </c>
      <c r="E82" s="697" t="str">
        <f t="shared" si="33"/>
        <v>-</v>
      </c>
      <c r="F82" s="697" t="str">
        <f t="shared" si="33"/>
        <v>-</v>
      </c>
      <c r="G82" s="697" t="str">
        <f t="shared" si="33"/>
        <v>-</v>
      </c>
      <c r="H82" s="697" t="str">
        <f t="shared" si="33"/>
        <v>-</v>
      </c>
      <c r="I82" s="697"/>
      <c r="J82" s="697"/>
      <c r="K82" s="697">
        <v>4</v>
      </c>
      <c r="L82" s="697" t="str">
        <f t="shared" ref="L82:Q82" si="34">B48</f>
        <v>-</v>
      </c>
      <c r="M82" s="697" t="str">
        <f t="shared" si="34"/>
        <v>-</v>
      </c>
      <c r="N82" s="697" t="str">
        <f t="shared" si="34"/>
        <v>-</v>
      </c>
      <c r="O82" s="697" t="str">
        <f t="shared" si="34"/>
        <v>-</v>
      </c>
      <c r="P82" s="697" t="str">
        <f t="shared" si="34"/>
        <v>-</v>
      </c>
      <c r="Q82" s="697" t="str">
        <f t="shared" si="34"/>
        <v>-</v>
      </c>
    </row>
    <row r="83" spans="1:17" ht="14" x14ac:dyDescent="0.25">
      <c r="A83" s="1076"/>
      <c r="B83" s="508">
        <v>5</v>
      </c>
      <c r="C83" s="697" t="str">
        <f t="shared" ref="C83:H83" si="35">I40</f>
        <v>-</v>
      </c>
      <c r="D83" s="697" t="str">
        <f t="shared" si="35"/>
        <v>-</v>
      </c>
      <c r="E83" s="697" t="str">
        <f t="shared" si="35"/>
        <v>-</v>
      </c>
      <c r="F83" s="697" t="str">
        <f t="shared" si="35"/>
        <v>-</v>
      </c>
      <c r="G83" s="697" t="str">
        <f t="shared" si="35"/>
        <v>-</v>
      </c>
      <c r="H83" s="697" t="str">
        <f t="shared" si="35"/>
        <v>-</v>
      </c>
      <c r="I83" s="697"/>
      <c r="J83" s="697"/>
      <c r="K83" s="697">
        <v>5</v>
      </c>
      <c r="L83" s="697" t="str">
        <f t="shared" ref="L83:Q83" si="36">I48</f>
        <v>-</v>
      </c>
      <c r="M83" s="697" t="str">
        <f t="shared" si="36"/>
        <v>-</v>
      </c>
      <c r="N83" s="697" t="str">
        <f t="shared" si="36"/>
        <v>-</v>
      </c>
      <c r="O83" s="697" t="str">
        <f t="shared" si="36"/>
        <v>-</v>
      </c>
      <c r="P83" s="697" t="str">
        <f t="shared" si="36"/>
        <v>-</v>
      </c>
      <c r="Q83" s="697" t="str">
        <f t="shared" si="36"/>
        <v>-</v>
      </c>
    </row>
    <row r="84" spans="1:17" ht="14" x14ac:dyDescent="0.25">
      <c r="A84" s="1076"/>
      <c r="B84" s="508">
        <v>6</v>
      </c>
      <c r="C84" s="697" t="str">
        <f t="shared" ref="C84:H84" si="37">P40</f>
        <v>-</v>
      </c>
      <c r="D84" s="697" t="str">
        <f t="shared" si="37"/>
        <v>-</v>
      </c>
      <c r="E84" s="697" t="str">
        <f t="shared" si="37"/>
        <v>-</v>
      </c>
      <c r="F84" s="697" t="str">
        <f t="shared" si="37"/>
        <v>-</v>
      </c>
      <c r="G84" s="697" t="str">
        <f t="shared" si="37"/>
        <v>-</v>
      </c>
      <c r="H84" s="697" t="str">
        <f t="shared" si="37"/>
        <v>-</v>
      </c>
      <c r="I84" s="697"/>
      <c r="J84" s="697"/>
      <c r="K84" s="697">
        <v>6</v>
      </c>
      <c r="L84" s="697" t="str">
        <f t="shared" ref="L84:Q84" si="38">P48</f>
        <v>-</v>
      </c>
      <c r="M84" s="697" t="str">
        <f t="shared" si="38"/>
        <v>-</v>
      </c>
      <c r="N84" s="697" t="str">
        <f t="shared" si="38"/>
        <v>-</v>
      </c>
      <c r="O84" s="697" t="str">
        <f t="shared" si="38"/>
        <v>-</v>
      </c>
      <c r="P84" s="697" t="str">
        <f t="shared" si="38"/>
        <v>-</v>
      </c>
      <c r="Q84" s="697" t="str">
        <f t="shared" si="38"/>
        <v>-</v>
      </c>
    </row>
    <row r="85" spans="1:17" s="485" customFormat="1" ht="14" x14ac:dyDescent="0.25">
      <c r="A85" s="509"/>
      <c r="B85" s="509"/>
      <c r="C85" s="697"/>
      <c r="D85" s="697"/>
      <c r="E85" s="697"/>
      <c r="F85" s="697"/>
      <c r="G85" s="697"/>
      <c r="H85" s="697"/>
      <c r="I85" s="697"/>
      <c r="J85" s="697"/>
      <c r="K85" s="697"/>
      <c r="L85" s="697"/>
      <c r="M85" s="697"/>
      <c r="N85" s="697"/>
      <c r="O85" s="697"/>
      <c r="P85" s="697"/>
      <c r="Q85" s="697"/>
    </row>
    <row r="86" spans="1:17" ht="14" x14ac:dyDescent="0.25">
      <c r="A86" s="1076" t="s">
        <v>97</v>
      </c>
      <c r="B86" s="697">
        <v>1</v>
      </c>
      <c r="C86" s="697">
        <f>B8</f>
        <v>30</v>
      </c>
      <c r="D86" s="697">
        <f t="shared" ref="D86:H86" si="39">C8</f>
        <v>3.0000000000000001E-3</v>
      </c>
      <c r="E86" s="697">
        <f t="shared" si="39"/>
        <v>0</v>
      </c>
      <c r="F86" s="697" t="str">
        <f t="shared" si="39"/>
        <v>-</v>
      </c>
      <c r="G86" s="697">
        <f t="shared" si="39"/>
        <v>1.5E-3</v>
      </c>
      <c r="H86" s="697">
        <f t="shared" si="39"/>
        <v>5.0000000000000002E-5</v>
      </c>
      <c r="I86" s="697"/>
      <c r="J86" s="697" t="s">
        <v>97</v>
      </c>
      <c r="K86" s="697">
        <v>1</v>
      </c>
      <c r="L86" s="697">
        <f>B16</f>
        <v>2</v>
      </c>
      <c r="M86" s="697">
        <f t="shared" ref="M86:P86" si="40">C16</f>
        <v>2.0000000000000001E-4</v>
      </c>
      <c r="N86" s="697">
        <f t="shared" si="40"/>
        <v>0</v>
      </c>
      <c r="O86" s="697" t="str">
        <f t="shared" si="40"/>
        <v>-</v>
      </c>
      <c r="P86" s="697">
        <f t="shared" si="40"/>
        <v>1E-4</v>
      </c>
      <c r="Q86" s="697">
        <f>G16</f>
        <v>0.02</v>
      </c>
    </row>
    <row r="87" spans="1:17" ht="14" x14ac:dyDescent="0.25">
      <c r="A87" s="1076"/>
      <c r="B87" s="697">
        <v>2</v>
      </c>
      <c r="C87" s="697">
        <f>I8</f>
        <v>30</v>
      </c>
      <c r="D87" s="697">
        <f t="shared" ref="D87:H87" si="41">J8</f>
        <v>3.0000000000000001E-3</v>
      </c>
      <c r="E87" s="697">
        <f t="shared" si="41"/>
        <v>0</v>
      </c>
      <c r="F87" s="697" t="str">
        <f t="shared" si="41"/>
        <v>-</v>
      </c>
      <c r="G87" s="697">
        <f t="shared" si="41"/>
        <v>1.5E-3</v>
      </c>
      <c r="H87" s="697">
        <f t="shared" si="41"/>
        <v>5.0000000000000002E-5</v>
      </c>
      <c r="I87" s="697"/>
      <c r="J87" s="697"/>
      <c r="K87" s="697">
        <v>2</v>
      </c>
      <c r="L87" s="697">
        <f>I16</f>
        <v>2</v>
      </c>
      <c r="M87" s="697">
        <f t="shared" ref="M87:P87" si="42">J16</f>
        <v>2.0000000000000001E-4</v>
      </c>
      <c r="N87" s="697">
        <f t="shared" si="42"/>
        <v>0</v>
      </c>
      <c r="O87" s="697" t="str">
        <f t="shared" si="42"/>
        <v>-</v>
      </c>
      <c r="P87" s="697">
        <f t="shared" si="42"/>
        <v>1E-4</v>
      </c>
      <c r="Q87" s="697">
        <f>N16</f>
        <v>0.02</v>
      </c>
    </row>
    <row r="88" spans="1:17" ht="14" x14ac:dyDescent="0.25">
      <c r="A88" s="1076"/>
      <c r="B88" s="698">
        <v>3</v>
      </c>
      <c r="C88" s="697" t="str">
        <f>P8</f>
        <v>-</v>
      </c>
      <c r="D88" s="697" t="str">
        <f t="shared" ref="D88:H88" si="43">Q8</f>
        <v>-</v>
      </c>
      <c r="E88" s="697" t="str">
        <f t="shared" si="43"/>
        <v>-</v>
      </c>
      <c r="F88" s="697" t="str">
        <f t="shared" si="43"/>
        <v>-</v>
      </c>
      <c r="G88" s="697" t="str">
        <f t="shared" si="43"/>
        <v>-</v>
      </c>
      <c r="H88" s="697" t="str">
        <f t="shared" si="43"/>
        <v>-</v>
      </c>
      <c r="I88" s="697"/>
      <c r="J88" s="697"/>
      <c r="K88" s="697">
        <v>3</v>
      </c>
      <c r="L88" s="697" t="str">
        <f t="shared" ref="L88:Q88" si="44">P16</f>
        <v>-</v>
      </c>
      <c r="M88" s="697" t="str">
        <f t="shared" si="44"/>
        <v>-</v>
      </c>
      <c r="N88" s="697" t="str">
        <f t="shared" si="44"/>
        <v>-</v>
      </c>
      <c r="O88" s="697" t="str">
        <f t="shared" si="44"/>
        <v>-</v>
      </c>
      <c r="P88" s="697" t="str">
        <f t="shared" si="44"/>
        <v>-</v>
      </c>
      <c r="Q88" s="697" t="str">
        <f t="shared" si="44"/>
        <v>-</v>
      </c>
    </row>
    <row r="89" spans="1:17" ht="14" x14ac:dyDescent="0.25">
      <c r="A89" s="1076"/>
      <c r="B89" s="698">
        <v>4</v>
      </c>
      <c r="C89" s="697" t="str">
        <f t="shared" ref="C89:H89" si="45">B41</f>
        <v>-</v>
      </c>
      <c r="D89" s="697" t="str">
        <f t="shared" si="45"/>
        <v>-</v>
      </c>
      <c r="E89" s="697" t="str">
        <f t="shared" si="45"/>
        <v>-</v>
      </c>
      <c r="F89" s="697" t="str">
        <f t="shared" si="45"/>
        <v>-</v>
      </c>
      <c r="G89" s="697" t="str">
        <f t="shared" si="45"/>
        <v>-</v>
      </c>
      <c r="H89" s="697" t="str">
        <f t="shared" si="45"/>
        <v>-</v>
      </c>
      <c r="I89" s="697"/>
      <c r="J89" s="697"/>
      <c r="K89" s="697">
        <v>4</v>
      </c>
      <c r="L89" s="697" t="str">
        <f t="shared" ref="L89:Q89" si="46">B49</f>
        <v>-</v>
      </c>
      <c r="M89" s="697" t="str">
        <f t="shared" si="46"/>
        <v>-</v>
      </c>
      <c r="N89" s="697" t="str">
        <f t="shared" si="46"/>
        <v>-</v>
      </c>
      <c r="O89" s="697" t="str">
        <f t="shared" si="46"/>
        <v>-</v>
      </c>
      <c r="P89" s="697" t="str">
        <f t="shared" si="46"/>
        <v>-</v>
      </c>
      <c r="Q89" s="697" t="str">
        <f t="shared" si="46"/>
        <v>-</v>
      </c>
    </row>
    <row r="90" spans="1:17" ht="14" x14ac:dyDescent="0.25">
      <c r="A90" s="1076"/>
      <c r="B90" s="508">
        <v>5</v>
      </c>
      <c r="C90" s="697" t="str">
        <f t="shared" ref="C90:H90" si="47">I41</f>
        <v>-</v>
      </c>
      <c r="D90" s="697" t="str">
        <f t="shared" si="47"/>
        <v>-</v>
      </c>
      <c r="E90" s="697" t="str">
        <f t="shared" si="47"/>
        <v>-</v>
      </c>
      <c r="F90" s="697" t="str">
        <f t="shared" si="47"/>
        <v>-</v>
      </c>
      <c r="G90" s="697" t="str">
        <f t="shared" si="47"/>
        <v>-</v>
      </c>
      <c r="H90" s="697" t="str">
        <f t="shared" si="47"/>
        <v>-</v>
      </c>
      <c r="I90" s="697"/>
      <c r="J90" s="697"/>
      <c r="K90" s="697">
        <v>5</v>
      </c>
      <c r="L90" s="697" t="str">
        <f t="shared" ref="L90:Q90" si="48">I49</f>
        <v>-</v>
      </c>
      <c r="M90" s="697" t="str">
        <f t="shared" si="48"/>
        <v>-</v>
      </c>
      <c r="N90" s="697" t="str">
        <f t="shared" si="48"/>
        <v>-</v>
      </c>
      <c r="O90" s="697" t="str">
        <f t="shared" si="48"/>
        <v>-</v>
      </c>
      <c r="P90" s="697" t="str">
        <f t="shared" si="48"/>
        <v>-</v>
      </c>
      <c r="Q90" s="697" t="str">
        <f t="shared" si="48"/>
        <v>-</v>
      </c>
    </row>
    <row r="91" spans="1:17" ht="14" x14ac:dyDescent="0.25">
      <c r="A91" s="1076"/>
      <c r="B91" s="508">
        <v>6</v>
      </c>
      <c r="C91" s="697" t="str">
        <f t="shared" ref="C91:H91" si="49">P41</f>
        <v>-</v>
      </c>
      <c r="D91" s="697" t="str">
        <f t="shared" si="49"/>
        <v>-</v>
      </c>
      <c r="E91" s="697" t="str">
        <f t="shared" si="49"/>
        <v>-</v>
      </c>
      <c r="F91" s="697" t="str">
        <f t="shared" si="49"/>
        <v>-</v>
      </c>
      <c r="G91" s="697" t="str">
        <f t="shared" si="49"/>
        <v>-</v>
      </c>
      <c r="H91" s="697" t="str">
        <f t="shared" si="49"/>
        <v>-</v>
      </c>
      <c r="I91" s="697"/>
      <c r="J91" s="697"/>
      <c r="K91" s="697">
        <v>6</v>
      </c>
      <c r="L91" s="697" t="str">
        <f t="shared" ref="L91:Q91" si="50">P49</f>
        <v>-</v>
      </c>
      <c r="M91" s="697" t="str">
        <f t="shared" si="50"/>
        <v>-</v>
      </c>
      <c r="N91" s="697" t="str">
        <f t="shared" si="50"/>
        <v>-</v>
      </c>
      <c r="O91" s="697" t="str">
        <f t="shared" si="50"/>
        <v>-</v>
      </c>
      <c r="P91" s="697" t="str">
        <f t="shared" si="50"/>
        <v>-</v>
      </c>
      <c r="Q91" s="697" t="str">
        <f t="shared" si="50"/>
        <v>-</v>
      </c>
    </row>
    <row r="92" spans="1:17" s="485" customFormat="1" ht="14" x14ac:dyDescent="0.25">
      <c r="A92" s="509"/>
      <c r="B92" s="509"/>
      <c r="C92" s="697"/>
      <c r="D92" s="697"/>
      <c r="E92" s="697"/>
      <c r="F92" s="697"/>
      <c r="G92" s="697"/>
      <c r="H92" s="697"/>
      <c r="I92" s="697"/>
      <c r="J92" s="697"/>
      <c r="K92" s="697"/>
      <c r="L92" s="697"/>
      <c r="M92" s="697"/>
      <c r="N92" s="697"/>
      <c r="O92" s="697"/>
      <c r="P92" s="697"/>
      <c r="Q92" s="697"/>
    </row>
    <row r="93" spans="1:17" ht="14" x14ac:dyDescent="0.25">
      <c r="A93" s="1076" t="s">
        <v>98</v>
      </c>
      <c r="B93" s="697">
        <v>1</v>
      </c>
      <c r="C93" s="697">
        <f>B9</f>
        <v>50</v>
      </c>
      <c r="D93" s="697">
        <f t="shared" ref="D93:H93" si="51">C9</f>
        <v>5.0000000000000001E-3</v>
      </c>
      <c r="E93" s="697">
        <f t="shared" si="51"/>
        <v>0</v>
      </c>
      <c r="F93" s="697" t="str">
        <f t="shared" si="51"/>
        <v>-</v>
      </c>
      <c r="G93" s="697">
        <f t="shared" si="51"/>
        <v>2.5000000000000001E-3</v>
      </c>
      <c r="H93" s="697">
        <f t="shared" si="51"/>
        <v>5.0000000000000002E-5</v>
      </c>
      <c r="I93" s="697"/>
      <c r="J93" s="697" t="s">
        <v>98</v>
      </c>
      <c r="K93" s="697">
        <v>1</v>
      </c>
      <c r="L93" s="697">
        <f>B17</f>
        <v>5</v>
      </c>
      <c r="M93" s="697">
        <f t="shared" ref="M93:Q93" si="52">C17</f>
        <v>5.0000000000000001E-4</v>
      </c>
      <c r="N93" s="697">
        <f t="shared" si="52"/>
        <v>0</v>
      </c>
      <c r="O93" s="697" t="str">
        <f t="shared" si="52"/>
        <v>-</v>
      </c>
      <c r="P93" s="697">
        <f t="shared" si="52"/>
        <v>2.5000000000000001E-4</v>
      </c>
      <c r="Q93" s="697">
        <f t="shared" si="52"/>
        <v>0.05</v>
      </c>
    </row>
    <row r="94" spans="1:17" ht="14" x14ac:dyDescent="0.25">
      <c r="A94" s="1076"/>
      <c r="B94" s="697">
        <v>2</v>
      </c>
      <c r="C94" s="697">
        <f>I9</f>
        <v>50</v>
      </c>
      <c r="D94" s="697">
        <f t="shared" ref="D94:H94" si="53">J9</f>
        <v>5.0000000000000001E-3</v>
      </c>
      <c r="E94" s="697">
        <f t="shared" si="53"/>
        <v>0</v>
      </c>
      <c r="F94" s="697" t="str">
        <f t="shared" si="53"/>
        <v>-</v>
      </c>
      <c r="G94" s="697">
        <f t="shared" si="53"/>
        <v>2.5000000000000001E-3</v>
      </c>
      <c r="H94" s="697">
        <f t="shared" si="53"/>
        <v>5.0000000000000002E-5</v>
      </c>
      <c r="I94" s="697"/>
      <c r="J94" s="697"/>
      <c r="K94" s="697">
        <v>2</v>
      </c>
      <c r="L94" s="697">
        <f>I17</f>
        <v>5</v>
      </c>
      <c r="M94" s="697">
        <f t="shared" ref="M94:Q94" si="54">J17</f>
        <v>5.0000000000000001E-4</v>
      </c>
      <c r="N94" s="697">
        <f t="shared" si="54"/>
        <v>0</v>
      </c>
      <c r="O94" s="697" t="str">
        <f t="shared" si="54"/>
        <v>-</v>
      </c>
      <c r="P94" s="697">
        <f t="shared" si="54"/>
        <v>2.5000000000000001E-4</v>
      </c>
      <c r="Q94" s="697">
        <f t="shared" si="54"/>
        <v>0.05</v>
      </c>
    </row>
    <row r="95" spans="1:17" ht="14" x14ac:dyDescent="0.25">
      <c r="A95" s="1076"/>
      <c r="B95" s="698">
        <v>3</v>
      </c>
      <c r="C95" s="697" t="str">
        <f>P9</f>
        <v>-</v>
      </c>
      <c r="D95" s="697" t="str">
        <f t="shared" ref="D95:H95" si="55">Q9</f>
        <v>-</v>
      </c>
      <c r="E95" s="697" t="str">
        <f t="shared" si="55"/>
        <v>-</v>
      </c>
      <c r="F95" s="697" t="str">
        <f t="shared" si="55"/>
        <v>-</v>
      </c>
      <c r="G95" s="697" t="str">
        <f t="shared" si="55"/>
        <v>-</v>
      </c>
      <c r="H95" s="697" t="str">
        <f t="shared" si="55"/>
        <v>-</v>
      </c>
      <c r="I95" s="697"/>
      <c r="J95" s="697"/>
      <c r="K95" s="697">
        <v>3</v>
      </c>
      <c r="L95" s="697" t="str">
        <f t="shared" ref="L95:Q95" si="56">P17</f>
        <v>-</v>
      </c>
      <c r="M95" s="697" t="str">
        <f t="shared" si="56"/>
        <v>-</v>
      </c>
      <c r="N95" s="697" t="str">
        <f t="shared" si="56"/>
        <v>-</v>
      </c>
      <c r="O95" s="697" t="str">
        <f t="shared" si="56"/>
        <v>-</v>
      </c>
      <c r="P95" s="697" t="str">
        <f t="shared" si="56"/>
        <v>-</v>
      </c>
      <c r="Q95" s="697" t="str">
        <f t="shared" si="56"/>
        <v>-</v>
      </c>
    </row>
    <row r="96" spans="1:17" ht="14" x14ac:dyDescent="0.25">
      <c r="A96" s="1076"/>
      <c r="B96" s="698">
        <v>4</v>
      </c>
      <c r="C96" s="697" t="str">
        <f t="shared" ref="C96:H96" si="57">B42</f>
        <v>-</v>
      </c>
      <c r="D96" s="697" t="str">
        <f t="shared" si="57"/>
        <v>-</v>
      </c>
      <c r="E96" s="697" t="str">
        <f t="shared" si="57"/>
        <v>-</v>
      </c>
      <c r="F96" s="697" t="str">
        <f t="shared" si="57"/>
        <v>-</v>
      </c>
      <c r="G96" s="697" t="str">
        <f t="shared" si="57"/>
        <v>-</v>
      </c>
      <c r="H96" s="697" t="str">
        <f t="shared" si="57"/>
        <v>-</v>
      </c>
      <c r="I96" s="697"/>
      <c r="J96" s="697"/>
      <c r="K96" s="697">
        <v>4</v>
      </c>
      <c r="L96" s="697" t="str">
        <f t="shared" ref="L96:Q96" si="58">B50</f>
        <v>-</v>
      </c>
      <c r="M96" s="697" t="str">
        <f t="shared" si="58"/>
        <v>-</v>
      </c>
      <c r="N96" s="697" t="str">
        <f t="shared" si="58"/>
        <v>-</v>
      </c>
      <c r="O96" s="697" t="str">
        <f t="shared" si="58"/>
        <v>-</v>
      </c>
      <c r="P96" s="697" t="str">
        <f t="shared" si="58"/>
        <v>-</v>
      </c>
      <c r="Q96" s="697" t="str">
        <f t="shared" si="58"/>
        <v>-</v>
      </c>
    </row>
    <row r="97" spans="1:17" ht="14" x14ac:dyDescent="0.25">
      <c r="A97" s="1076"/>
      <c r="B97" s="508">
        <v>5</v>
      </c>
      <c r="C97" s="697" t="str">
        <f t="shared" ref="C97:H97" si="59">I42</f>
        <v>-</v>
      </c>
      <c r="D97" s="697" t="str">
        <f t="shared" si="59"/>
        <v>-</v>
      </c>
      <c r="E97" s="697" t="str">
        <f t="shared" si="59"/>
        <v>-</v>
      </c>
      <c r="F97" s="697" t="str">
        <f t="shared" si="59"/>
        <v>-</v>
      </c>
      <c r="G97" s="697" t="str">
        <f t="shared" si="59"/>
        <v>-</v>
      </c>
      <c r="H97" s="697" t="str">
        <f t="shared" si="59"/>
        <v>-</v>
      </c>
      <c r="I97" s="697"/>
      <c r="J97" s="697"/>
      <c r="K97" s="697">
        <v>5</v>
      </c>
      <c r="L97" s="697" t="str">
        <f t="shared" ref="L97:Q97" si="60">I50</f>
        <v>-</v>
      </c>
      <c r="M97" s="697" t="str">
        <f t="shared" si="60"/>
        <v>-</v>
      </c>
      <c r="N97" s="697" t="str">
        <f t="shared" si="60"/>
        <v>-</v>
      </c>
      <c r="O97" s="697" t="str">
        <f t="shared" si="60"/>
        <v>-</v>
      </c>
      <c r="P97" s="697" t="str">
        <f t="shared" si="60"/>
        <v>-</v>
      </c>
      <c r="Q97" s="697" t="str">
        <f t="shared" si="60"/>
        <v>-</v>
      </c>
    </row>
    <row r="98" spans="1:17" ht="14" x14ac:dyDescent="0.25">
      <c r="A98" s="1076"/>
      <c r="B98" s="508">
        <v>6</v>
      </c>
      <c r="C98" s="697" t="str">
        <f t="shared" ref="C98:H98" si="61">P42</f>
        <v>-</v>
      </c>
      <c r="D98" s="697" t="str">
        <f t="shared" si="61"/>
        <v>-</v>
      </c>
      <c r="E98" s="697" t="str">
        <f t="shared" si="61"/>
        <v>-</v>
      </c>
      <c r="F98" s="697" t="str">
        <f t="shared" si="61"/>
        <v>-</v>
      </c>
      <c r="G98" s="697" t="str">
        <f t="shared" si="61"/>
        <v>-</v>
      </c>
      <c r="H98" s="697" t="str">
        <f t="shared" si="61"/>
        <v>-</v>
      </c>
      <c r="I98" s="697"/>
      <c r="J98" s="697"/>
      <c r="K98" s="697">
        <v>6</v>
      </c>
      <c r="L98" s="697" t="str">
        <f t="shared" ref="L98:Q98" si="62">P50</f>
        <v>-</v>
      </c>
      <c r="M98" s="697" t="str">
        <f t="shared" si="62"/>
        <v>-</v>
      </c>
      <c r="N98" s="697" t="str">
        <f t="shared" si="62"/>
        <v>-</v>
      </c>
      <c r="O98" s="697" t="str">
        <f t="shared" si="62"/>
        <v>-</v>
      </c>
      <c r="P98" s="697" t="str">
        <f t="shared" si="62"/>
        <v>-</v>
      </c>
      <c r="Q98" s="697" t="str">
        <f t="shared" si="62"/>
        <v>-</v>
      </c>
    </row>
    <row r="99" spans="1:17" s="485" customFormat="1" ht="14" x14ac:dyDescent="0.25">
      <c r="A99" s="509"/>
      <c r="B99" s="509"/>
      <c r="C99" s="697"/>
      <c r="D99" s="697"/>
      <c r="E99" s="697"/>
      <c r="F99" s="697"/>
      <c r="G99" s="697"/>
      <c r="H99" s="697"/>
      <c r="I99" s="697"/>
      <c r="J99" s="697"/>
      <c r="K99" s="697"/>
      <c r="L99" s="697"/>
      <c r="M99" s="697"/>
      <c r="N99" s="697"/>
      <c r="O99" s="697"/>
      <c r="P99" s="697"/>
      <c r="Q99" s="697"/>
    </row>
    <row r="100" spans="1:17" ht="14" x14ac:dyDescent="0.25">
      <c r="A100" s="1076" t="s">
        <v>99</v>
      </c>
      <c r="B100" s="697">
        <v>1</v>
      </c>
      <c r="C100" s="697">
        <f>B10</f>
        <v>100</v>
      </c>
      <c r="D100" s="697">
        <f t="shared" ref="D100:H100" si="63">C10</f>
        <v>0.01</v>
      </c>
      <c r="E100" s="697">
        <f t="shared" si="63"/>
        <v>0</v>
      </c>
      <c r="F100" s="697" t="str">
        <f t="shared" si="63"/>
        <v>-</v>
      </c>
      <c r="G100" s="697">
        <f t="shared" si="63"/>
        <v>5.0000000000000001E-3</v>
      </c>
      <c r="H100" s="697">
        <f t="shared" si="63"/>
        <v>5.0000000000000002E-5</v>
      </c>
      <c r="I100" s="697"/>
      <c r="J100" s="697" t="s">
        <v>99</v>
      </c>
      <c r="K100" s="697">
        <v>1</v>
      </c>
      <c r="L100" s="697">
        <f>B18</f>
        <v>50</v>
      </c>
      <c r="M100" s="697">
        <f t="shared" ref="M100:Q100" si="64">C18</f>
        <v>5.0000000000000001E-3</v>
      </c>
      <c r="N100" s="697">
        <f t="shared" si="64"/>
        <v>0</v>
      </c>
      <c r="O100" s="697" t="str">
        <f t="shared" si="64"/>
        <v>-</v>
      </c>
      <c r="P100" s="697">
        <f t="shared" si="64"/>
        <v>2.5000000000000001E-3</v>
      </c>
      <c r="Q100" s="697">
        <f t="shared" si="64"/>
        <v>0.5</v>
      </c>
    </row>
    <row r="101" spans="1:17" ht="14" x14ac:dyDescent="0.25">
      <c r="A101" s="1076"/>
      <c r="B101" s="697">
        <v>2</v>
      </c>
      <c r="C101" s="697">
        <f>I10</f>
        <v>100</v>
      </c>
      <c r="D101" s="697">
        <f t="shared" ref="D101:H101" si="65">J10</f>
        <v>0.01</v>
      </c>
      <c r="E101" s="697">
        <f t="shared" si="65"/>
        <v>0</v>
      </c>
      <c r="F101" s="697" t="str">
        <f t="shared" si="65"/>
        <v>-</v>
      </c>
      <c r="G101" s="697">
        <f t="shared" si="65"/>
        <v>5.0000000000000001E-3</v>
      </c>
      <c r="H101" s="697">
        <f t="shared" si="65"/>
        <v>5.0000000000000002E-5</v>
      </c>
      <c r="I101" s="697"/>
      <c r="J101" s="697"/>
      <c r="K101" s="697">
        <v>2</v>
      </c>
      <c r="L101" s="697">
        <f>I18</f>
        <v>50</v>
      </c>
      <c r="M101" s="697">
        <f t="shared" ref="M101:Q101" si="66">J18</f>
        <v>5.0000000000000001E-3</v>
      </c>
      <c r="N101" s="697">
        <f t="shared" si="66"/>
        <v>0</v>
      </c>
      <c r="O101" s="697" t="str">
        <f t="shared" si="66"/>
        <v>-</v>
      </c>
      <c r="P101" s="697">
        <f t="shared" si="66"/>
        <v>2.5000000000000001E-3</v>
      </c>
      <c r="Q101" s="697">
        <f t="shared" si="66"/>
        <v>0.5</v>
      </c>
    </row>
    <row r="102" spans="1:17" ht="14" x14ac:dyDescent="0.25">
      <c r="A102" s="1076"/>
      <c r="B102" s="698">
        <v>3</v>
      </c>
      <c r="C102" s="697" t="str">
        <f t="shared" ref="C102:H102" si="67">P9</f>
        <v>-</v>
      </c>
      <c r="D102" s="697" t="str">
        <f t="shared" si="67"/>
        <v>-</v>
      </c>
      <c r="E102" s="697" t="str">
        <f t="shared" si="67"/>
        <v>-</v>
      </c>
      <c r="F102" s="697" t="str">
        <f t="shared" si="67"/>
        <v>-</v>
      </c>
      <c r="G102" s="697" t="str">
        <f t="shared" si="67"/>
        <v>-</v>
      </c>
      <c r="H102" s="697" t="str">
        <f t="shared" si="67"/>
        <v>-</v>
      </c>
      <c r="I102" s="697"/>
      <c r="J102" s="697"/>
      <c r="K102" s="697">
        <v>3</v>
      </c>
      <c r="L102" s="697" t="str">
        <f t="shared" ref="L102:Q102" si="68">P18</f>
        <v>-</v>
      </c>
      <c r="M102" s="697" t="str">
        <f t="shared" si="68"/>
        <v>-</v>
      </c>
      <c r="N102" s="697" t="str">
        <f t="shared" si="68"/>
        <v>-</v>
      </c>
      <c r="O102" s="697" t="str">
        <f t="shared" si="68"/>
        <v>-</v>
      </c>
      <c r="P102" s="697" t="str">
        <f t="shared" si="68"/>
        <v>-</v>
      </c>
      <c r="Q102" s="697" t="str">
        <f t="shared" si="68"/>
        <v>-</v>
      </c>
    </row>
    <row r="103" spans="1:17" ht="14" x14ac:dyDescent="0.25">
      <c r="A103" s="1076"/>
      <c r="B103" s="698">
        <v>4</v>
      </c>
      <c r="C103" s="697" t="str">
        <f t="shared" ref="C103:H103" si="69">B43</f>
        <v>-</v>
      </c>
      <c r="D103" s="697" t="str">
        <f t="shared" si="69"/>
        <v>-</v>
      </c>
      <c r="E103" s="697" t="str">
        <f t="shared" si="69"/>
        <v>-</v>
      </c>
      <c r="F103" s="697" t="str">
        <f t="shared" si="69"/>
        <v>-</v>
      </c>
      <c r="G103" s="697" t="str">
        <f t="shared" si="69"/>
        <v>-</v>
      </c>
      <c r="H103" s="697" t="str">
        <f t="shared" si="69"/>
        <v>-</v>
      </c>
      <c r="I103" s="697"/>
      <c r="J103" s="697"/>
      <c r="K103" s="697">
        <v>4</v>
      </c>
      <c r="L103" s="697" t="str">
        <f t="shared" ref="L103:Q103" si="70">B51</f>
        <v>-</v>
      </c>
      <c r="M103" s="697" t="str">
        <f t="shared" si="70"/>
        <v>-</v>
      </c>
      <c r="N103" s="697" t="str">
        <f t="shared" si="70"/>
        <v>-</v>
      </c>
      <c r="O103" s="697" t="str">
        <f t="shared" si="70"/>
        <v>-</v>
      </c>
      <c r="P103" s="697" t="str">
        <f t="shared" si="70"/>
        <v>-</v>
      </c>
      <c r="Q103" s="697" t="str">
        <f t="shared" si="70"/>
        <v>-</v>
      </c>
    </row>
    <row r="104" spans="1:17" ht="14" x14ac:dyDescent="0.25">
      <c r="A104" s="1076"/>
      <c r="B104" s="508">
        <v>5</v>
      </c>
      <c r="C104" s="697" t="str">
        <f t="shared" ref="C104:H104" si="71">I43</f>
        <v>-</v>
      </c>
      <c r="D104" s="697" t="str">
        <f t="shared" si="71"/>
        <v>-</v>
      </c>
      <c r="E104" s="697" t="str">
        <f t="shared" si="71"/>
        <v>-</v>
      </c>
      <c r="F104" s="697" t="str">
        <f t="shared" si="71"/>
        <v>-</v>
      </c>
      <c r="G104" s="697" t="str">
        <f t="shared" si="71"/>
        <v>-</v>
      </c>
      <c r="H104" s="697" t="str">
        <f t="shared" si="71"/>
        <v>-</v>
      </c>
      <c r="I104" s="697"/>
      <c r="J104" s="697"/>
      <c r="K104" s="697">
        <v>5</v>
      </c>
      <c r="L104" s="697" t="str">
        <f t="shared" ref="L104:Q104" si="72">I51</f>
        <v>-</v>
      </c>
      <c r="M104" s="697" t="str">
        <f t="shared" si="72"/>
        <v>-</v>
      </c>
      <c r="N104" s="697" t="str">
        <f t="shared" si="72"/>
        <v>-</v>
      </c>
      <c r="O104" s="697" t="str">
        <f t="shared" si="72"/>
        <v>-</v>
      </c>
      <c r="P104" s="697" t="str">
        <f t="shared" si="72"/>
        <v>-</v>
      </c>
      <c r="Q104" s="697" t="str">
        <f t="shared" si="72"/>
        <v>-</v>
      </c>
    </row>
    <row r="105" spans="1:17" ht="14" x14ac:dyDescent="0.25">
      <c r="A105" s="1076"/>
      <c r="B105" s="508">
        <v>6</v>
      </c>
      <c r="C105" s="697" t="str">
        <f t="shared" ref="C105:H105" si="73">P43</f>
        <v>-</v>
      </c>
      <c r="D105" s="697" t="str">
        <f t="shared" si="73"/>
        <v>-</v>
      </c>
      <c r="E105" s="697" t="str">
        <f t="shared" si="73"/>
        <v>-</v>
      </c>
      <c r="F105" s="697" t="str">
        <f t="shared" si="73"/>
        <v>-</v>
      </c>
      <c r="G105" s="697" t="str">
        <f t="shared" si="73"/>
        <v>-</v>
      </c>
      <c r="H105" s="697" t="str">
        <f t="shared" si="73"/>
        <v>-</v>
      </c>
      <c r="I105" s="697"/>
      <c r="J105" s="697"/>
      <c r="K105" s="697">
        <v>6</v>
      </c>
      <c r="L105" s="697" t="str">
        <f t="shared" ref="L105:Q105" si="74">P51</f>
        <v>-</v>
      </c>
      <c r="M105" s="697" t="str">
        <f t="shared" si="74"/>
        <v>-</v>
      </c>
      <c r="N105" s="697" t="str">
        <f t="shared" si="74"/>
        <v>-</v>
      </c>
      <c r="O105" s="697" t="str">
        <f t="shared" si="74"/>
        <v>-</v>
      </c>
      <c r="P105" s="697" t="str">
        <f t="shared" si="74"/>
        <v>-</v>
      </c>
      <c r="Q105" s="697" t="str">
        <f t="shared" si="74"/>
        <v>-</v>
      </c>
    </row>
    <row r="106" spans="1:17" s="485" customFormat="1" ht="14" x14ac:dyDescent="0.25">
      <c r="A106" s="509"/>
      <c r="B106" s="509"/>
      <c r="C106" s="697"/>
      <c r="D106" s="697"/>
      <c r="E106" s="697"/>
      <c r="F106" s="697"/>
      <c r="G106" s="697"/>
      <c r="H106" s="697"/>
      <c r="I106" s="697"/>
      <c r="J106" s="697"/>
      <c r="K106" s="697"/>
      <c r="L106" s="697"/>
      <c r="M106" s="697"/>
      <c r="N106" s="697"/>
      <c r="O106" s="697"/>
      <c r="P106" s="697"/>
      <c r="Q106" s="697"/>
    </row>
    <row r="107" spans="1:17" ht="14" x14ac:dyDescent="0.25">
      <c r="A107" s="1076" t="s">
        <v>405</v>
      </c>
      <c r="B107" s="697">
        <v>1</v>
      </c>
      <c r="C107" s="697">
        <f>B11</f>
        <v>500</v>
      </c>
      <c r="D107" s="697">
        <f t="shared" ref="D107:H107" si="75">C11</f>
        <v>0.05</v>
      </c>
      <c r="E107" s="697">
        <f t="shared" si="75"/>
        <v>0</v>
      </c>
      <c r="F107" s="697" t="str">
        <f t="shared" si="75"/>
        <v>-</v>
      </c>
      <c r="G107" s="697">
        <f t="shared" si="75"/>
        <v>2.5000000000000001E-2</v>
      </c>
      <c r="H107" s="697">
        <f t="shared" si="75"/>
        <v>5.0000000000000002E-5</v>
      </c>
      <c r="I107" s="697"/>
      <c r="J107" s="697" t="s">
        <v>405</v>
      </c>
      <c r="K107" s="697">
        <v>1</v>
      </c>
      <c r="L107" s="697">
        <f>B19</f>
        <v>60</v>
      </c>
      <c r="M107" s="697">
        <f t="shared" ref="M107:Q107" si="76">C19</f>
        <v>6.0000000000000001E-3</v>
      </c>
      <c r="N107" s="697">
        <f t="shared" si="76"/>
        <v>0</v>
      </c>
      <c r="O107" s="697" t="str">
        <f>E19</f>
        <v>-</v>
      </c>
      <c r="P107" s="697">
        <f t="shared" si="76"/>
        <v>3.0000000000000001E-3</v>
      </c>
      <c r="Q107" s="697">
        <f t="shared" si="76"/>
        <v>0.6</v>
      </c>
    </row>
    <row r="108" spans="1:17" ht="14" x14ac:dyDescent="0.25">
      <c r="A108" s="1076"/>
      <c r="B108" s="697">
        <v>2</v>
      </c>
      <c r="C108" s="697">
        <f>I11</f>
        <v>500</v>
      </c>
      <c r="D108" s="697">
        <f t="shared" ref="D108:H108" si="77">J11</f>
        <v>0.05</v>
      </c>
      <c r="E108" s="697">
        <f t="shared" si="77"/>
        <v>0</v>
      </c>
      <c r="F108" s="697" t="str">
        <f t="shared" si="77"/>
        <v>-</v>
      </c>
      <c r="G108" s="697">
        <f t="shared" si="77"/>
        <v>2.5000000000000001E-2</v>
      </c>
      <c r="H108" s="697">
        <f t="shared" si="77"/>
        <v>5.0000000000000002E-5</v>
      </c>
      <c r="I108" s="697"/>
      <c r="J108" s="697"/>
      <c r="K108" s="697">
        <v>2</v>
      </c>
      <c r="L108" s="697">
        <f>I19</f>
        <v>60</v>
      </c>
      <c r="M108" s="697">
        <f t="shared" ref="M108:Q108" si="78">J19</f>
        <v>6.0000000000000001E-3</v>
      </c>
      <c r="N108" s="697">
        <f t="shared" si="78"/>
        <v>0</v>
      </c>
      <c r="O108" s="697" t="str">
        <f t="shared" si="78"/>
        <v>-</v>
      </c>
      <c r="P108" s="697">
        <f t="shared" si="78"/>
        <v>3.0000000000000001E-3</v>
      </c>
      <c r="Q108" s="697">
        <f t="shared" si="78"/>
        <v>0.6</v>
      </c>
    </row>
    <row r="109" spans="1:17" ht="14" x14ac:dyDescent="0.25">
      <c r="A109" s="1076"/>
      <c r="B109" s="698">
        <v>3</v>
      </c>
      <c r="C109" s="697"/>
      <c r="D109" s="697"/>
      <c r="E109" s="697"/>
      <c r="F109" s="697"/>
      <c r="G109" s="697"/>
      <c r="H109" s="697"/>
      <c r="I109" s="697"/>
      <c r="J109" s="697"/>
      <c r="K109" s="697">
        <v>3</v>
      </c>
      <c r="L109" s="697" t="str">
        <f t="shared" ref="L109:Q109" si="79">P19</f>
        <v>-</v>
      </c>
      <c r="M109" s="697" t="str">
        <f t="shared" si="79"/>
        <v>-</v>
      </c>
      <c r="N109" s="697" t="str">
        <f t="shared" si="79"/>
        <v>-</v>
      </c>
      <c r="O109" s="697" t="str">
        <f t="shared" si="79"/>
        <v>-</v>
      </c>
      <c r="P109" s="697" t="str">
        <f t="shared" si="79"/>
        <v>-</v>
      </c>
      <c r="Q109" s="697" t="str">
        <f t="shared" si="79"/>
        <v>-</v>
      </c>
    </row>
    <row r="110" spans="1:17" ht="14" x14ac:dyDescent="0.25">
      <c r="A110" s="1076"/>
      <c r="B110" s="698">
        <v>4</v>
      </c>
      <c r="C110" s="697" t="str">
        <f t="shared" ref="C110:H110" si="80">B44</f>
        <v>-</v>
      </c>
      <c r="D110" s="697" t="str">
        <f t="shared" si="80"/>
        <v>-</v>
      </c>
      <c r="E110" s="697" t="str">
        <f t="shared" si="80"/>
        <v>-</v>
      </c>
      <c r="F110" s="697" t="str">
        <f t="shared" si="80"/>
        <v>-</v>
      </c>
      <c r="G110" s="697" t="str">
        <f t="shared" si="80"/>
        <v>-</v>
      </c>
      <c r="H110" s="697" t="str">
        <f t="shared" si="80"/>
        <v>-</v>
      </c>
      <c r="I110" s="697"/>
      <c r="J110" s="697"/>
      <c r="K110" s="697">
        <v>4</v>
      </c>
      <c r="L110" s="697" t="str">
        <f t="shared" ref="L110:Q110" si="81">B52</f>
        <v>-</v>
      </c>
      <c r="M110" s="697" t="str">
        <f t="shared" si="81"/>
        <v>-</v>
      </c>
      <c r="N110" s="697" t="str">
        <f t="shared" si="81"/>
        <v>-</v>
      </c>
      <c r="O110" s="697" t="str">
        <f t="shared" si="81"/>
        <v>-</v>
      </c>
      <c r="P110" s="697" t="str">
        <f t="shared" si="81"/>
        <v>-</v>
      </c>
      <c r="Q110" s="697" t="str">
        <f t="shared" si="81"/>
        <v>-</v>
      </c>
    </row>
    <row r="111" spans="1:17" ht="14" x14ac:dyDescent="0.25">
      <c r="A111" s="1076"/>
      <c r="B111" s="508">
        <v>5</v>
      </c>
      <c r="C111" s="697" t="str">
        <f t="shared" ref="C111:H111" si="82">I44</f>
        <v>-</v>
      </c>
      <c r="D111" s="697" t="str">
        <f t="shared" si="82"/>
        <v>-</v>
      </c>
      <c r="E111" s="697" t="str">
        <f t="shared" si="82"/>
        <v>-</v>
      </c>
      <c r="F111" s="697" t="str">
        <f t="shared" si="82"/>
        <v>-</v>
      </c>
      <c r="G111" s="697" t="str">
        <f t="shared" si="82"/>
        <v>-</v>
      </c>
      <c r="H111" s="697" t="str">
        <f t="shared" si="82"/>
        <v>-</v>
      </c>
      <c r="I111" s="697"/>
      <c r="J111" s="697"/>
      <c r="K111" s="697">
        <v>5</v>
      </c>
      <c r="L111" s="697" t="str">
        <f t="shared" ref="L111:Q111" si="83">I52</f>
        <v>-</v>
      </c>
      <c r="M111" s="697" t="str">
        <f t="shared" si="83"/>
        <v>-</v>
      </c>
      <c r="N111" s="697" t="str">
        <f t="shared" si="83"/>
        <v>-</v>
      </c>
      <c r="O111" s="697" t="str">
        <f t="shared" si="83"/>
        <v>-</v>
      </c>
      <c r="P111" s="697" t="str">
        <f t="shared" si="83"/>
        <v>-</v>
      </c>
      <c r="Q111" s="697" t="str">
        <f t="shared" si="83"/>
        <v>-</v>
      </c>
    </row>
    <row r="112" spans="1:17" ht="14" x14ac:dyDescent="0.25">
      <c r="A112" s="1076"/>
      <c r="B112" s="508">
        <v>6</v>
      </c>
      <c r="C112" s="697" t="str">
        <f t="shared" ref="C112:H112" si="84">P44</f>
        <v>-</v>
      </c>
      <c r="D112" s="697" t="str">
        <f t="shared" si="84"/>
        <v>-</v>
      </c>
      <c r="E112" s="697" t="str">
        <f t="shared" si="84"/>
        <v>-</v>
      </c>
      <c r="F112" s="697" t="str">
        <f t="shared" si="84"/>
        <v>-</v>
      </c>
      <c r="G112" s="697" t="str">
        <f t="shared" si="84"/>
        <v>-</v>
      </c>
      <c r="H112" s="697" t="str">
        <f t="shared" si="84"/>
        <v>-</v>
      </c>
      <c r="I112" s="697"/>
      <c r="J112" s="697"/>
      <c r="K112" s="697">
        <v>6</v>
      </c>
      <c r="L112" s="697" t="str">
        <f t="shared" ref="L112:Q112" si="85">P52</f>
        <v>-</v>
      </c>
      <c r="M112" s="697" t="str">
        <f t="shared" si="85"/>
        <v>-</v>
      </c>
      <c r="N112" s="697" t="str">
        <f t="shared" si="85"/>
        <v>-</v>
      </c>
      <c r="O112" s="697" t="str">
        <f t="shared" si="85"/>
        <v>-</v>
      </c>
      <c r="P112" s="697" t="str">
        <f t="shared" si="85"/>
        <v>-</v>
      </c>
      <c r="Q112" s="697" t="str">
        <f t="shared" si="85"/>
        <v>-</v>
      </c>
    </row>
    <row r="113" spans="1:17" x14ac:dyDescent="0.25">
      <c r="A113" s="513"/>
      <c r="B113" s="66"/>
      <c r="C113" s="66"/>
      <c r="D113" s="513"/>
      <c r="E113" s="513"/>
      <c r="F113" s="513"/>
      <c r="G113" s="513"/>
      <c r="H113" s="513"/>
      <c r="J113" s="513"/>
      <c r="K113" s="513"/>
      <c r="L113" s="513"/>
      <c r="M113" s="513"/>
      <c r="N113" s="513"/>
      <c r="O113" s="513"/>
      <c r="P113" s="513"/>
      <c r="Q113" s="487"/>
    </row>
    <row r="114" spans="1:17" ht="14" x14ac:dyDescent="0.3">
      <c r="A114" s="1072" t="s">
        <v>404</v>
      </c>
      <c r="B114" s="1073"/>
      <c r="C114" s="1074" t="str">
        <f>C69</f>
        <v>SERTIFIKAT</v>
      </c>
      <c r="D114" s="1074"/>
      <c r="E114" s="1074"/>
      <c r="F114" s="1074"/>
      <c r="G114" s="1074"/>
      <c r="H114" s="1074"/>
      <c r="J114" s="1072" t="s">
        <v>404</v>
      </c>
      <c r="K114" s="1073"/>
      <c r="L114" s="1097" t="str">
        <f>C114</f>
        <v>SERTIFIKAT</v>
      </c>
      <c r="M114" s="1097"/>
      <c r="N114" s="1097"/>
      <c r="O114" s="1097"/>
      <c r="P114" s="1097"/>
      <c r="Q114" s="1097"/>
    </row>
    <row r="115" spans="1:17" ht="13" customHeight="1" x14ac:dyDescent="0.25">
      <c r="A115" s="1072"/>
      <c r="B115" s="1073"/>
      <c r="C115" s="1098" t="str">
        <f>B20</f>
        <v>TRIANGLE WAVE (µv)</v>
      </c>
      <c r="D115" s="1098"/>
      <c r="E115" s="1098"/>
      <c r="F115" s="1098"/>
      <c r="G115" s="514" t="s">
        <v>385</v>
      </c>
      <c r="H115" s="514" t="s">
        <v>251</v>
      </c>
      <c r="J115" s="1072"/>
      <c r="K115" s="1073"/>
      <c r="L115" s="1098" t="str">
        <f>B28</f>
        <v>SINE WAVE (µv)</v>
      </c>
      <c r="M115" s="1098"/>
      <c r="N115" s="1098"/>
      <c r="O115" s="1098"/>
      <c r="P115" s="514" t="s">
        <v>385</v>
      </c>
      <c r="Q115" s="514" t="s">
        <v>251</v>
      </c>
    </row>
    <row r="116" spans="1:17" ht="14" x14ac:dyDescent="0.25">
      <c r="A116" s="1072"/>
      <c r="B116" s="1073"/>
      <c r="C116" s="691" t="s">
        <v>484</v>
      </c>
      <c r="D116" s="514"/>
      <c r="E116" s="514"/>
      <c r="F116" s="487"/>
      <c r="G116" s="514"/>
      <c r="H116" s="514"/>
      <c r="J116" s="1072"/>
      <c r="K116" s="1073"/>
      <c r="L116" s="691" t="s">
        <v>484</v>
      </c>
      <c r="M116" s="514"/>
      <c r="N116" s="514"/>
      <c r="O116" s="487"/>
      <c r="P116" s="514"/>
      <c r="Q116" s="514"/>
    </row>
    <row r="117" spans="1:17" x14ac:dyDescent="0.25">
      <c r="A117" s="1099" t="s">
        <v>95</v>
      </c>
      <c r="B117" s="508">
        <v>1</v>
      </c>
      <c r="C117" s="511" t="str">
        <f t="shared" ref="C117:H117" si="86">B22</f>
        <v>-</v>
      </c>
      <c r="D117" s="511" t="str">
        <f t="shared" si="86"/>
        <v>-</v>
      </c>
      <c r="E117" s="511" t="str">
        <f t="shared" si="86"/>
        <v>-</v>
      </c>
      <c r="F117" s="511" t="str">
        <f t="shared" si="86"/>
        <v>-</v>
      </c>
      <c r="G117" s="511">
        <f t="shared" si="86"/>
        <v>0</v>
      </c>
      <c r="H117" s="511" t="str">
        <f t="shared" si="86"/>
        <v>-</v>
      </c>
      <c r="I117" s="511"/>
      <c r="J117" s="511" t="s">
        <v>95</v>
      </c>
      <c r="K117" s="511">
        <v>1</v>
      </c>
      <c r="L117" s="511" t="str">
        <f t="shared" ref="L117:Q117" si="87">B30</f>
        <v>-</v>
      </c>
      <c r="M117" s="511" t="str">
        <f t="shared" si="87"/>
        <v>-</v>
      </c>
      <c r="N117" s="511" t="str">
        <f t="shared" si="87"/>
        <v>-</v>
      </c>
      <c r="O117" s="511" t="str">
        <f t="shared" si="87"/>
        <v>-</v>
      </c>
      <c r="P117" s="511">
        <f t="shared" si="87"/>
        <v>0</v>
      </c>
      <c r="Q117" s="511" t="str">
        <f t="shared" si="87"/>
        <v>-</v>
      </c>
    </row>
    <row r="118" spans="1:17" x14ac:dyDescent="0.25">
      <c r="A118" s="1099"/>
      <c r="B118" s="508">
        <v>2</v>
      </c>
      <c r="C118" s="511" t="str">
        <f t="shared" ref="C118:H118" si="88">I22</f>
        <v>-</v>
      </c>
      <c r="D118" s="511" t="str">
        <f t="shared" si="88"/>
        <v>-</v>
      </c>
      <c r="E118" s="511" t="str">
        <f t="shared" si="88"/>
        <v>-</v>
      </c>
      <c r="F118" s="511" t="str">
        <f t="shared" si="88"/>
        <v>-</v>
      </c>
      <c r="G118" s="511">
        <f t="shared" si="88"/>
        <v>0</v>
      </c>
      <c r="H118" s="511" t="str">
        <f t="shared" si="88"/>
        <v>-</v>
      </c>
      <c r="I118" s="511"/>
      <c r="J118" s="511"/>
      <c r="K118" s="511">
        <v>2</v>
      </c>
      <c r="L118" s="511" t="str">
        <f t="shared" ref="L118:Q118" si="89">I30</f>
        <v>-</v>
      </c>
      <c r="M118" s="511" t="str">
        <f t="shared" si="89"/>
        <v>-</v>
      </c>
      <c r="N118" s="511" t="str">
        <f t="shared" si="89"/>
        <v>-</v>
      </c>
      <c r="O118" s="511" t="str">
        <f t="shared" si="89"/>
        <v>-</v>
      </c>
      <c r="P118" s="511">
        <f t="shared" si="89"/>
        <v>0</v>
      </c>
      <c r="Q118" s="511" t="str">
        <f t="shared" si="89"/>
        <v>-</v>
      </c>
    </row>
    <row r="119" spans="1:17" x14ac:dyDescent="0.25">
      <c r="A119" s="1099"/>
      <c r="B119" s="508">
        <v>3</v>
      </c>
      <c r="C119" s="511" t="str">
        <f t="shared" ref="C119:H119" si="90">P22</f>
        <v>-</v>
      </c>
      <c r="D119" s="511" t="str">
        <f t="shared" si="90"/>
        <v>-</v>
      </c>
      <c r="E119" s="511" t="str">
        <f t="shared" si="90"/>
        <v>-</v>
      </c>
      <c r="F119" s="511" t="str">
        <f t="shared" si="90"/>
        <v>-</v>
      </c>
      <c r="G119" s="511" t="str">
        <f t="shared" si="90"/>
        <v>-</v>
      </c>
      <c r="H119" s="511" t="str">
        <f t="shared" si="90"/>
        <v>-</v>
      </c>
      <c r="I119" s="511"/>
      <c r="J119" s="511"/>
      <c r="K119" s="511">
        <v>3</v>
      </c>
      <c r="L119" s="511" t="str">
        <f t="shared" ref="L119:Q119" si="91">P30</f>
        <v>-</v>
      </c>
      <c r="M119" s="511" t="str">
        <f t="shared" si="91"/>
        <v>-</v>
      </c>
      <c r="N119" s="511" t="str">
        <f t="shared" si="91"/>
        <v>-</v>
      </c>
      <c r="O119" s="511" t="str">
        <f t="shared" si="91"/>
        <v>-</v>
      </c>
      <c r="P119" s="511" t="str">
        <f t="shared" si="91"/>
        <v>-</v>
      </c>
      <c r="Q119" s="511" t="str">
        <f t="shared" si="91"/>
        <v>-</v>
      </c>
    </row>
    <row r="120" spans="1:17" x14ac:dyDescent="0.25">
      <c r="A120" s="1099"/>
      <c r="B120" s="508">
        <v>4</v>
      </c>
      <c r="C120" s="511" t="str">
        <f t="shared" ref="C120:H120" si="92">B55</f>
        <v>-</v>
      </c>
      <c r="D120" s="511" t="str">
        <f t="shared" si="92"/>
        <v>-</v>
      </c>
      <c r="E120" s="511" t="str">
        <f t="shared" si="92"/>
        <v>-</v>
      </c>
      <c r="F120" s="511" t="str">
        <f t="shared" si="92"/>
        <v>-</v>
      </c>
      <c r="G120" s="511" t="str">
        <f t="shared" si="92"/>
        <v>-</v>
      </c>
      <c r="H120" s="511" t="str">
        <f t="shared" si="92"/>
        <v>-</v>
      </c>
      <c r="I120" s="511"/>
      <c r="J120" s="511"/>
      <c r="K120" s="511">
        <v>4</v>
      </c>
      <c r="L120" s="511" t="str">
        <f t="shared" ref="L120:Q120" si="93">B61</f>
        <v>-</v>
      </c>
      <c r="M120" s="511" t="str">
        <f t="shared" si="93"/>
        <v>-</v>
      </c>
      <c r="N120" s="511" t="str">
        <f t="shared" si="93"/>
        <v>-</v>
      </c>
      <c r="O120" s="511" t="str">
        <f t="shared" si="93"/>
        <v>-</v>
      </c>
      <c r="P120" s="511" t="str">
        <f t="shared" si="93"/>
        <v>-</v>
      </c>
      <c r="Q120" s="511" t="str">
        <f t="shared" si="93"/>
        <v>-</v>
      </c>
    </row>
    <row r="121" spans="1:17" x14ac:dyDescent="0.25">
      <c r="A121" s="1099"/>
      <c r="B121" s="508">
        <v>5</v>
      </c>
      <c r="C121" s="511" t="str">
        <f t="shared" ref="C121:H121" si="94">I55</f>
        <v>-</v>
      </c>
      <c r="D121" s="511" t="str">
        <f t="shared" si="94"/>
        <v>-</v>
      </c>
      <c r="E121" s="511" t="str">
        <f t="shared" si="94"/>
        <v>-</v>
      </c>
      <c r="F121" s="511" t="str">
        <f t="shared" si="94"/>
        <v>-</v>
      </c>
      <c r="G121" s="511" t="str">
        <f t="shared" si="94"/>
        <v>-</v>
      </c>
      <c r="H121" s="511" t="str">
        <f t="shared" si="94"/>
        <v>-</v>
      </c>
      <c r="I121" s="511"/>
      <c r="J121" s="511"/>
      <c r="K121" s="511">
        <v>5</v>
      </c>
      <c r="L121" s="511" t="str">
        <f t="shared" ref="L121:Q121" si="95">I61</f>
        <v>-</v>
      </c>
      <c r="M121" s="511" t="str">
        <f t="shared" si="95"/>
        <v>-</v>
      </c>
      <c r="N121" s="511" t="str">
        <f t="shared" si="95"/>
        <v>-</v>
      </c>
      <c r="O121" s="511" t="str">
        <f t="shared" si="95"/>
        <v>-</v>
      </c>
      <c r="P121" s="511" t="str">
        <f t="shared" si="95"/>
        <v>-</v>
      </c>
      <c r="Q121" s="511" t="str">
        <f t="shared" si="95"/>
        <v>-</v>
      </c>
    </row>
    <row r="122" spans="1:17" x14ac:dyDescent="0.25">
      <c r="A122" s="1099"/>
      <c r="B122" s="508">
        <v>6</v>
      </c>
      <c r="C122" s="511" t="str">
        <f t="shared" ref="C122:H122" si="96">P55</f>
        <v>-</v>
      </c>
      <c r="D122" s="511" t="str">
        <f t="shared" si="96"/>
        <v>-</v>
      </c>
      <c r="E122" s="511" t="str">
        <f t="shared" si="96"/>
        <v>-</v>
      </c>
      <c r="F122" s="511" t="str">
        <f t="shared" si="96"/>
        <v>-</v>
      </c>
      <c r="G122" s="511" t="str">
        <f t="shared" si="96"/>
        <v>-</v>
      </c>
      <c r="H122" s="511" t="str">
        <f t="shared" si="96"/>
        <v>-</v>
      </c>
      <c r="I122" s="511"/>
      <c r="J122" s="511"/>
      <c r="K122" s="511">
        <v>6</v>
      </c>
      <c r="L122" s="511" t="str">
        <f t="shared" ref="L122:Q122" si="97">P61</f>
        <v>-</v>
      </c>
      <c r="M122" s="511" t="str">
        <f t="shared" si="97"/>
        <v>-</v>
      </c>
      <c r="N122" s="511" t="str">
        <f t="shared" si="97"/>
        <v>-</v>
      </c>
      <c r="O122" s="511" t="str">
        <f t="shared" si="97"/>
        <v>-</v>
      </c>
      <c r="P122" s="511" t="str">
        <f t="shared" si="97"/>
        <v>-</v>
      </c>
      <c r="Q122" s="511" t="str">
        <f t="shared" si="97"/>
        <v>-</v>
      </c>
    </row>
    <row r="123" spans="1:17" s="485" customFormat="1" x14ac:dyDescent="0.25">
      <c r="A123" s="515"/>
      <c r="B123" s="509"/>
      <c r="C123" s="511"/>
      <c r="D123" s="511"/>
      <c r="E123" s="511"/>
      <c r="F123" s="511"/>
      <c r="G123" s="511"/>
      <c r="H123" s="511"/>
      <c r="I123" s="511"/>
      <c r="J123" s="511"/>
      <c r="K123" s="511"/>
      <c r="L123" s="511"/>
      <c r="M123" s="511"/>
      <c r="N123" s="511"/>
      <c r="O123" s="511"/>
      <c r="P123" s="511"/>
      <c r="Q123" s="511"/>
    </row>
    <row r="124" spans="1:17" x14ac:dyDescent="0.25">
      <c r="A124" s="1099" t="s">
        <v>96</v>
      </c>
      <c r="B124" s="508">
        <v>1</v>
      </c>
      <c r="C124" s="511" t="str">
        <f t="shared" ref="C124:H124" si="98">B23</f>
        <v>-</v>
      </c>
      <c r="D124" s="511" t="str">
        <f t="shared" si="98"/>
        <v>-</v>
      </c>
      <c r="E124" s="511" t="str">
        <f t="shared" si="98"/>
        <v>-</v>
      </c>
      <c r="F124" s="511" t="str">
        <f t="shared" si="98"/>
        <v>-</v>
      </c>
      <c r="G124" s="511">
        <f t="shared" si="98"/>
        <v>0</v>
      </c>
      <c r="H124" s="511" t="str">
        <f t="shared" si="98"/>
        <v>-</v>
      </c>
      <c r="I124" s="511"/>
      <c r="J124" s="511" t="s">
        <v>96</v>
      </c>
      <c r="K124" s="511">
        <v>1</v>
      </c>
      <c r="L124" s="511" t="str">
        <f t="shared" ref="L124:Q124" si="99">B31</f>
        <v>-</v>
      </c>
      <c r="M124" s="511" t="str">
        <f t="shared" si="99"/>
        <v>-</v>
      </c>
      <c r="N124" s="511" t="str">
        <f t="shared" si="99"/>
        <v>-</v>
      </c>
      <c r="O124" s="511" t="str">
        <f t="shared" si="99"/>
        <v>-</v>
      </c>
      <c r="P124" s="511">
        <f t="shared" si="99"/>
        <v>0</v>
      </c>
      <c r="Q124" s="511" t="str">
        <f t="shared" si="99"/>
        <v>-</v>
      </c>
    </row>
    <row r="125" spans="1:17" x14ac:dyDescent="0.25">
      <c r="A125" s="1099"/>
      <c r="B125" s="508">
        <v>2</v>
      </c>
      <c r="C125" s="511" t="str">
        <f t="shared" ref="C125:H125" si="100">I23</f>
        <v>-</v>
      </c>
      <c r="D125" s="511" t="str">
        <f t="shared" si="100"/>
        <v>-</v>
      </c>
      <c r="E125" s="511" t="str">
        <f t="shared" si="100"/>
        <v>-</v>
      </c>
      <c r="F125" s="511" t="str">
        <f t="shared" si="100"/>
        <v>-</v>
      </c>
      <c r="G125" s="511">
        <f t="shared" si="100"/>
        <v>0</v>
      </c>
      <c r="H125" s="511" t="str">
        <f t="shared" si="100"/>
        <v>-</v>
      </c>
      <c r="I125" s="511"/>
      <c r="J125" s="511"/>
      <c r="K125" s="511">
        <v>2</v>
      </c>
      <c r="L125" s="511" t="str">
        <f t="shared" ref="L125:Q125" si="101">I31</f>
        <v>-</v>
      </c>
      <c r="M125" s="511" t="str">
        <f t="shared" si="101"/>
        <v>-</v>
      </c>
      <c r="N125" s="511" t="str">
        <f t="shared" si="101"/>
        <v>-</v>
      </c>
      <c r="O125" s="511" t="str">
        <f t="shared" si="101"/>
        <v>-</v>
      </c>
      <c r="P125" s="511">
        <f t="shared" si="101"/>
        <v>0</v>
      </c>
      <c r="Q125" s="511" t="str">
        <f t="shared" si="101"/>
        <v>-</v>
      </c>
    </row>
    <row r="126" spans="1:17" x14ac:dyDescent="0.25">
      <c r="A126" s="1099"/>
      <c r="B126" s="508">
        <v>3</v>
      </c>
      <c r="C126" s="511" t="str">
        <f t="shared" ref="C126:H126" si="102">P23</f>
        <v>-</v>
      </c>
      <c r="D126" s="511" t="str">
        <f t="shared" si="102"/>
        <v>-</v>
      </c>
      <c r="E126" s="511" t="str">
        <f t="shared" si="102"/>
        <v>-</v>
      </c>
      <c r="F126" s="511" t="str">
        <f t="shared" si="102"/>
        <v>-</v>
      </c>
      <c r="G126" s="511" t="str">
        <f t="shared" si="102"/>
        <v>-</v>
      </c>
      <c r="H126" s="511" t="str">
        <f t="shared" si="102"/>
        <v>-</v>
      </c>
      <c r="I126" s="511"/>
      <c r="J126" s="511"/>
      <c r="K126" s="511">
        <v>3</v>
      </c>
      <c r="L126" s="511" t="str">
        <f t="shared" ref="L126:Q126" si="103">P31</f>
        <v>-</v>
      </c>
      <c r="M126" s="511" t="str">
        <f t="shared" si="103"/>
        <v>-</v>
      </c>
      <c r="N126" s="511" t="str">
        <f t="shared" si="103"/>
        <v>-</v>
      </c>
      <c r="O126" s="511" t="str">
        <f t="shared" si="103"/>
        <v>-</v>
      </c>
      <c r="P126" s="511" t="str">
        <f t="shared" si="103"/>
        <v>-</v>
      </c>
      <c r="Q126" s="511" t="str">
        <f t="shared" si="103"/>
        <v>-</v>
      </c>
    </row>
    <row r="127" spans="1:17" x14ac:dyDescent="0.25">
      <c r="A127" s="1099"/>
      <c r="B127" s="508">
        <v>4</v>
      </c>
      <c r="C127" s="511" t="str">
        <f t="shared" ref="C127:H127" si="104">B56</f>
        <v>-</v>
      </c>
      <c r="D127" s="511" t="str">
        <f t="shared" si="104"/>
        <v>-</v>
      </c>
      <c r="E127" s="511" t="str">
        <f t="shared" si="104"/>
        <v>-</v>
      </c>
      <c r="F127" s="511" t="str">
        <f t="shared" si="104"/>
        <v>-</v>
      </c>
      <c r="G127" s="511" t="str">
        <f t="shared" si="104"/>
        <v>-</v>
      </c>
      <c r="H127" s="511" t="str">
        <f t="shared" si="104"/>
        <v>-</v>
      </c>
      <c r="I127" s="511"/>
      <c r="J127" s="511"/>
      <c r="K127" s="511">
        <v>4</v>
      </c>
      <c r="L127" s="511" t="str">
        <f t="shared" ref="L127:Q127" si="105">B62</f>
        <v>-</v>
      </c>
      <c r="M127" s="511" t="str">
        <f t="shared" si="105"/>
        <v>-</v>
      </c>
      <c r="N127" s="511" t="str">
        <f t="shared" si="105"/>
        <v>-</v>
      </c>
      <c r="O127" s="511" t="str">
        <f t="shared" si="105"/>
        <v>-</v>
      </c>
      <c r="P127" s="511" t="str">
        <f t="shared" si="105"/>
        <v>-</v>
      </c>
      <c r="Q127" s="511" t="str">
        <f t="shared" si="105"/>
        <v>-</v>
      </c>
    </row>
    <row r="128" spans="1:17" x14ac:dyDescent="0.25">
      <c r="A128" s="1099"/>
      <c r="B128" s="508">
        <v>5</v>
      </c>
      <c r="C128" s="511" t="str">
        <f t="shared" ref="C128:H128" si="106">I56</f>
        <v>-</v>
      </c>
      <c r="D128" s="511" t="str">
        <f t="shared" si="106"/>
        <v>-</v>
      </c>
      <c r="E128" s="511" t="str">
        <f t="shared" si="106"/>
        <v>-</v>
      </c>
      <c r="F128" s="511" t="str">
        <f t="shared" si="106"/>
        <v>-</v>
      </c>
      <c r="G128" s="511" t="str">
        <f t="shared" si="106"/>
        <v>-</v>
      </c>
      <c r="H128" s="511" t="str">
        <f t="shared" si="106"/>
        <v>-</v>
      </c>
      <c r="I128" s="511"/>
      <c r="J128" s="511"/>
      <c r="K128" s="511">
        <v>5</v>
      </c>
      <c r="L128" s="511" t="str">
        <f t="shared" ref="L128:Q128" si="107">I62</f>
        <v>-</v>
      </c>
      <c r="M128" s="511" t="str">
        <f t="shared" si="107"/>
        <v>-</v>
      </c>
      <c r="N128" s="511" t="str">
        <f t="shared" si="107"/>
        <v>-</v>
      </c>
      <c r="O128" s="511" t="str">
        <f t="shared" si="107"/>
        <v>-</v>
      </c>
      <c r="P128" s="511" t="str">
        <f t="shared" si="107"/>
        <v>-</v>
      </c>
      <c r="Q128" s="511" t="str">
        <f t="shared" si="107"/>
        <v>-</v>
      </c>
    </row>
    <row r="129" spans="1:17" x14ac:dyDescent="0.25">
      <c r="A129" s="1099"/>
      <c r="B129" s="508">
        <v>6</v>
      </c>
      <c r="C129" s="511" t="str">
        <f t="shared" ref="C129:H129" si="108">P56</f>
        <v>-</v>
      </c>
      <c r="D129" s="511" t="str">
        <f t="shared" si="108"/>
        <v>-</v>
      </c>
      <c r="E129" s="511" t="str">
        <f t="shared" si="108"/>
        <v>-</v>
      </c>
      <c r="F129" s="511" t="str">
        <f t="shared" si="108"/>
        <v>-</v>
      </c>
      <c r="G129" s="511" t="str">
        <f t="shared" si="108"/>
        <v>-</v>
      </c>
      <c r="H129" s="511" t="str">
        <f t="shared" si="108"/>
        <v>-</v>
      </c>
      <c r="I129" s="511"/>
      <c r="J129" s="511"/>
      <c r="K129" s="511">
        <v>6</v>
      </c>
      <c r="L129" s="511" t="str">
        <f t="shared" ref="L129:Q129" si="109">P62</f>
        <v>-</v>
      </c>
      <c r="M129" s="511" t="str">
        <f t="shared" si="109"/>
        <v>-</v>
      </c>
      <c r="N129" s="511" t="str">
        <f t="shared" si="109"/>
        <v>-</v>
      </c>
      <c r="O129" s="511" t="str">
        <f t="shared" si="109"/>
        <v>-</v>
      </c>
      <c r="P129" s="511" t="str">
        <f t="shared" si="109"/>
        <v>-</v>
      </c>
      <c r="Q129" s="511" t="str">
        <f t="shared" si="109"/>
        <v>-</v>
      </c>
    </row>
    <row r="130" spans="1:17" s="485" customFormat="1" x14ac:dyDescent="0.25">
      <c r="A130" s="515"/>
      <c r="B130" s="509"/>
      <c r="C130" s="511"/>
      <c r="D130" s="511"/>
      <c r="E130" s="511"/>
      <c r="F130" s="511"/>
      <c r="G130" s="511"/>
      <c r="H130" s="511"/>
      <c r="I130" s="511"/>
      <c r="J130" s="511"/>
      <c r="K130" s="511"/>
      <c r="L130" s="511"/>
      <c r="M130" s="511"/>
      <c r="N130" s="511"/>
      <c r="O130" s="511"/>
      <c r="P130" s="511"/>
      <c r="Q130" s="511"/>
    </row>
    <row r="131" spans="1:17" x14ac:dyDescent="0.25">
      <c r="A131" s="1099" t="s">
        <v>97</v>
      </c>
      <c r="B131" s="508">
        <v>1</v>
      </c>
      <c r="C131" s="511" t="str">
        <f t="shared" ref="C131:H131" si="110">B24</f>
        <v>-</v>
      </c>
      <c r="D131" s="511" t="str">
        <f t="shared" si="110"/>
        <v>-</v>
      </c>
      <c r="E131" s="511" t="str">
        <f t="shared" si="110"/>
        <v>-</v>
      </c>
      <c r="F131" s="511" t="str">
        <f t="shared" si="110"/>
        <v>-</v>
      </c>
      <c r="G131" s="511">
        <f t="shared" si="110"/>
        <v>0</v>
      </c>
      <c r="H131" s="511" t="str">
        <f t="shared" si="110"/>
        <v>-</v>
      </c>
      <c r="I131" s="511"/>
      <c r="J131" s="511" t="s">
        <v>97</v>
      </c>
      <c r="K131" s="511">
        <v>1</v>
      </c>
      <c r="L131" s="511" t="str">
        <f t="shared" ref="L131:Q131" si="111">B32</f>
        <v>-</v>
      </c>
      <c r="M131" s="511" t="str">
        <f t="shared" si="111"/>
        <v>-</v>
      </c>
      <c r="N131" s="511" t="str">
        <f t="shared" si="111"/>
        <v>-</v>
      </c>
      <c r="O131" s="511" t="str">
        <f t="shared" si="111"/>
        <v>-</v>
      </c>
      <c r="P131" s="511">
        <f t="shared" si="111"/>
        <v>0</v>
      </c>
      <c r="Q131" s="511" t="str">
        <f t="shared" si="111"/>
        <v>-</v>
      </c>
    </row>
    <row r="132" spans="1:17" x14ac:dyDescent="0.25">
      <c r="A132" s="1099"/>
      <c r="B132" s="508">
        <v>2</v>
      </c>
      <c r="C132" s="511" t="str">
        <f t="shared" ref="C132:H132" si="112">I24</f>
        <v>-</v>
      </c>
      <c r="D132" s="511" t="str">
        <f t="shared" si="112"/>
        <v>-</v>
      </c>
      <c r="E132" s="511" t="str">
        <f t="shared" si="112"/>
        <v>-</v>
      </c>
      <c r="F132" s="511" t="str">
        <f t="shared" si="112"/>
        <v>-</v>
      </c>
      <c r="G132" s="511">
        <f t="shared" si="112"/>
        <v>0</v>
      </c>
      <c r="H132" s="511" t="str">
        <f t="shared" si="112"/>
        <v>-</v>
      </c>
      <c r="I132" s="511"/>
      <c r="J132" s="511"/>
      <c r="K132" s="511">
        <v>2</v>
      </c>
      <c r="L132" s="511" t="str">
        <f t="shared" ref="L132:Q132" si="113">I32</f>
        <v>-</v>
      </c>
      <c r="M132" s="511" t="str">
        <f t="shared" si="113"/>
        <v>-</v>
      </c>
      <c r="N132" s="511" t="str">
        <f t="shared" si="113"/>
        <v>-</v>
      </c>
      <c r="O132" s="511" t="str">
        <f t="shared" si="113"/>
        <v>-</v>
      </c>
      <c r="P132" s="511">
        <f t="shared" si="113"/>
        <v>0</v>
      </c>
      <c r="Q132" s="511" t="str">
        <f t="shared" si="113"/>
        <v>-</v>
      </c>
    </row>
    <row r="133" spans="1:17" x14ac:dyDescent="0.25">
      <c r="A133" s="1099"/>
      <c r="B133" s="508">
        <v>3</v>
      </c>
      <c r="C133" s="511" t="str">
        <f t="shared" ref="C133:H133" si="114">P24</f>
        <v>-</v>
      </c>
      <c r="D133" s="511" t="str">
        <f t="shared" si="114"/>
        <v>-</v>
      </c>
      <c r="E133" s="511" t="str">
        <f t="shared" si="114"/>
        <v>-</v>
      </c>
      <c r="F133" s="511" t="str">
        <f t="shared" si="114"/>
        <v>-</v>
      </c>
      <c r="G133" s="511" t="str">
        <f t="shared" si="114"/>
        <v>-</v>
      </c>
      <c r="H133" s="511" t="str">
        <f t="shared" si="114"/>
        <v>-</v>
      </c>
      <c r="I133" s="511"/>
      <c r="J133" s="511"/>
      <c r="K133" s="511">
        <v>3</v>
      </c>
      <c r="L133" s="511" t="str">
        <f t="shared" ref="L133:Q133" si="115">P32</f>
        <v>-</v>
      </c>
      <c r="M133" s="511" t="str">
        <f t="shared" si="115"/>
        <v>-</v>
      </c>
      <c r="N133" s="511" t="str">
        <f t="shared" si="115"/>
        <v>-</v>
      </c>
      <c r="O133" s="511" t="str">
        <f t="shared" si="115"/>
        <v>-</v>
      </c>
      <c r="P133" s="511" t="str">
        <f t="shared" si="115"/>
        <v>-</v>
      </c>
      <c r="Q133" s="511" t="str">
        <f t="shared" si="115"/>
        <v>-</v>
      </c>
    </row>
    <row r="134" spans="1:17" x14ac:dyDescent="0.25">
      <c r="A134" s="1099"/>
      <c r="B134" s="508">
        <v>4</v>
      </c>
      <c r="C134" s="511" t="str">
        <f t="shared" ref="C134:H134" si="116">B57</f>
        <v>-</v>
      </c>
      <c r="D134" s="511" t="str">
        <f t="shared" si="116"/>
        <v>-</v>
      </c>
      <c r="E134" s="511" t="str">
        <f t="shared" si="116"/>
        <v>-</v>
      </c>
      <c r="F134" s="511" t="str">
        <f t="shared" si="116"/>
        <v>-</v>
      </c>
      <c r="G134" s="511" t="str">
        <f t="shared" si="116"/>
        <v>-</v>
      </c>
      <c r="H134" s="511" t="str">
        <f t="shared" si="116"/>
        <v>-</v>
      </c>
      <c r="I134" s="511"/>
      <c r="J134" s="511"/>
      <c r="K134" s="511">
        <v>4</v>
      </c>
      <c r="L134" s="511" t="str">
        <f t="shared" ref="L134:Q134" si="117">B63</f>
        <v>-</v>
      </c>
      <c r="M134" s="511" t="str">
        <f t="shared" si="117"/>
        <v>-</v>
      </c>
      <c r="N134" s="511" t="str">
        <f t="shared" si="117"/>
        <v>-</v>
      </c>
      <c r="O134" s="511" t="str">
        <f t="shared" si="117"/>
        <v>-</v>
      </c>
      <c r="P134" s="511" t="str">
        <f t="shared" si="117"/>
        <v>-</v>
      </c>
      <c r="Q134" s="511" t="str">
        <f t="shared" si="117"/>
        <v>-</v>
      </c>
    </row>
    <row r="135" spans="1:17" x14ac:dyDescent="0.25">
      <c r="A135" s="1099"/>
      <c r="B135" s="508">
        <v>5</v>
      </c>
      <c r="C135" s="511" t="str">
        <f t="shared" ref="C135:H135" si="118">I57</f>
        <v>-</v>
      </c>
      <c r="D135" s="511" t="str">
        <f t="shared" si="118"/>
        <v>-</v>
      </c>
      <c r="E135" s="511" t="str">
        <f t="shared" si="118"/>
        <v>-</v>
      </c>
      <c r="F135" s="511" t="str">
        <f t="shared" si="118"/>
        <v>-</v>
      </c>
      <c r="G135" s="511" t="str">
        <f t="shared" si="118"/>
        <v>-</v>
      </c>
      <c r="H135" s="511" t="str">
        <f t="shared" si="118"/>
        <v>-</v>
      </c>
      <c r="I135" s="511"/>
      <c r="J135" s="511"/>
      <c r="K135" s="511">
        <v>5</v>
      </c>
      <c r="L135" s="511" t="str">
        <f t="shared" ref="L135:Q135" si="119">I63</f>
        <v>-</v>
      </c>
      <c r="M135" s="511" t="str">
        <f t="shared" si="119"/>
        <v>-</v>
      </c>
      <c r="N135" s="511" t="str">
        <f t="shared" si="119"/>
        <v>-</v>
      </c>
      <c r="O135" s="511" t="str">
        <f t="shared" si="119"/>
        <v>-</v>
      </c>
      <c r="P135" s="511" t="str">
        <f t="shared" si="119"/>
        <v>-</v>
      </c>
      <c r="Q135" s="511" t="str">
        <f t="shared" si="119"/>
        <v>-</v>
      </c>
    </row>
    <row r="136" spans="1:17" x14ac:dyDescent="0.25">
      <c r="A136" s="1099"/>
      <c r="B136" s="508">
        <v>6</v>
      </c>
      <c r="C136" s="511" t="str">
        <f t="shared" ref="C136:H136" si="120">P57</f>
        <v>-</v>
      </c>
      <c r="D136" s="511" t="str">
        <f t="shared" si="120"/>
        <v>-</v>
      </c>
      <c r="E136" s="511" t="str">
        <f t="shared" si="120"/>
        <v>-</v>
      </c>
      <c r="F136" s="511" t="str">
        <f t="shared" si="120"/>
        <v>-</v>
      </c>
      <c r="G136" s="511" t="str">
        <f t="shared" si="120"/>
        <v>-</v>
      </c>
      <c r="H136" s="511" t="str">
        <f t="shared" si="120"/>
        <v>-</v>
      </c>
      <c r="I136" s="511"/>
      <c r="J136" s="511"/>
      <c r="K136" s="511">
        <v>6</v>
      </c>
      <c r="L136" s="511" t="str">
        <f t="shared" ref="L136:Q136" si="121">P63</f>
        <v>-</v>
      </c>
      <c r="M136" s="511" t="str">
        <f t="shared" si="121"/>
        <v>-</v>
      </c>
      <c r="N136" s="511" t="str">
        <f t="shared" si="121"/>
        <v>-</v>
      </c>
      <c r="O136" s="511" t="str">
        <f t="shared" si="121"/>
        <v>-</v>
      </c>
      <c r="P136" s="511" t="str">
        <f t="shared" si="121"/>
        <v>-</v>
      </c>
      <c r="Q136" s="511" t="str">
        <f t="shared" si="121"/>
        <v>-</v>
      </c>
    </row>
    <row r="137" spans="1:17" s="485" customFormat="1" x14ac:dyDescent="0.25">
      <c r="A137" s="515"/>
      <c r="B137" s="509"/>
      <c r="C137" s="511"/>
      <c r="D137" s="511"/>
      <c r="E137" s="511"/>
      <c r="F137" s="511"/>
      <c r="G137" s="511"/>
      <c r="H137" s="511"/>
      <c r="I137" s="511"/>
      <c r="J137" s="511"/>
      <c r="K137" s="511"/>
      <c r="L137" s="511"/>
      <c r="M137" s="511"/>
      <c r="N137" s="511"/>
      <c r="O137" s="511"/>
      <c r="P137" s="511"/>
      <c r="Q137" s="511"/>
    </row>
    <row r="138" spans="1:17" x14ac:dyDescent="0.25">
      <c r="A138" s="1099" t="s">
        <v>98</v>
      </c>
      <c r="B138" s="508">
        <v>1</v>
      </c>
      <c r="C138" s="511" t="str">
        <f t="shared" ref="C138:H138" si="122">B27</f>
        <v>-</v>
      </c>
      <c r="D138" s="511" t="str">
        <f t="shared" si="122"/>
        <v>-</v>
      </c>
      <c r="E138" s="511" t="str">
        <f t="shared" si="122"/>
        <v>-</v>
      </c>
      <c r="F138" s="511" t="str">
        <f t="shared" si="122"/>
        <v>-</v>
      </c>
      <c r="G138" s="511">
        <f t="shared" si="122"/>
        <v>0</v>
      </c>
      <c r="H138" s="511" t="str">
        <f t="shared" si="122"/>
        <v>-</v>
      </c>
      <c r="I138" s="511"/>
      <c r="J138" s="511" t="s">
        <v>98</v>
      </c>
      <c r="K138" s="511">
        <v>1</v>
      </c>
      <c r="L138" s="511" t="str">
        <f t="shared" ref="L138:Q138" si="123">B33</f>
        <v>-</v>
      </c>
      <c r="M138" s="511" t="str">
        <f t="shared" si="123"/>
        <v>-</v>
      </c>
      <c r="N138" s="511" t="str">
        <f t="shared" si="123"/>
        <v>-</v>
      </c>
      <c r="O138" s="511" t="str">
        <f t="shared" si="123"/>
        <v>-</v>
      </c>
      <c r="P138" s="511">
        <f t="shared" si="123"/>
        <v>0</v>
      </c>
      <c r="Q138" s="511" t="str">
        <f t="shared" si="123"/>
        <v>-</v>
      </c>
    </row>
    <row r="139" spans="1:17" x14ac:dyDescent="0.25">
      <c r="A139" s="1099"/>
      <c r="B139" s="508">
        <v>2</v>
      </c>
      <c r="C139" s="511" t="str">
        <f t="shared" ref="C139:H139" si="124">I27</f>
        <v>-</v>
      </c>
      <c r="D139" s="511" t="str">
        <f t="shared" si="124"/>
        <v>-</v>
      </c>
      <c r="E139" s="511" t="str">
        <f t="shared" si="124"/>
        <v>-</v>
      </c>
      <c r="F139" s="511" t="str">
        <f t="shared" si="124"/>
        <v>-</v>
      </c>
      <c r="G139" s="511">
        <f t="shared" si="124"/>
        <v>0</v>
      </c>
      <c r="H139" s="511" t="str">
        <f t="shared" si="124"/>
        <v>-</v>
      </c>
      <c r="I139" s="511"/>
      <c r="J139" s="511"/>
      <c r="K139" s="511">
        <v>2</v>
      </c>
      <c r="L139" s="511" t="str">
        <f t="shared" ref="L139:Q139" si="125">I33</f>
        <v>-</v>
      </c>
      <c r="M139" s="511" t="str">
        <f t="shared" si="125"/>
        <v>-</v>
      </c>
      <c r="N139" s="511" t="str">
        <f t="shared" si="125"/>
        <v>-</v>
      </c>
      <c r="O139" s="511" t="str">
        <f t="shared" si="125"/>
        <v>-</v>
      </c>
      <c r="P139" s="511">
        <f t="shared" si="125"/>
        <v>0</v>
      </c>
      <c r="Q139" s="511" t="str">
        <f t="shared" si="125"/>
        <v>-</v>
      </c>
    </row>
    <row r="140" spans="1:17" x14ac:dyDescent="0.25">
      <c r="A140" s="1099"/>
      <c r="B140" s="508">
        <v>3</v>
      </c>
      <c r="C140" s="511" t="str">
        <f t="shared" ref="C140:H140" si="126">P27</f>
        <v>-</v>
      </c>
      <c r="D140" s="511" t="str">
        <f t="shared" si="126"/>
        <v>-</v>
      </c>
      <c r="E140" s="511" t="str">
        <f t="shared" si="126"/>
        <v>-</v>
      </c>
      <c r="F140" s="511" t="str">
        <f t="shared" si="126"/>
        <v>-</v>
      </c>
      <c r="G140" s="511" t="str">
        <f t="shared" si="126"/>
        <v>-</v>
      </c>
      <c r="H140" s="511" t="str">
        <f t="shared" si="126"/>
        <v>-</v>
      </c>
      <c r="I140" s="511"/>
      <c r="J140" s="511"/>
      <c r="K140" s="511">
        <v>3</v>
      </c>
      <c r="L140" s="511" t="str">
        <f t="shared" ref="L140:Q140" si="127">P33</f>
        <v>-</v>
      </c>
      <c r="M140" s="511" t="str">
        <f t="shared" si="127"/>
        <v>-</v>
      </c>
      <c r="N140" s="511" t="str">
        <f t="shared" si="127"/>
        <v>-</v>
      </c>
      <c r="O140" s="511" t="str">
        <f t="shared" si="127"/>
        <v>-</v>
      </c>
      <c r="P140" s="511" t="str">
        <f t="shared" si="127"/>
        <v>-</v>
      </c>
      <c r="Q140" s="511" t="str">
        <f t="shared" si="127"/>
        <v>-</v>
      </c>
    </row>
    <row r="141" spans="1:17" x14ac:dyDescent="0.25">
      <c r="A141" s="1099"/>
      <c r="B141" s="508">
        <v>4</v>
      </c>
      <c r="C141" s="511" t="str">
        <f t="shared" ref="C141:H141" si="128">B58</f>
        <v>-</v>
      </c>
      <c r="D141" s="511" t="str">
        <f t="shared" si="128"/>
        <v>-</v>
      </c>
      <c r="E141" s="511" t="str">
        <f t="shared" si="128"/>
        <v>-</v>
      </c>
      <c r="F141" s="511" t="str">
        <f t="shared" si="128"/>
        <v>-</v>
      </c>
      <c r="G141" s="511" t="str">
        <f t="shared" si="128"/>
        <v>-</v>
      </c>
      <c r="H141" s="511" t="str">
        <f t="shared" si="128"/>
        <v>-</v>
      </c>
      <c r="I141" s="511"/>
      <c r="J141" s="511"/>
      <c r="K141" s="511">
        <v>4</v>
      </c>
      <c r="L141" s="511" t="str">
        <f t="shared" ref="L141:Q141" si="129">B64</f>
        <v>-</v>
      </c>
      <c r="M141" s="511" t="str">
        <f t="shared" si="129"/>
        <v>-</v>
      </c>
      <c r="N141" s="511" t="str">
        <f t="shared" si="129"/>
        <v>-</v>
      </c>
      <c r="O141" s="511" t="str">
        <f t="shared" si="129"/>
        <v>-</v>
      </c>
      <c r="P141" s="511" t="str">
        <f t="shared" si="129"/>
        <v>-</v>
      </c>
      <c r="Q141" s="511" t="str">
        <f t="shared" si="129"/>
        <v>-</v>
      </c>
    </row>
    <row r="142" spans="1:17" x14ac:dyDescent="0.25">
      <c r="A142" s="1099"/>
      <c r="B142" s="508">
        <v>5</v>
      </c>
      <c r="C142" s="511" t="str">
        <f t="shared" ref="C142:H142" si="130">I58</f>
        <v>-</v>
      </c>
      <c r="D142" s="511" t="str">
        <f t="shared" si="130"/>
        <v>-</v>
      </c>
      <c r="E142" s="511" t="str">
        <f t="shared" si="130"/>
        <v>-</v>
      </c>
      <c r="F142" s="511" t="str">
        <f t="shared" si="130"/>
        <v>-</v>
      </c>
      <c r="G142" s="511" t="str">
        <f t="shared" si="130"/>
        <v>-</v>
      </c>
      <c r="H142" s="511" t="str">
        <f t="shared" si="130"/>
        <v>-</v>
      </c>
      <c r="I142" s="511"/>
      <c r="J142" s="511"/>
      <c r="K142" s="511">
        <v>5</v>
      </c>
      <c r="L142" s="511" t="str">
        <f t="shared" ref="L142:Q142" si="131">I64</f>
        <v>-</v>
      </c>
      <c r="M142" s="511" t="str">
        <f t="shared" si="131"/>
        <v>-</v>
      </c>
      <c r="N142" s="511" t="str">
        <f t="shared" si="131"/>
        <v>-</v>
      </c>
      <c r="O142" s="511" t="str">
        <f t="shared" si="131"/>
        <v>-</v>
      </c>
      <c r="P142" s="511" t="str">
        <f t="shared" si="131"/>
        <v>-</v>
      </c>
      <c r="Q142" s="511" t="str">
        <f t="shared" si="131"/>
        <v>-</v>
      </c>
    </row>
    <row r="143" spans="1:17" x14ac:dyDescent="0.25">
      <c r="A143" s="1099"/>
      <c r="B143" s="508">
        <v>6</v>
      </c>
      <c r="C143" s="511" t="str">
        <f t="shared" ref="C143:H143" si="132">P58</f>
        <v>-</v>
      </c>
      <c r="D143" s="511" t="str">
        <f t="shared" si="132"/>
        <v>-</v>
      </c>
      <c r="E143" s="511" t="str">
        <f t="shared" si="132"/>
        <v>-</v>
      </c>
      <c r="F143" s="511" t="str">
        <f t="shared" si="132"/>
        <v>-</v>
      </c>
      <c r="G143" s="511" t="str">
        <f t="shared" si="132"/>
        <v>-</v>
      </c>
      <c r="H143" s="511" t="str">
        <f t="shared" si="132"/>
        <v>-</v>
      </c>
      <c r="I143" s="511"/>
      <c r="J143" s="511"/>
      <c r="K143" s="511">
        <v>6</v>
      </c>
      <c r="L143" s="511" t="str">
        <f t="shared" ref="L143:Q143" si="133">P64</f>
        <v>-</v>
      </c>
      <c r="M143" s="511" t="str">
        <f t="shared" si="133"/>
        <v>-</v>
      </c>
      <c r="N143" s="511" t="str">
        <f t="shared" si="133"/>
        <v>-</v>
      </c>
      <c r="O143" s="511" t="str">
        <f t="shared" si="133"/>
        <v>-</v>
      </c>
      <c r="P143" s="511" t="str">
        <f t="shared" si="133"/>
        <v>-</v>
      </c>
      <c r="Q143" s="511" t="str">
        <f t="shared" si="133"/>
        <v>-</v>
      </c>
    </row>
    <row r="144" spans="1:17" s="485" customFormat="1" x14ac:dyDescent="0.25">
      <c r="A144" s="516"/>
      <c r="B144" s="517"/>
      <c r="C144" s="489"/>
      <c r="D144" s="489"/>
      <c r="E144" s="489"/>
      <c r="F144" s="489"/>
      <c r="G144" s="489"/>
      <c r="H144" s="518"/>
      <c r="I144" s="516"/>
      <c r="J144" s="517"/>
      <c r="K144" s="517"/>
      <c r="L144" s="517"/>
      <c r="M144" s="517"/>
      <c r="N144" s="517"/>
      <c r="O144" s="517"/>
      <c r="P144" s="518"/>
      <c r="Q144" s="518"/>
    </row>
    <row r="145" spans="1:18" x14ac:dyDescent="0.25">
      <c r="A145" s="505"/>
      <c r="B145" s="280"/>
      <c r="C145" s="280"/>
      <c r="D145" s="506"/>
      <c r="E145" s="506"/>
      <c r="F145" s="506"/>
      <c r="G145" s="506"/>
      <c r="H145" s="506"/>
      <c r="P145" s="506"/>
      <c r="Q145" s="506"/>
    </row>
    <row r="146" spans="1:18" ht="43.5" customHeight="1" x14ac:dyDescent="0.25">
      <c r="A146" s="519">
        <f>H175</f>
        <v>2</v>
      </c>
      <c r="B146" s="1100" t="str">
        <f>H168</f>
        <v>EEG Simulator, Merek : NETECH, Model : 330, SN : 31487</v>
      </c>
      <c r="C146" s="1100"/>
      <c r="D146" s="1100"/>
      <c r="E146" s="1100"/>
      <c r="F146" s="1100"/>
      <c r="I146" s="521"/>
      <c r="J146" s="521"/>
      <c r="K146" s="521"/>
      <c r="L146" s="521"/>
    </row>
    <row r="147" spans="1:18" ht="14.5" customHeight="1" x14ac:dyDescent="0.25">
      <c r="A147" s="1110" t="str">
        <f>C69</f>
        <v>SERTIFIKAT</v>
      </c>
      <c r="B147" s="1110"/>
      <c r="C147" s="1110"/>
      <c r="D147" s="1110"/>
      <c r="E147" s="1110"/>
      <c r="F147" s="1110"/>
      <c r="I147" s="521"/>
      <c r="J147" s="521"/>
      <c r="K147" s="521"/>
      <c r="L147" s="521"/>
    </row>
    <row r="148" spans="1:18" ht="13" x14ac:dyDescent="0.25">
      <c r="A148" s="1111" t="str">
        <f>B4</f>
        <v>SINE WAVE (Hz)</v>
      </c>
      <c r="B148" s="1111"/>
      <c r="C148" s="1111"/>
      <c r="D148" s="1111"/>
      <c r="E148" s="1111" t="s">
        <v>385</v>
      </c>
      <c r="F148" s="1111" t="s">
        <v>251</v>
      </c>
      <c r="I148" s="521"/>
      <c r="J148" s="521"/>
      <c r="K148" s="521"/>
      <c r="L148" s="521"/>
    </row>
    <row r="149" spans="1:18" ht="14" x14ac:dyDescent="0.25">
      <c r="A149" s="677" t="s">
        <v>386</v>
      </c>
      <c r="B149" s="523">
        <f>VLOOKUP(B146,H169:S174,9,FALSE)</f>
        <v>2018</v>
      </c>
      <c r="C149" s="523">
        <f>VLOOKUP(B146,H169:S174,10,FALSE)</f>
        <v>2016</v>
      </c>
      <c r="D149" s="523" t="str">
        <f>VLOOKUP(B146,H169:S174,11,FALSE)</f>
        <v>-</v>
      </c>
      <c r="E149" s="1111"/>
      <c r="F149" s="1111"/>
      <c r="I149" s="521"/>
      <c r="J149" s="521"/>
      <c r="K149" s="521"/>
      <c r="L149" s="521"/>
    </row>
    <row r="150" spans="1:18" ht="15.5" x14ac:dyDescent="0.25">
      <c r="A150" s="690">
        <f>VLOOKUP($A146,$B72:$H77,2,(FALSE))</f>
        <v>0</v>
      </c>
      <c r="B150" s="799">
        <f>VLOOKUP($A$146,$B$72:$H$77,3,(FALSE))</f>
        <v>0</v>
      </c>
      <c r="C150" s="701">
        <f>VLOOKUP($A$146,$B$72:$H$77,4,(FALSE))</f>
        <v>0</v>
      </c>
      <c r="D150" s="701" t="str">
        <f>VLOOKUP($A$146,$B$72:$H$77,5,(FALSE))</f>
        <v>-</v>
      </c>
      <c r="E150" s="701">
        <f>VLOOKUP($A$146,$B$72:$H$77,6,(FALSE))</f>
        <v>0</v>
      </c>
      <c r="F150" s="800">
        <f>VLOOKUP($A$146,$B$72:$H$77,7,(FALSE))</f>
        <v>5.0000000000000002E-5</v>
      </c>
      <c r="I150" s="506"/>
      <c r="J150" s="531"/>
    </row>
    <row r="151" spans="1:18" ht="14" x14ac:dyDescent="0.25">
      <c r="A151" s="702">
        <f>VLOOKUP($A$146,$B$79:$H$84,2,(FALSE))</f>
        <v>10</v>
      </c>
      <c r="B151" s="802">
        <f>VLOOKUP($A$146,$B$79:$H$84,3,(FALSE))</f>
        <v>1E-3</v>
      </c>
      <c r="C151" s="703">
        <f>VLOOKUP($A$146,$B$79:$H$84,4,(FALSE))</f>
        <v>0</v>
      </c>
      <c r="D151" s="703" t="str">
        <f>VLOOKUP($A$146,$B$79:$H$84,5,(FALSE))</f>
        <v>-</v>
      </c>
      <c r="E151" s="703">
        <f>VLOOKUP($A$146,$B$79:$H$84,6,(FALSE))</f>
        <v>5.0000000000000001E-4</v>
      </c>
      <c r="F151" s="800">
        <f>VLOOKUP($A$146,$B$79:$H$84,7,(FALSE))</f>
        <v>5.0000000000000002E-5</v>
      </c>
    </row>
    <row r="152" spans="1:18" ht="14" x14ac:dyDescent="0.25">
      <c r="A152" s="702">
        <f>VLOOKUP($A$146,$B$86:$H$91,2,(FALSE))</f>
        <v>30</v>
      </c>
      <c r="B152" s="802">
        <f>VLOOKUP($A$146,$B$86:$H$91,3,(FALSE))</f>
        <v>3.0000000000000001E-3</v>
      </c>
      <c r="C152" s="703">
        <f>VLOOKUP($A$146,$B$86:$H$91,4,(FALSE))</f>
        <v>0</v>
      </c>
      <c r="D152" s="703" t="str">
        <f>VLOOKUP($A$146,$B$86:$H$91,5,(FALSE))</f>
        <v>-</v>
      </c>
      <c r="E152" s="703">
        <f>VLOOKUP($A$146,$B$86:$H$91,6,(FALSE))</f>
        <v>1.5E-3</v>
      </c>
      <c r="F152" s="800">
        <f>VLOOKUP($A$146,$B$86:$H$91,7,(FALSE))</f>
        <v>5.0000000000000002E-5</v>
      </c>
      <c r="H152" s="506"/>
    </row>
    <row r="153" spans="1:18" ht="14" x14ac:dyDescent="0.25">
      <c r="A153" s="509">
        <f>VLOOKUP($A$146,$B$93:$H$98,2,(FALSE))</f>
        <v>50</v>
      </c>
      <c r="B153" s="803">
        <f>VLOOKUP($A$146,$B$93:$H$98,3,(FALSE))</f>
        <v>5.0000000000000001E-3</v>
      </c>
      <c r="C153" s="536">
        <f>VLOOKUP($A$146,$B$93:$H$98,4,(FALSE))</f>
        <v>0</v>
      </c>
      <c r="D153" s="536" t="str">
        <f>VLOOKUP($A$146,$B$93:$H$98,5,(FALSE))</f>
        <v>-</v>
      </c>
      <c r="E153" s="536">
        <f>VLOOKUP($A$146,$B$93:$H$98,6,(FALSE))</f>
        <v>2.5000000000000001E-3</v>
      </c>
      <c r="F153" s="800">
        <f>VLOOKUP($A$146,$B$93:$H$98,7,(FALSE))</f>
        <v>5.0000000000000002E-5</v>
      </c>
    </row>
    <row r="154" spans="1:18" ht="15.75" customHeight="1" x14ac:dyDescent="0.25">
      <c r="A154" s="509">
        <f>VLOOKUP($A$146,$B$100:$H$105,2,(FALSE))</f>
        <v>100</v>
      </c>
      <c r="B154" s="803">
        <f>VLOOKUP($A$146,$B$100:$H$105,3,(FALSE))</f>
        <v>0.01</v>
      </c>
      <c r="C154" s="536">
        <f>VLOOKUP($A$146,$B$100:$H$105,4,(FALSE))</f>
        <v>0</v>
      </c>
      <c r="D154" s="536" t="str">
        <f>VLOOKUP($A$146,$B$100:$H$105,5,(FALSE))</f>
        <v>-</v>
      </c>
      <c r="E154" s="536">
        <f>VLOOKUP($A$146,$B$100:$H$105,6,(FALSE))</f>
        <v>5.0000000000000001E-3</v>
      </c>
      <c r="F154" s="800">
        <f>VLOOKUP($A$146,$B$100:$H$105,7,(FALSE))</f>
        <v>5.0000000000000002E-5</v>
      </c>
    </row>
    <row r="155" spans="1:18" ht="14" x14ac:dyDescent="0.25">
      <c r="A155" s="509">
        <f>VLOOKUP($A$146,$B$107:$H$112,2,(FALSE))</f>
        <v>500</v>
      </c>
      <c r="B155" s="803">
        <f>VLOOKUP($A$146,$B$107:$H$112,3,(FALSE))</f>
        <v>0.05</v>
      </c>
      <c r="C155" s="536">
        <f>VLOOKUP($A$146,$B$107:$H$112,4,(FALSE))</f>
        <v>0</v>
      </c>
      <c r="D155" s="536" t="str">
        <f>VLOOKUP($A$146,$B$107:$H$112,5,(FALSE))</f>
        <v>-</v>
      </c>
      <c r="E155" s="536">
        <f>VLOOKUP($A$146,$B$107:$H$112,6,(FALSE))</f>
        <v>2.5000000000000001E-2</v>
      </c>
      <c r="F155" s="800">
        <f>VLOOKUP($A$146,$B$107:$H$112,7,(FALSE))</f>
        <v>5.0000000000000002E-5</v>
      </c>
    </row>
    <row r="156" spans="1:18" ht="13" customHeight="1" x14ac:dyDescent="0.25">
      <c r="A156" s="1098" t="str">
        <f>B12</f>
        <v>SQUARE WAVE (µv)</v>
      </c>
      <c r="B156" s="1098"/>
      <c r="C156" s="1098"/>
      <c r="D156" s="1098"/>
      <c r="E156" s="547" t="s">
        <v>385</v>
      </c>
      <c r="F156" s="547" t="s">
        <v>251</v>
      </c>
      <c r="H156" s="521"/>
      <c r="I156" s="521"/>
      <c r="J156" s="521"/>
      <c r="K156" s="521"/>
      <c r="L156" s="518"/>
      <c r="M156" s="544"/>
      <c r="N156" s="545"/>
      <c r="O156" s="546"/>
      <c r="Q156" s="506"/>
    </row>
    <row r="157" spans="1:18" ht="14" x14ac:dyDescent="0.25">
      <c r="A157" s="677" t="s">
        <v>388</v>
      </c>
      <c r="B157" s="523">
        <f>B149</f>
        <v>2018</v>
      </c>
      <c r="C157" s="523">
        <f>C149</f>
        <v>2016</v>
      </c>
      <c r="D157" s="523" t="str">
        <f>D149</f>
        <v>-</v>
      </c>
      <c r="E157" s="547"/>
      <c r="F157" s="547"/>
      <c r="H157" s="521"/>
      <c r="I157" s="521"/>
      <c r="J157" s="521"/>
      <c r="K157" s="521"/>
      <c r="L157" s="518"/>
      <c r="M157" s="544"/>
      <c r="N157" s="545"/>
      <c r="O157" s="546"/>
      <c r="Q157" s="506"/>
    </row>
    <row r="158" spans="1:18" ht="15.75" customHeight="1" x14ac:dyDescent="0.25">
      <c r="A158" s="512">
        <f>VLOOKUP($A$146,$K$72:$Q$77,2,(FALSE))</f>
        <v>0</v>
      </c>
      <c r="B158" s="548">
        <f>VLOOKUP($A$146,$K$72:$Q$77,3,(FALSE))</f>
        <v>0</v>
      </c>
      <c r="C158" s="548">
        <f>VLOOKUP($A$146,$K$72:$Q$77,4,(FALSE))</f>
        <v>0</v>
      </c>
      <c r="D158" s="548" t="str">
        <f>VLOOKUP($A$146,$K$72:$Q$77,5,(FALSE))</f>
        <v>-</v>
      </c>
      <c r="E158" s="548">
        <f>VLOOKUP($A$146,$K$72:$Q$77,6,(FALSE))</f>
        <v>0</v>
      </c>
      <c r="F158" s="548">
        <f>VLOOKUP($A$146,$K$72:$Q$77,7,(FALSE))</f>
        <v>0</v>
      </c>
      <c r="H158" s="1122"/>
      <c r="I158" s="1122"/>
      <c r="J158" s="1122"/>
      <c r="K158" s="1122"/>
      <c r="L158" s="518"/>
      <c r="M158" s="549"/>
      <c r="N158" s="549"/>
      <c r="O158" s="550"/>
      <c r="Q158" s="506"/>
      <c r="R158" s="506"/>
    </row>
    <row r="159" spans="1:18" x14ac:dyDescent="0.25">
      <c r="A159" s="512">
        <f>VLOOKUP($A$146,$K$79:$Q$84,2,(FALSE))</f>
        <v>0.1</v>
      </c>
      <c r="B159" s="548">
        <f>VLOOKUP($A$146,$K$79:$Q$84,3,(FALSE))</f>
        <v>1.0000000000000001E-5</v>
      </c>
      <c r="C159" s="548">
        <f>VLOOKUP($A$146,$K$79:$Q$84,4,(FALSE))</f>
        <v>0</v>
      </c>
      <c r="D159" s="548" t="str">
        <f>VLOOKUP($A$146,$K$79:$Q$84,5,(FALSE))</f>
        <v>-</v>
      </c>
      <c r="E159" s="548">
        <f>VLOOKUP($A$146,$K$79:$Q$84,6,(FALSE))</f>
        <v>5.0000000000000004E-6</v>
      </c>
      <c r="F159" s="548">
        <f>VLOOKUP($A$146,$K$79:$Q$84,7,(FALSE))</f>
        <v>1E-3</v>
      </c>
      <c r="H159" s="521"/>
      <c r="I159" s="521"/>
      <c r="J159" s="521"/>
      <c r="K159" s="521"/>
      <c r="L159" s="518"/>
      <c r="M159" s="551"/>
      <c r="N159" s="551"/>
      <c r="O159" s="546"/>
      <c r="Q159" s="506"/>
      <c r="R159" s="506"/>
    </row>
    <row r="160" spans="1:18" x14ac:dyDescent="0.25">
      <c r="A160" s="512">
        <f>VLOOKUP($A$146,$K$86:$Q$91,2,(FALSE))</f>
        <v>2</v>
      </c>
      <c r="B160" s="548">
        <f>VLOOKUP($A$146,$K$86:$Q$91,3,(FALSE))</f>
        <v>2.0000000000000001E-4</v>
      </c>
      <c r="C160" s="548">
        <f>VLOOKUP($A$146,$K$86:$Q$91,4,(FALSE))</f>
        <v>0</v>
      </c>
      <c r="D160" s="548" t="str">
        <f>VLOOKUP($A$146,$K$86:$Q$91,5,(FALSE))</f>
        <v>-</v>
      </c>
      <c r="E160" s="548">
        <f>VLOOKUP($A$146,$K$86:$Q$91,6,(FALSE))</f>
        <v>1E-4</v>
      </c>
      <c r="F160" s="548">
        <f>VLOOKUP($A$146,$K$86:$Q$91,7,(FALSE))</f>
        <v>0.02</v>
      </c>
      <c r="H160" s="521"/>
      <c r="I160" s="521"/>
      <c r="J160" s="521"/>
      <c r="K160" s="521"/>
      <c r="L160" s="518"/>
      <c r="M160" s="485"/>
      <c r="N160" s="485"/>
      <c r="O160" s="552"/>
      <c r="Q160" s="506"/>
      <c r="R160" s="506"/>
    </row>
    <row r="161" spans="1:32" x14ac:dyDescent="0.25">
      <c r="A161" s="512">
        <f>VLOOKUP($A$146,$K$93:$Q$98,2,(FALSE))</f>
        <v>5</v>
      </c>
      <c r="B161" s="548">
        <f>VLOOKUP($A$146,$K$93:$Q$98,3,(FALSE))</f>
        <v>5.0000000000000001E-4</v>
      </c>
      <c r="C161" s="548">
        <f>VLOOKUP($A$146,$K$93:$Q$98,4,(FALSE))</f>
        <v>0</v>
      </c>
      <c r="D161" s="548" t="str">
        <f>VLOOKUP($A$146,$K$93:$Q$98,5,(FALSE))</f>
        <v>-</v>
      </c>
      <c r="E161" s="548">
        <f>VLOOKUP($A$146,$K$93:$Q$98,6,(FALSE))</f>
        <v>2.5000000000000001E-4</v>
      </c>
      <c r="F161" s="548">
        <f>VLOOKUP($A$146,$K$93:$Q$98,7,(FALSE))</f>
        <v>0.05</v>
      </c>
      <c r="H161" s="521"/>
      <c r="I161" s="521"/>
      <c r="J161" s="521"/>
      <c r="K161" s="521"/>
      <c r="L161" s="518"/>
      <c r="M161" s="485"/>
      <c r="N161" s="485"/>
      <c r="O161" s="552"/>
      <c r="Q161" s="506"/>
      <c r="R161" s="506"/>
    </row>
    <row r="162" spans="1:32" ht="16.5" customHeight="1" x14ac:dyDescent="0.3">
      <c r="A162" s="512">
        <f>VLOOKUP($A$146,$K$100:$Q$105,2,(FALSE))</f>
        <v>50</v>
      </c>
      <c r="B162" s="548">
        <f>VLOOKUP($A$146,$K$100:$Q$105,3,(FALSE))</f>
        <v>5.0000000000000001E-3</v>
      </c>
      <c r="C162" s="548">
        <f>VLOOKUP($A$146,$K$100:$Q$105,4,(FALSE))</f>
        <v>0</v>
      </c>
      <c r="D162" s="548" t="str">
        <f>VLOOKUP($A$146,$K$100:$Q$105,5,(FALSE))</f>
        <v>-</v>
      </c>
      <c r="E162" s="548">
        <f>VLOOKUP($A$146,$K$100:$Q$105,6,(FALSE))</f>
        <v>2.5000000000000001E-3</v>
      </c>
      <c r="F162" s="548">
        <f>VLOOKUP($A$146,$K$100:$Q$105,7,(FALSE))</f>
        <v>0.5</v>
      </c>
      <c r="H162" s="1122"/>
      <c r="I162" s="1122"/>
      <c r="J162" s="1122"/>
      <c r="K162" s="1122"/>
      <c r="L162" s="518"/>
      <c r="M162" s="553"/>
      <c r="N162" s="553"/>
      <c r="O162" s="554"/>
      <c r="P162" s="14"/>
      <c r="Q162" s="506"/>
      <c r="R162" s="506"/>
    </row>
    <row r="163" spans="1:32" x14ac:dyDescent="0.25">
      <c r="A163" s="512">
        <f>VLOOKUP($A$146,$K$107:$Q$112,2,(FALSE))</f>
        <v>60</v>
      </c>
      <c r="B163" s="548">
        <f>VLOOKUP($A$146,$K$107:$Q$112,3,(FALSE))</f>
        <v>6.0000000000000001E-3</v>
      </c>
      <c r="C163" s="548">
        <f>VLOOKUP($A$146,$K$107:$Q$112,4,(FALSE))</f>
        <v>0</v>
      </c>
      <c r="D163" s="548" t="str">
        <f>VLOOKUP($A$146,$K$107:$Q$112,5,(FALSE))</f>
        <v>-</v>
      </c>
      <c r="E163" s="548">
        <f>VLOOKUP($A$146,$K$107:$Q$112,6,(FALSE))</f>
        <v>3.0000000000000001E-3</v>
      </c>
      <c r="F163" s="548">
        <f>VLOOKUP($A$146,$K$107:$Q$112,7,(FALSE))</f>
        <v>0.6</v>
      </c>
      <c r="H163" s="521"/>
      <c r="I163" s="521"/>
      <c r="J163" s="521"/>
      <c r="K163" s="521"/>
      <c r="L163" s="518"/>
      <c r="M163" s="521"/>
      <c r="N163" s="521"/>
      <c r="O163" s="555"/>
      <c r="P163" s="95"/>
      <c r="Q163" s="506"/>
      <c r="R163" s="506"/>
    </row>
    <row r="164" spans="1:32" ht="13" x14ac:dyDescent="0.25">
      <c r="A164" s="1098" t="str">
        <f>B20</f>
        <v>TRIANGLE WAVE (µv)</v>
      </c>
      <c r="B164" s="1098"/>
      <c r="C164" s="1098"/>
      <c r="D164" s="1098"/>
      <c r="E164" s="547" t="s">
        <v>385</v>
      </c>
      <c r="F164" s="547" t="s">
        <v>251</v>
      </c>
      <c r="H164" s="521"/>
      <c r="I164" s="521"/>
      <c r="J164" s="521"/>
      <c r="K164" s="521"/>
      <c r="L164" s="518"/>
      <c r="M164" s="521"/>
      <c r="N164" s="521"/>
      <c r="O164" s="555"/>
      <c r="P164" s="95"/>
      <c r="Q164" s="506"/>
      <c r="R164" s="506"/>
    </row>
    <row r="165" spans="1:32" ht="14.5" x14ac:dyDescent="0.25">
      <c r="A165" s="677" t="s">
        <v>389</v>
      </c>
      <c r="B165" s="523">
        <f>B157</f>
        <v>2018</v>
      </c>
      <c r="C165" s="523">
        <f>C157</f>
        <v>2016</v>
      </c>
      <c r="D165" s="523" t="str">
        <f>D157</f>
        <v>-</v>
      </c>
      <c r="E165" s="547"/>
      <c r="F165" s="547"/>
      <c r="H165" s="521"/>
      <c r="I165" s="521"/>
      <c r="J165" s="521"/>
      <c r="K165" s="521"/>
      <c r="L165" s="518"/>
      <c r="M165" s="521"/>
      <c r="N165" s="521"/>
      <c r="O165" s="555"/>
      <c r="P165" s="95"/>
      <c r="Q165" s="506"/>
      <c r="R165" s="506"/>
    </row>
    <row r="166" spans="1:32" ht="15.75" customHeight="1" x14ac:dyDescent="0.25">
      <c r="A166" s="512" t="str">
        <f>VLOOKUP($A$146,$B$117:$H$122,2,(FALSE))</f>
        <v>-</v>
      </c>
      <c r="B166" s="548" t="str">
        <f>VLOOKUP($A$146,$B$117:$H$122,3,(FALSE))</f>
        <v>-</v>
      </c>
      <c r="C166" s="548" t="str">
        <f>VLOOKUP($A$146,$B$117:$H$122,4,(FALSE))</f>
        <v>-</v>
      </c>
      <c r="D166" s="548" t="str">
        <f>VLOOKUP($A$146,$B$117:$H$122,5,(FALSE))</f>
        <v>-</v>
      </c>
      <c r="E166" s="548">
        <f>VLOOKUP($A$146,$B$117:$H$122,6,(FALSE))</f>
        <v>0</v>
      </c>
      <c r="F166" s="548" t="str">
        <f>VLOOKUP($A$146,$B$117:$H$122,7,(FALSE))</f>
        <v>-</v>
      </c>
      <c r="H166" s="1112"/>
      <c r="I166" s="1112"/>
      <c r="J166" s="1112"/>
      <c r="K166" s="1112"/>
      <c r="L166" s="485"/>
      <c r="M166" s="485"/>
      <c r="N166" s="485"/>
      <c r="O166" s="552"/>
      <c r="Q166" s="506"/>
      <c r="R166" s="506"/>
    </row>
    <row r="167" spans="1:32" ht="13" thickBot="1" x14ac:dyDescent="0.3">
      <c r="A167" s="512" t="str">
        <f>VLOOKUP($A$146,$B$124:$H$129,2,(FALSE))</f>
        <v>-</v>
      </c>
      <c r="B167" s="548" t="str">
        <f>VLOOKUP($A$146,$B$124:$H$129,3,(FALSE))</f>
        <v>-</v>
      </c>
      <c r="C167" s="548" t="str">
        <f>VLOOKUP($A$146,$B$124:$H$129,4,(FALSE))</f>
        <v>-</v>
      </c>
      <c r="D167" s="548" t="str">
        <f>VLOOKUP($A$146,$B$124:$H$129,5,(FALSE))</f>
        <v>-</v>
      </c>
      <c r="E167" s="548">
        <f>VLOOKUP($A$146,$B$124:$H$129,6,(FALSE))</f>
        <v>0</v>
      </c>
      <c r="F167" s="548" t="str">
        <f>VLOOKUP($A$146,$B$124:$H$129,7,(FALSE))</f>
        <v>-</v>
      </c>
      <c r="H167" s="556"/>
      <c r="I167" s="556"/>
      <c r="J167" s="556"/>
      <c r="K167" s="556"/>
      <c r="L167" s="485"/>
      <c r="M167" s="485"/>
      <c r="N167" s="485"/>
      <c r="O167" s="552"/>
      <c r="Q167" s="506"/>
      <c r="R167" s="506"/>
    </row>
    <row r="168" spans="1:32" ht="13.5" thickBot="1" x14ac:dyDescent="0.35">
      <c r="A168" s="512" t="str">
        <f>VLOOKUP($A$146,$B$131:$H$136,2,(FALSE))</f>
        <v>-</v>
      </c>
      <c r="B168" s="548" t="str">
        <f>VLOOKUP($A$146,$B$131:$H$136,3,(FALSE))</f>
        <v>-</v>
      </c>
      <c r="C168" s="548" t="str">
        <f>VLOOKUP($A$146,$B$131:$H$136,4,(FALSE))</f>
        <v>-</v>
      </c>
      <c r="D168" s="548" t="str">
        <f>VLOOKUP($A$146,$B$131:$H$136,5,(FALSE))</f>
        <v>-</v>
      </c>
      <c r="E168" s="548">
        <f>VLOOKUP($A$146,$B$131:$H$136,6,(FALSE))</f>
        <v>0</v>
      </c>
      <c r="F168" s="548" t="str">
        <f>VLOOKUP($A$146,$B$131:$H$136,7,(FALSE))</f>
        <v>-</v>
      </c>
      <c r="H168" s="585" t="str">
        <f>ID!B80</f>
        <v>EEG Simulator, Merek : NETECH, Model : 330, SN : 31487</v>
      </c>
      <c r="I168" s="579"/>
      <c r="J168" s="579"/>
      <c r="K168" s="579"/>
      <c r="L168" s="579"/>
      <c r="M168" s="579"/>
      <c r="N168" s="579"/>
      <c r="O168" s="579"/>
      <c r="P168" s="579"/>
      <c r="Q168" s="579"/>
      <c r="R168" s="579"/>
      <c r="S168" s="580"/>
      <c r="U168" s="1113">
        <f>H175</f>
        <v>2</v>
      </c>
      <c r="V168" s="1114"/>
      <c r="W168" s="1114"/>
      <c r="X168" s="1114"/>
      <c r="Y168" s="1114"/>
      <c r="Z168" s="1114"/>
      <c r="AA168" s="1114"/>
      <c r="AB168" s="1114"/>
      <c r="AC168" s="1114"/>
      <c r="AD168" s="1114"/>
      <c r="AE168" s="1114"/>
      <c r="AF168" s="1115"/>
    </row>
    <row r="169" spans="1:32" ht="13" x14ac:dyDescent="0.3">
      <c r="A169" s="512" t="str">
        <f>VLOOKUP($A$146,$B$138:$H$143,2,(FALSE))</f>
        <v>-</v>
      </c>
      <c r="B169" s="548" t="str">
        <f>VLOOKUP($A$146,$B$138:$H$143,3,(FALSE))</f>
        <v>-</v>
      </c>
      <c r="C169" s="548" t="str">
        <f>VLOOKUP($A$146,$B$138:$H$143,4,(FALSE))</f>
        <v>-</v>
      </c>
      <c r="D169" s="548" t="str">
        <f>VLOOKUP($A$146,$B$138:$H$143,5,(FALSE))</f>
        <v>-</v>
      </c>
      <c r="E169" s="548">
        <f>VLOOKUP($A$146,$B$138:$H$143,6,(FALSE))</f>
        <v>0</v>
      </c>
      <c r="F169" s="548" t="str">
        <f>VLOOKUP($A$146,$B$138:$H$143,7,(FALSE))</f>
        <v>-</v>
      </c>
      <c r="H169" s="139" t="s">
        <v>188</v>
      </c>
      <c r="I169" s="574"/>
      <c r="J169" s="574"/>
      <c r="K169" s="575"/>
      <c r="L169" s="575"/>
      <c r="M169" s="575"/>
      <c r="N169" s="575"/>
      <c r="O169" s="575"/>
      <c r="P169" s="576">
        <f>C5</f>
        <v>2018</v>
      </c>
      <c r="Q169" s="576">
        <f>D5</f>
        <v>2016</v>
      </c>
      <c r="R169" s="576" t="str">
        <f>E5</f>
        <v>-</v>
      </c>
      <c r="S169" s="578">
        <v>1</v>
      </c>
      <c r="U169" s="581">
        <v>1</v>
      </c>
      <c r="V169" s="582" t="s">
        <v>184</v>
      </c>
      <c r="W169" s="583"/>
      <c r="X169" s="583"/>
      <c r="Y169" s="583"/>
      <c r="Z169" s="583"/>
      <c r="AA169" s="583"/>
      <c r="AB169" s="583"/>
      <c r="AC169" s="583"/>
      <c r="AD169" s="583"/>
      <c r="AE169" s="583"/>
      <c r="AF169" s="584"/>
    </row>
    <row r="170" spans="1:32" ht="15.75" customHeight="1" x14ac:dyDescent="0.3">
      <c r="A170" s="1098" t="str">
        <f>B28</f>
        <v>SINE WAVE (µv)</v>
      </c>
      <c r="B170" s="1098"/>
      <c r="C170" s="1098"/>
      <c r="D170" s="1098"/>
      <c r="E170" s="547" t="s">
        <v>385</v>
      </c>
      <c r="F170" s="547" t="s">
        <v>251</v>
      </c>
      <c r="H170" s="139" t="s">
        <v>488</v>
      </c>
      <c r="I170" s="557"/>
      <c r="J170" s="557"/>
      <c r="K170" s="558"/>
      <c r="L170" s="558"/>
      <c r="M170" s="558"/>
      <c r="N170" s="558"/>
      <c r="O170" s="558"/>
      <c r="P170" s="559">
        <f>J5</f>
        <v>2018</v>
      </c>
      <c r="Q170" s="559">
        <f>K5</f>
        <v>2016</v>
      </c>
      <c r="R170" s="559" t="str">
        <f>L5</f>
        <v>-</v>
      </c>
      <c r="S170" s="561">
        <v>2</v>
      </c>
      <c r="U170" s="562">
        <v>2</v>
      </c>
      <c r="V170" s="582" t="s">
        <v>184</v>
      </c>
      <c r="W170" s="564"/>
      <c r="X170" s="564"/>
      <c r="Y170" s="564"/>
      <c r="Z170" s="564"/>
      <c r="AA170" s="564"/>
      <c r="AB170" s="564"/>
      <c r="AC170" s="564"/>
      <c r="AD170" s="564"/>
      <c r="AE170" s="564"/>
      <c r="AF170" s="565"/>
    </row>
    <row r="171" spans="1:32" ht="14.5" x14ac:dyDescent="0.3">
      <c r="A171" s="677" t="s">
        <v>390</v>
      </c>
      <c r="B171" s="523">
        <f>B165</f>
        <v>2018</v>
      </c>
      <c r="C171" s="523">
        <f>C165</f>
        <v>2016</v>
      </c>
      <c r="D171" s="523" t="str">
        <f>D165</f>
        <v>-</v>
      </c>
      <c r="E171" s="547"/>
      <c r="F171" s="547"/>
      <c r="H171" s="572"/>
      <c r="I171" s="557"/>
      <c r="J171" s="557"/>
      <c r="K171" s="558"/>
      <c r="L171" s="558"/>
      <c r="M171" s="558"/>
      <c r="N171" s="558"/>
      <c r="O171" s="558"/>
      <c r="P171" s="559">
        <f>Q5</f>
        <v>2022</v>
      </c>
      <c r="Q171" s="560">
        <f>R5</f>
        <v>2021</v>
      </c>
      <c r="R171" s="560">
        <f>S5</f>
        <v>2018</v>
      </c>
      <c r="S171" s="561">
        <v>3</v>
      </c>
      <c r="U171" s="562">
        <v>3</v>
      </c>
      <c r="V171" s="582" t="s">
        <v>184</v>
      </c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5"/>
    </row>
    <row r="172" spans="1:32" ht="14" x14ac:dyDescent="0.3">
      <c r="A172" s="690" t="str">
        <f>VLOOKUP($A$146,$K$117:$Q$122,2,(FALSE))</f>
        <v>-</v>
      </c>
      <c r="B172" s="701" t="str">
        <f>VLOOKUP($A$146,$K$117:$Q$122,3,(FALSE))</f>
        <v>-</v>
      </c>
      <c r="C172" s="701" t="str">
        <f>VLOOKUP($A$146,$K$117:$Q$122,4,(FALSE))</f>
        <v>-</v>
      </c>
      <c r="D172" s="701" t="str">
        <f>VLOOKUP($A$146,$K$117:$Q$122,5,(FALSE))</f>
        <v>-</v>
      </c>
      <c r="E172" s="701">
        <f>VLOOKUP($A$146,$K$117:$Q$122,6,(FALSE))</f>
        <v>0</v>
      </c>
      <c r="F172" s="701" t="str">
        <f>VLOOKUP($A$146,$K$117:$Q$122,7,(FALSE))</f>
        <v>-</v>
      </c>
      <c r="H172" s="572"/>
      <c r="I172" s="557"/>
      <c r="J172" s="557"/>
      <c r="K172" s="558"/>
      <c r="L172" s="558"/>
      <c r="M172" s="558"/>
      <c r="N172" s="558"/>
      <c r="O172" s="558"/>
      <c r="P172" s="559">
        <f>C38</f>
        <v>2022</v>
      </c>
      <c r="Q172" s="560">
        <f>D38</f>
        <v>2021</v>
      </c>
      <c r="R172" s="560">
        <f>E38</f>
        <v>2019</v>
      </c>
      <c r="S172" s="561">
        <v>4</v>
      </c>
      <c r="U172" s="562">
        <v>4</v>
      </c>
      <c r="V172" s="582" t="s">
        <v>184</v>
      </c>
      <c r="W172" s="564"/>
      <c r="X172" s="564"/>
      <c r="Y172" s="564"/>
      <c r="Z172" s="564"/>
      <c r="AA172" s="564"/>
      <c r="AB172" s="564"/>
      <c r="AC172" s="564"/>
      <c r="AD172" s="564"/>
      <c r="AE172" s="564"/>
      <c r="AF172" s="565"/>
    </row>
    <row r="173" spans="1:32" ht="14" x14ac:dyDescent="0.3">
      <c r="A173" s="690" t="str">
        <f>VLOOKUP($A$146,$K$124:$Q$129,2,(FALSE))</f>
        <v>-</v>
      </c>
      <c r="B173" s="701" t="str">
        <f>VLOOKUP($A$146,$K$124:$Q$129,3,(FALSE))</f>
        <v>-</v>
      </c>
      <c r="C173" s="701" t="str">
        <f>VLOOKUP($A$146,$K$124:$Q$129,4,(FALSE))</f>
        <v>-</v>
      </c>
      <c r="D173" s="701" t="str">
        <f>VLOOKUP($A$146,$K$124:$Q$129,5,(FALSE))</f>
        <v>-</v>
      </c>
      <c r="E173" s="701">
        <f>VLOOKUP($A$146,$K$124:$Q$129,6,(FALSE))</f>
        <v>0</v>
      </c>
      <c r="F173" s="701" t="str">
        <f>VLOOKUP($A$146,$K$124:$Q$129,7,(FALSE))</f>
        <v>-</v>
      </c>
      <c r="H173" s="572"/>
      <c r="I173" s="557"/>
      <c r="J173" s="557"/>
      <c r="K173" s="558"/>
      <c r="L173" s="558"/>
      <c r="M173" s="558"/>
      <c r="N173" s="558"/>
      <c r="O173" s="558"/>
      <c r="P173" s="559">
        <f>J38</f>
        <v>2022</v>
      </c>
      <c r="Q173" s="560">
        <f>K38</f>
        <v>2021</v>
      </c>
      <c r="R173" s="560">
        <f>L38</f>
        <v>2019</v>
      </c>
      <c r="S173" s="561">
        <v>5</v>
      </c>
      <c r="U173" s="562">
        <v>5</v>
      </c>
      <c r="V173" s="582" t="s">
        <v>184</v>
      </c>
      <c r="W173" s="564"/>
      <c r="X173" s="564"/>
      <c r="Y173" s="564"/>
      <c r="Z173" s="564"/>
      <c r="AA173" s="564"/>
      <c r="AB173" s="564"/>
      <c r="AC173" s="564"/>
      <c r="AD173" s="564"/>
      <c r="AE173" s="564"/>
      <c r="AF173" s="565"/>
    </row>
    <row r="174" spans="1:32" ht="15.75" customHeight="1" x14ac:dyDescent="0.3">
      <c r="A174" s="690" t="str">
        <f>VLOOKUP($A$146,$K$131:$Q$136,2,(FALSE))</f>
        <v>-</v>
      </c>
      <c r="B174" s="701" t="str">
        <f>VLOOKUP($A$146,$K$131:$Q$136,3,(FALSE))</f>
        <v>-</v>
      </c>
      <c r="C174" s="701" t="str">
        <f>VLOOKUP($A$146,$K$131:$Q$136,4,(FALSE))</f>
        <v>-</v>
      </c>
      <c r="D174" s="701" t="str">
        <f>VLOOKUP($A$146,$K$131:$Q$136,5,(FALSE))</f>
        <v>-</v>
      </c>
      <c r="E174" s="701">
        <f>VLOOKUP($A$146,$K$131:$Q$136,6,(FALSE))</f>
        <v>0</v>
      </c>
      <c r="F174" s="701" t="str">
        <f>VLOOKUP($A$146,$K$131:$Q$136,7,(FALSE))</f>
        <v>-</v>
      </c>
      <c r="H174" s="572"/>
      <c r="I174" s="557"/>
      <c r="J174" s="557"/>
      <c r="K174" s="558"/>
      <c r="L174" s="558"/>
      <c r="M174" s="558"/>
      <c r="N174" s="558"/>
      <c r="O174" s="558"/>
      <c r="P174" s="559">
        <f>Q38</f>
        <v>2023</v>
      </c>
      <c r="Q174" s="560">
        <f>R38</f>
        <v>2022</v>
      </c>
      <c r="R174" s="560">
        <f>S38</f>
        <v>2019</v>
      </c>
      <c r="S174" s="561">
        <v>6</v>
      </c>
      <c r="U174" s="562">
        <v>6</v>
      </c>
      <c r="V174" s="582" t="s">
        <v>184</v>
      </c>
      <c r="W174" s="564"/>
      <c r="X174" s="564"/>
      <c r="Y174" s="564"/>
      <c r="Z174" s="564"/>
      <c r="AA174" s="564"/>
      <c r="AB174" s="564"/>
      <c r="AC174" s="564"/>
      <c r="AD174" s="564"/>
      <c r="AE174" s="564"/>
      <c r="AF174" s="565"/>
    </row>
    <row r="175" spans="1:32" ht="14.5" thickBot="1" x14ac:dyDescent="0.35">
      <c r="A175" s="690" t="str">
        <f>VLOOKUP($A$146,$K$138:$Q$143,2,(FALSE))</f>
        <v>-</v>
      </c>
      <c r="B175" s="701" t="str">
        <f>VLOOKUP($A$146,$K$138:$Q$143,3,(FALSE))</f>
        <v>-</v>
      </c>
      <c r="C175" s="701" t="str">
        <f>VLOOKUP($A$146,$K$138:$Q$143,4,(FALSE))</f>
        <v>-</v>
      </c>
      <c r="D175" s="701" t="str">
        <f>VLOOKUP($A$146,$K$138:$Q$143,5,(FALSE))</f>
        <v>-</v>
      </c>
      <c r="E175" s="701">
        <f>VLOOKUP($A$146,$K$138:$Q$143,6,(FALSE))</f>
        <v>0</v>
      </c>
      <c r="F175" s="701" t="str">
        <f>VLOOKUP($A$146,$K$138:$Q$143,7,(FALSE))</f>
        <v>-</v>
      </c>
      <c r="H175" s="1116">
        <f>VLOOKUP(H168,H169:S174,12,(FALSE))</f>
        <v>2</v>
      </c>
      <c r="I175" s="1117"/>
      <c r="J175" s="1117"/>
      <c r="K175" s="1117"/>
      <c r="L175" s="1117"/>
      <c r="M175" s="1117"/>
      <c r="N175" s="1117"/>
      <c r="O175" s="1117"/>
      <c r="P175" s="1117"/>
      <c r="Q175" s="1117"/>
      <c r="R175" s="1117"/>
      <c r="S175" s="1118"/>
      <c r="U175" s="569" t="str">
        <f>VLOOKUP(U168,U169:AF174,2,FALSE)</f>
        <v>Hasil kalibrasi Frekuensi dan Amplitudo tertelusur ke Satuan Internasional melalui CALTEK PTE LTD</v>
      </c>
      <c r="V175" s="570"/>
      <c r="W175" s="570"/>
      <c r="X175" s="570"/>
      <c r="Y175" s="570"/>
      <c r="Z175" s="570"/>
      <c r="AA175" s="570"/>
      <c r="AB175" s="570"/>
      <c r="AC175" s="570"/>
      <c r="AD175" s="570"/>
      <c r="AE175" s="570"/>
      <c r="AF175" s="571"/>
    </row>
    <row r="176" spans="1:32" ht="14" x14ac:dyDescent="0.25">
      <c r="A176" s="793"/>
      <c r="B176" s="794"/>
      <c r="C176" s="794"/>
      <c r="D176" s="794"/>
      <c r="E176" s="794"/>
      <c r="F176" s="794"/>
      <c r="H176" s="556"/>
      <c r="I176" s="556"/>
      <c r="J176" s="556"/>
      <c r="K176" s="556"/>
      <c r="L176" s="485"/>
      <c r="M176" s="485"/>
      <c r="N176" s="485"/>
      <c r="O176" s="485"/>
      <c r="Q176" s="506"/>
      <c r="R176" s="506"/>
    </row>
    <row r="177" spans="1:18" ht="20" x14ac:dyDescent="0.3">
      <c r="A177" s="41" t="s">
        <v>100</v>
      </c>
      <c r="B177" s="286"/>
      <c r="C177" s="286"/>
      <c r="D177" s="286"/>
      <c r="E177" s="286"/>
      <c r="F177"/>
      <c r="H177" s="556"/>
      <c r="I177" s="556"/>
      <c r="J177" s="556"/>
      <c r="K177" s="556"/>
      <c r="L177" s="485"/>
      <c r="M177" s="485"/>
      <c r="N177" s="485"/>
      <c r="O177" s="485"/>
      <c r="Q177" s="506"/>
      <c r="R177" s="506"/>
    </row>
    <row r="178" spans="1:18" ht="31" customHeight="1" x14ac:dyDescent="0.25">
      <c r="A178" s="271" t="s">
        <v>490</v>
      </c>
      <c r="B178" s="259" t="s">
        <v>249</v>
      </c>
      <c r="C178" s="129" t="s">
        <v>250</v>
      </c>
      <c r="D178" s="129" t="s">
        <v>251</v>
      </c>
      <c r="E178" s="292" t="s">
        <v>252</v>
      </c>
      <c r="F178"/>
      <c r="H178" s="556"/>
      <c r="I178" s="556"/>
      <c r="J178" s="556"/>
      <c r="K178" s="556"/>
      <c r="L178" s="485"/>
      <c r="M178" s="485"/>
      <c r="N178" s="485"/>
      <c r="O178" s="485"/>
      <c r="Q178" s="506"/>
      <c r="R178" s="506"/>
    </row>
    <row r="179" spans="1:18" x14ac:dyDescent="0.25">
      <c r="A179" s="314">
        <f>ID!M42</f>
        <v>0.11000000000000001</v>
      </c>
      <c r="B179" s="294">
        <f>IFERROR(FORECAST(A179,$B$150:$B$155,$A$150:$A$155),"-")</f>
        <v>1.1000000000001734E-5</v>
      </c>
      <c r="C179" s="294">
        <f>IFERROR(FORECAST(A179,$E$150:$E$155,$A$150:$A$155),"-")</f>
        <v>5.5000000000008672E-6</v>
      </c>
      <c r="D179" s="294">
        <f>IFERROR(FORECAST(A179,$F$150:$F$155,$A$150:$A$155),"-")</f>
        <v>5.0000000000000002E-5</v>
      </c>
      <c r="E179" s="293">
        <f>IFERROR(A179+B179,"-")</f>
        <v>0.11001100000000001</v>
      </c>
      <c r="F179"/>
    </row>
    <row r="180" spans="1:18" x14ac:dyDescent="0.25">
      <c r="A180" s="314">
        <f>ID!M43</f>
        <v>1.9899999999999998</v>
      </c>
      <c r="B180" s="294">
        <f t="shared" ref="B180:B182" si="134">IFERROR(FORECAST(A180,$B$150:$B$155,$A$150:$A$155),"-")</f>
        <v>1.9900000000000169E-4</v>
      </c>
      <c r="C180" s="294">
        <f t="shared" ref="C180:C182" si="135">IFERROR(FORECAST(A180,$E$150:$E$155,$A$150:$A$155),"-")</f>
        <v>9.9500000000000846E-5</v>
      </c>
      <c r="D180" s="294">
        <f t="shared" ref="D180:D182" si="136">IFERROR(FORECAST(A180,$F$150:$F$155,$A$150:$A$155),"-")</f>
        <v>5.0000000000000002E-5</v>
      </c>
      <c r="E180" s="293">
        <f>A180+B180</f>
        <v>1.9901989999999998</v>
      </c>
      <c r="F180"/>
    </row>
    <row r="181" spans="1:18" x14ac:dyDescent="0.25">
      <c r="A181" s="314">
        <f>ID!M44</f>
        <v>5.0199999999999996</v>
      </c>
      <c r="B181" s="294">
        <f t="shared" si="134"/>
        <v>5.0200000000000169E-4</v>
      </c>
      <c r="C181" s="294">
        <f t="shared" si="135"/>
        <v>2.5100000000000084E-4</v>
      </c>
      <c r="D181" s="294">
        <f t="shared" si="136"/>
        <v>5.0000000000000002E-5</v>
      </c>
      <c r="E181" s="293">
        <f>A181+B181</f>
        <v>5.0205019999999996</v>
      </c>
      <c r="F181"/>
    </row>
    <row r="182" spans="1:18" x14ac:dyDescent="0.25">
      <c r="A182" s="314">
        <f>ID!M45</f>
        <v>51.2</v>
      </c>
      <c r="B182" s="294">
        <f t="shared" si="134"/>
        <v>5.1200000000000013E-3</v>
      </c>
      <c r="C182" s="294">
        <f t="shared" si="135"/>
        <v>2.5600000000000006E-3</v>
      </c>
      <c r="D182" s="294">
        <f t="shared" si="136"/>
        <v>5.0000000000000002E-5</v>
      </c>
      <c r="E182" s="293">
        <f>A182+B182</f>
        <v>51.205120000000001</v>
      </c>
      <c r="F182"/>
    </row>
    <row r="183" spans="1:18" x14ac:dyDescent="0.25">
      <c r="A183" s="314">
        <f>ID!M46</f>
        <v>56.89</v>
      </c>
      <c r="B183" s="294">
        <f>IFERROR(FORECAST(A183,$B$150:$B$155,$A$150:$A$155),"-")</f>
        <v>5.6890000000000013E-3</v>
      </c>
      <c r="C183" s="294">
        <f>IFERROR(FORECAST(A183,$E$150:$E$155,$A$150:$A$155),"-")</f>
        <v>2.8445000000000007E-3</v>
      </c>
      <c r="D183" s="294">
        <f>IFERROR(FORECAST(A183,$F$150:$F$155,$A$150:$A$155),"-")</f>
        <v>5.0000000000000002E-5</v>
      </c>
      <c r="E183" s="293">
        <f>A183+B183</f>
        <v>56.895688999999997</v>
      </c>
      <c r="F183"/>
    </row>
    <row r="184" spans="1:18" x14ac:dyDescent="0.25">
      <c r="A184" s="287"/>
      <c r="B184"/>
      <c r="C184"/>
      <c r="D184"/>
      <c r="E184"/>
      <c r="F184"/>
    </row>
    <row r="185" spans="1:18" ht="20" x14ac:dyDescent="0.3">
      <c r="A185" s="41" t="s">
        <v>489</v>
      </c>
      <c r="B185" s="286"/>
      <c r="C185" s="125" t="s">
        <v>262</v>
      </c>
      <c r="D185" s="286"/>
      <c r="E185" s="286"/>
      <c r="F185"/>
    </row>
    <row r="186" spans="1:18" ht="30.5" customHeight="1" x14ac:dyDescent="0.25">
      <c r="A186" s="271" t="str">
        <f>A178</f>
        <v>Rata-Rata Standar</v>
      </c>
      <c r="B186" s="259" t="s">
        <v>249</v>
      </c>
      <c r="C186" s="129" t="s">
        <v>250</v>
      </c>
      <c r="D186" s="129" t="s">
        <v>251</v>
      </c>
      <c r="E186" s="292" t="s">
        <v>252</v>
      </c>
      <c r="F186"/>
    </row>
    <row r="187" spans="1:18" x14ac:dyDescent="0.25">
      <c r="A187" s="288">
        <f>ID!M51</f>
        <v>10.1</v>
      </c>
      <c r="B187" s="294">
        <f>IFERROR(FORECAST(A187,$B$158:$B$163,$A$158:$A$163),"-")</f>
        <v>1.01E-3</v>
      </c>
      <c r="C187" s="294">
        <f>IFERROR(FORECAST(A187,$E$158:$E$163,$A$158:$A$163),"-")</f>
        <v>5.0500000000000002E-4</v>
      </c>
      <c r="D187" s="294">
        <f>IFERROR(FORECAST(A187,$F$158:$F$163,$A$158:$A$163),"-")</f>
        <v>0.10099999999999996</v>
      </c>
      <c r="E187" s="293">
        <f>IFERROR(A187+B187,"-")</f>
        <v>10.10101</v>
      </c>
      <c r="F187"/>
    </row>
    <row r="188" spans="1:18" x14ac:dyDescent="0.25">
      <c r="A188" s="288">
        <f>ID!M52</f>
        <v>30.9</v>
      </c>
      <c r="B188" s="294">
        <f t="shared" ref="B188:B190" si="137">IFERROR(FORECAST(A188,$B$158:$B$163,$A$158:$A$163),"-")</f>
        <v>3.0899999999999999E-3</v>
      </c>
      <c r="C188" s="294">
        <f t="shared" ref="C188:C190" si="138">IFERROR(FORECAST(A188,$E$158:$E$163,$A$158:$A$163),"-")</f>
        <v>1.5449999999999999E-3</v>
      </c>
      <c r="D188" s="294">
        <f t="shared" ref="D188:D189" si="139">IFERROR(FORECAST(A188,$F$158:$F$163,$A$158:$A$163),"-")</f>
        <v>0.30899999999999994</v>
      </c>
      <c r="E188" s="293">
        <f>A188+B188</f>
        <v>30.903089999999999</v>
      </c>
      <c r="F188"/>
    </row>
    <row r="189" spans="1:18" x14ac:dyDescent="0.25">
      <c r="A189" s="288">
        <f>ID!M53</f>
        <v>50.63</v>
      </c>
      <c r="B189" s="294">
        <f t="shared" si="137"/>
        <v>5.0630000000000007E-3</v>
      </c>
      <c r="C189" s="294">
        <f t="shared" si="138"/>
        <v>2.5315000000000003E-3</v>
      </c>
      <c r="D189" s="294">
        <f t="shared" si="139"/>
        <v>0.50630000000000008</v>
      </c>
      <c r="E189" s="293">
        <f>A189+B189</f>
        <v>50.635063000000002</v>
      </c>
      <c r="F189"/>
    </row>
    <row r="190" spans="1:18" x14ac:dyDescent="0.25">
      <c r="A190" s="288">
        <f>ID!M54</f>
        <v>102.71</v>
      </c>
      <c r="B190" s="294">
        <f t="shared" si="137"/>
        <v>1.0271000000000001E-2</v>
      </c>
      <c r="C190" s="294">
        <f t="shared" si="138"/>
        <v>5.1355000000000003E-3</v>
      </c>
      <c r="D190" s="294">
        <f>IFERROR(FORECAST(A190,$F$158:$F$163,$A$158:$A$163),"-")</f>
        <v>1.0270999999999999</v>
      </c>
      <c r="E190" s="293">
        <f>A190+B190</f>
        <v>102.720271</v>
      </c>
      <c r="F190"/>
    </row>
    <row r="191" spans="1:18" ht="13" x14ac:dyDescent="0.25">
      <c r="A191"/>
      <c r="B191" s="235"/>
      <c r="C191" s="235"/>
      <c r="D191"/>
      <c r="E191" s="276"/>
      <c r="F191"/>
    </row>
    <row r="192" spans="1:18" ht="20" x14ac:dyDescent="0.3">
      <c r="A192" s="41" t="str">
        <f>A185</f>
        <v>Ampitude (µv)</v>
      </c>
      <c r="B192" s="286"/>
      <c r="C192" s="125" t="s">
        <v>268</v>
      </c>
      <c r="D192" s="286"/>
      <c r="E192" s="286"/>
      <c r="F192"/>
    </row>
    <row r="193" spans="1:6" ht="30.5" customHeight="1" x14ac:dyDescent="0.25">
      <c r="A193" s="271" t="str">
        <f>A186</f>
        <v>Rata-Rata Standar</v>
      </c>
      <c r="B193" s="259" t="s">
        <v>249</v>
      </c>
      <c r="C193" s="129" t="s">
        <v>250</v>
      </c>
      <c r="D193" s="129" t="s">
        <v>251</v>
      </c>
      <c r="E193" s="292" t="s">
        <v>252</v>
      </c>
      <c r="F193"/>
    </row>
    <row r="194" spans="1:6" x14ac:dyDescent="0.25">
      <c r="A194" s="288">
        <f>A187</f>
        <v>10.1</v>
      </c>
      <c r="B194" s="294">
        <f>B187</f>
        <v>1.01E-3</v>
      </c>
      <c r="C194" s="294">
        <f t="shared" ref="C194:D194" si="140">C187</f>
        <v>5.0500000000000002E-4</v>
      </c>
      <c r="D194" s="294">
        <f t="shared" si="140"/>
        <v>0.10099999999999996</v>
      </c>
      <c r="E194" s="293">
        <f>IFERROR(A194+B194,"-")</f>
        <v>10.10101</v>
      </c>
      <c r="F194"/>
    </row>
    <row r="195" spans="1:6" x14ac:dyDescent="0.25">
      <c r="A195" s="288">
        <f t="shared" ref="A195:D197" si="141">A188</f>
        <v>30.9</v>
      </c>
      <c r="B195" s="294">
        <f t="shared" si="141"/>
        <v>3.0899999999999999E-3</v>
      </c>
      <c r="C195" s="294">
        <f t="shared" si="141"/>
        <v>1.5449999999999999E-3</v>
      </c>
      <c r="D195" s="294">
        <f t="shared" si="141"/>
        <v>0.30899999999999994</v>
      </c>
      <c r="E195" s="293">
        <f>A195+B195</f>
        <v>30.903089999999999</v>
      </c>
      <c r="F195"/>
    </row>
    <row r="196" spans="1:6" x14ac:dyDescent="0.25">
      <c r="A196" s="288">
        <f t="shared" si="141"/>
        <v>50.63</v>
      </c>
      <c r="B196" s="294">
        <f t="shared" si="141"/>
        <v>5.0630000000000007E-3</v>
      </c>
      <c r="C196" s="294">
        <f t="shared" si="141"/>
        <v>2.5315000000000003E-3</v>
      </c>
      <c r="D196" s="294">
        <f t="shared" si="141"/>
        <v>0.50630000000000008</v>
      </c>
      <c r="E196" s="293">
        <f>A196+B196</f>
        <v>50.635063000000002</v>
      </c>
      <c r="F196"/>
    </row>
    <row r="197" spans="1:6" x14ac:dyDescent="0.25">
      <c r="A197" s="288">
        <f t="shared" si="141"/>
        <v>102.71</v>
      </c>
      <c r="B197" s="294">
        <f t="shared" si="141"/>
        <v>1.0271000000000001E-2</v>
      </c>
      <c r="C197" s="294">
        <f t="shared" si="141"/>
        <v>5.1355000000000003E-3</v>
      </c>
      <c r="D197" s="294">
        <f t="shared" si="141"/>
        <v>1.0270999999999999</v>
      </c>
      <c r="E197" s="293">
        <f>A197+B197</f>
        <v>102.720271</v>
      </c>
      <c r="F197"/>
    </row>
    <row r="198" spans="1:6" ht="13" x14ac:dyDescent="0.25">
      <c r="A198"/>
      <c r="B198" s="278"/>
      <c r="C198" s="278"/>
      <c r="D198" s="279"/>
      <c r="E198" s="277"/>
      <c r="F198"/>
    </row>
    <row r="199" spans="1:6" ht="20" x14ac:dyDescent="0.3">
      <c r="A199" s="41" t="str">
        <f>A192</f>
        <v>Ampitude (µv)</v>
      </c>
      <c r="B199" s="286"/>
      <c r="C199" s="125" t="s">
        <v>176</v>
      </c>
      <c r="D199" s="286"/>
      <c r="E199" s="286"/>
      <c r="F199"/>
    </row>
    <row r="200" spans="1:6" ht="30" customHeight="1" x14ac:dyDescent="0.25">
      <c r="A200" s="271" t="str">
        <f>A193</f>
        <v>Rata-Rata Standar</v>
      </c>
      <c r="B200" s="259" t="s">
        <v>249</v>
      </c>
      <c r="C200" s="129" t="s">
        <v>250</v>
      </c>
      <c r="D200" s="129" t="s">
        <v>251</v>
      </c>
      <c r="E200" s="292" t="s">
        <v>252</v>
      </c>
      <c r="F200"/>
    </row>
    <row r="201" spans="1:6" x14ac:dyDescent="0.25">
      <c r="A201" s="288">
        <f>A194</f>
        <v>10.1</v>
      </c>
      <c r="B201" s="294">
        <f>B194</f>
        <v>1.01E-3</v>
      </c>
      <c r="C201" s="294">
        <f>C194</f>
        <v>5.0500000000000002E-4</v>
      </c>
      <c r="D201" s="294">
        <f>D194</f>
        <v>0.10099999999999996</v>
      </c>
      <c r="E201" s="293">
        <f>IFERROR(A201+B201,"-")</f>
        <v>10.10101</v>
      </c>
      <c r="F201"/>
    </row>
    <row r="202" spans="1:6" x14ac:dyDescent="0.25">
      <c r="A202" s="288">
        <f t="shared" ref="A202:D204" si="142">A195</f>
        <v>30.9</v>
      </c>
      <c r="B202" s="294">
        <f t="shared" si="142"/>
        <v>3.0899999999999999E-3</v>
      </c>
      <c r="C202" s="294">
        <f t="shared" si="142"/>
        <v>1.5449999999999999E-3</v>
      </c>
      <c r="D202" s="294">
        <f t="shared" si="142"/>
        <v>0.30899999999999994</v>
      </c>
      <c r="E202" s="293">
        <f>A202+B202</f>
        <v>30.903089999999999</v>
      </c>
      <c r="F202"/>
    </row>
    <row r="203" spans="1:6" x14ac:dyDescent="0.25">
      <c r="A203" s="288">
        <f t="shared" si="142"/>
        <v>50.63</v>
      </c>
      <c r="B203" s="294">
        <f t="shared" si="142"/>
        <v>5.0630000000000007E-3</v>
      </c>
      <c r="C203" s="294">
        <f t="shared" si="142"/>
        <v>2.5315000000000003E-3</v>
      </c>
      <c r="D203" s="294">
        <f t="shared" si="142"/>
        <v>0.50630000000000008</v>
      </c>
      <c r="E203" s="293">
        <f>A203+B203</f>
        <v>50.635063000000002</v>
      </c>
      <c r="F203"/>
    </row>
    <row r="204" spans="1:6" x14ac:dyDescent="0.25">
      <c r="A204" s="288">
        <f t="shared" si="142"/>
        <v>102.71</v>
      </c>
      <c r="B204" s="294">
        <f t="shared" si="142"/>
        <v>1.0271000000000001E-2</v>
      </c>
      <c r="C204" s="294">
        <f t="shared" si="142"/>
        <v>5.1355000000000003E-3</v>
      </c>
      <c r="D204" s="294">
        <f t="shared" si="142"/>
        <v>1.0270999999999999</v>
      </c>
      <c r="E204" s="293">
        <f>A204+B204</f>
        <v>102.720271</v>
      </c>
      <c r="F204"/>
    </row>
    <row r="205" spans="1:6" x14ac:dyDescent="0.25">
      <c r="A205"/>
      <c r="B205"/>
      <c r="C205"/>
      <c r="D205"/>
      <c r="E205"/>
      <c r="F205"/>
    </row>
    <row r="206" spans="1:6" ht="20" x14ac:dyDescent="0.3">
      <c r="A206" s="41" t="str">
        <f>A199</f>
        <v>Ampitude (µv)</v>
      </c>
      <c r="B206" s="286"/>
      <c r="C206" s="125" t="s">
        <v>177</v>
      </c>
      <c r="D206" s="286"/>
      <c r="E206" s="286"/>
      <c r="F206"/>
    </row>
    <row r="207" spans="1:6" ht="30" customHeight="1" x14ac:dyDescent="0.25">
      <c r="A207" s="271" t="str">
        <f>A200</f>
        <v>Rata-Rata Standar</v>
      </c>
      <c r="B207" s="259" t="s">
        <v>249</v>
      </c>
      <c r="C207" s="129" t="s">
        <v>250</v>
      </c>
      <c r="D207" s="129" t="s">
        <v>251</v>
      </c>
      <c r="E207" s="292" t="s">
        <v>252</v>
      </c>
      <c r="F207"/>
    </row>
    <row r="208" spans="1:6" x14ac:dyDescent="0.25">
      <c r="A208" s="288">
        <f>A201</f>
        <v>10.1</v>
      </c>
      <c r="B208" s="294">
        <f>B201</f>
        <v>1.01E-3</v>
      </c>
      <c r="C208" s="294">
        <f t="shared" ref="C208:D208" si="143">C201</f>
        <v>5.0500000000000002E-4</v>
      </c>
      <c r="D208" s="294">
        <f t="shared" si="143"/>
        <v>0.10099999999999996</v>
      </c>
      <c r="E208" s="293">
        <f>IFERROR(A208+B208,"-")</f>
        <v>10.10101</v>
      </c>
      <c r="F208"/>
    </row>
    <row r="209" spans="1:6" x14ac:dyDescent="0.25">
      <c r="A209" s="288">
        <f t="shared" ref="A209:D211" si="144">A202</f>
        <v>30.9</v>
      </c>
      <c r="B209" s="294">
        <f t="shared" si="144"/>
        <v>3.0899999999999999E-3</v>
      </c>
      <c r="C209" s="294">
        <f t="shared" si="144"/>
        <v>1.5449999999999999E-3</v>
      </c>
      <c r="D209" s="294">
        <f t="shared" si="144"/>
        <v>0.30899999999999994</v>
      </c>
      <c r="E209" s="293">
        <f>A209+B209</f>
        <v>30.903089999999999</v>
      </c>
      <c r="F209"/>
    </row>
    <row r="210" spans="1:6" x14ac:dyDescent="0.25">
      <c r="A210" s="288">
        <f t="shared" si="144"/>
        <v>50.63</v>
      </c>
      <c r="B210" s="294">
        <f t="shared" si="144"/>
        <v>5.0630000000000007E-3</v>
      </c>
      <c r="C210" s="294">
        <f t="shared" si="144"/>
        <v>2.5315000000000003E-3</v>
      </c>
      <c r="D210" s="294">
        <f t="shared" si="144"/>
        <v>0.50630000000000008</v>
      </c>
      <c r="E210" s="293">
        <f>A210+B210</f>
        <v>50.635063000000002</v>
      </c>
      <c r="F210"/>
    </row>
    <row r="211" spans="1:6" x14ac:dyDescent="0.25">
      <c r="A211" s="288">
        <f t="shared" si="144"/>
        <v>102.71</v>
      </c>
      <c r="B211" s="294">
        <f t="shared" si="144"/>
        <v>1.0271000000000001E-2</v>
      </c>
      <c r="C211" s="294">
        <f t="shared" si="144"/>
        <v>5.1355000000000003E-3</v>
      </c>
      <c r="D211" s="294">
        <f t="shared" si="144"/>
        <v>1.0270999999999999</v>
      </c>
      <c r="E211" s="293">
        <f>A211+B211</f>
        <v>102.720271</v>
      </c>
      <c r="F211"/>
    </row>
    <row r="212" spans="1:6" x14ac:dyDescent="0.25">
      <c r="A212"/>
      <c r="B212"/>
      <c r="C212"/>
      <c r="D212" s="94"/>
      <c r="E212" s="94"/>
      <c r="F212"/>
    </row>
    <row r="213" spans="1:6" ht="20" x14ac:dyDescent="0.3">
      <c r="A213" s="41" t="str">
        <f>A206</f>
        <v>Ampitude (µv)</v>
      </c>
      <c r="B213" s="286"/>
      <c r="C213" s="125" t="s">
        <v>178</v>
      </c>
      <c r="D213" s="286"/>
      <c r="E213" s="286"/>
      <c r="F213"/>
    </row>
    <row r="214" spans="1:6" ht="30" customHeight="1" x14ac:dyDescent="0.25">
      <c r="A214" s="271" t="str">
        <f>A207</f>
        <v>Rata-Rata Standar</v>
      </c>
      <c r="B214" s="259" t="s">
        <v>249</v>
      </c>
      <c r="C214" s="129" t="s">
        <v>250</v>
      </c>
      <c r="D214" s="129" t="s">
        <v>251</v>
      </c>
      <c r="E214" s="292" t="s">
        <v>252</v>
      </c>
      <c r="F214"/>
    </row>
    <row r="215" spans="1:6" x14ac:dyDescent="0.25">
      <c r="A215" s="795">
        <f>A208</f>
        <v>10.1</v>
      </c>
      <c r="B215" s="294">
        <f>B208</f>
        <v>1.01E-3</v>
      </c>
      <c r="C215" s="294">
        <f t="shared" ref="C215:D215" si="145">C208</f>
        <v>5.0500000000000002E-4</v>
      </c>
      <c r="D215" s="294">
        <f t="shared" si="145"/>
        <v>0.10099999999999996</v>
      </c>
      <c r="E215" s="293">
        <f>IFERROR(A215+B215,"-")</f>
        <v>10.10101</v>
      </c>
      <c r="F215"/>
    </row>
    <row r="216" spans="1:6" x14ac:dyDescent="0.25">
      <c r="A216" s="288">
        <f t="shared" ref="A216:D218" si="146">A209</f>
        <v>30.9</v>
      </c>
      <c r="B216" s="294">
        <f t="shared" si="146"/>
        <v>3.0899999999999999E-3</v>
      </c>
      <c r="C216" s="294">
        <f t="shared" si="146"/>
        <v>1.5449999999999999E-3</v>
      </c>
      <c r="D216" s="294">
        <f t="shared" si="146"/>
        <v>0.30899999999999994</v>
      </c>
      <c r="E216" s="293">
        <f>A216+B216</f>
        <v>30.903089999999999</v>
      </c>
      <c r="F216"/>
    </row>
    <row r="217" spans="1:6" x14ac:dyDescent="0.25">
      <c r="A217" s="288">
        <f t="shared" si="146"/>
        <v>50.63</v>
      </c>
      <c r="B217" s="294">
        <f t="shared" si="146"/>
        <v>5.0630000000000007E-3</v>
      </c>
      <c r="C217" s="294">
        <f t="shared" si="146"/>
        <v>2.5315000000000003E-3</v>
      </c>
      <c r="D217" s="294">
        <f t="shared" si="146"/>
        <v>0.50630000000000008</v>
      </c>
      <c r="E217" s="293">
        <f>A217+B217</f>
        <v>50.635063000000002</v>
      </c>
      <c r="F217"/>
    </row>
    <row r="218" spans="1:6" x14ac:dyDescent="0.25">
      <c r="A218" s="288">
        <f t="shared" si="146"/>
        <v>102.71</v>
      </c>
      <c r="B218" s="294">
        <f t="shared" si="146"/>
        <v>1.0271000000000001E-2</v>
      </c>
      <c r="C218" s="294">
        <f t="shared" si="146"/>
        <v>5.1355000000000003E-3</v>
      </c>
      <c r="D218" s="294">
        <f t="shared" si="146"/>
        <v>1.0270999999999999</v>
      </c>
      <c r="E218" s="293">
        <f>A218+B218</f>
        <v>102.720271</v>
      </c>
      <c r="F218"/>
    </row>
  </sheetData>
  <mergeCells count="132">
    <mergeCell ref="H166:K166"/>
    <mergeCell ref="A170:D170"/>
    <mergeCell ref="U168:AF168"/>
    <mergeCell ref="H175:S175"/>
    <mergeCell ref="A156:D156"/>
    <mergeCell ref="H158:K158"/>
    <mergeCell ref="H162:K162"/>
    <mergeCell ref="A164:D164"/>
    <mergeCell ref="A138:A143"/>
    <mergeCell ref="B146:F146"/>
    <mergeCell ref="A147:F147"/>
    <mergeCell ref="A148:D148"/>
    <mergeCell ref="E148:E149"/>
    <mergeCell ref="F148:F149"/>
    <mergeCell ref="L114:Q114"/>
    <mergeCell ref="C115:F115"/>
    <mergeCell ref="L115:O115"/>
    <mergeCell ref="A117:A122"/>
    <mergeCell ref="A124:A129"/>
    <mergeCell ref="A131:A136"/>
    <mergeCell ref="A107:A112"/>
    <mergeCell ref="A114:A116"/>
    <mergeCell ref="B114:B116"/>
    <mergeCell ref="C114:H114"/>
    <mergeCell ref="J114:J116"/>
    <mergeCell ref="K114:K116"/>
    <mergeCell ref="L70:O70"/>
    <mergeCell ref="A72:A77"/>
    <mergeCell ref="A79:A84"/>
    <mergeCell ref="A86:A91"/>
    <mergeCell ref="A93:A98"/>
    <mergeCell ref="A100:A105"/>
    <mergeCell ref="A66:U66"/>
    <mergeCell ref="A67:U67"/>
    <mergeCell ref="A69:A71"/>
    <mergeCell ref="B69:B71"/>
    <mergeCell ref="C69:H69"/>
    <mergeCell ref="J69:J71"/>
    <mergeCell ref="K69:K71"/>
    <mergeCell ref="L69:O69"/>
    <mergeCell ref="C70:F70"/>
    <mergeCell ref="P59:S59"/>
    <mergeCell ref="T59:T60"/>
    <mergeCell ref="U59:U60"/>
    <mergeCell ref="B59:E59"/>
    <mergeCell ref="F59:F60"/>
    <mergeCell ref="G59:G60"/>
    <mergeCell ref="I59:L59"/>
    <mergeCell ref="M59:M60"/>
    <mergeCell ref="N59:N60"/>
    <mergeCell ref="N37:N38"/>
    <mergeCell ref="P37:S37"/>
    <mergeCell ref="U45:U46"/>
    <mergeCell ref="B53:E53"/>
    <mergeCell ref="F53:F54"/>
    <mergeCell ref="G53:G54"/>
    <mergeCell ref="I53:L53"/>
    <mergeCell ref="M53:M54"/>
    <mergeCell ref="N53:N54"/>
    <mergeCell ref="P53:S53"/>
    <mergeCell ref="T53:T54"/>
    <mergeCell ref="U53:U54"/>
    <mergeCell ref="A35:A64"/>
    <mergeCell ref="B35:G35"/>
    <mergeCell ref="H35:H64"/>
    <mergeCell ref="I35:N35"/>
    <mergeCell ref="O35:O64"/>
    <mergeCell ref="P35:U35"/>
    <mergeCell ref="B36:G36"/>
    <mergeCell ref="I36:N36"/>
    <mergeCell ref="P36:U36"/>
    <mergeCell ref="B37:E37"/>
    <mergeCell ref="T37:T38"/>
    <mergeCell ref="U37:U38"/>
    <mergeCell ref="B45:E45"/>
    <mergeCell ref="F45:F46"/>
    <mergeCell ref="G45:G46"/>
    <mergeCell ref="I45:L45"/>
    <mergeCell ref="M45:M46"/>
    <mergeCell ref="N45:N46"/>
    <mergeCell ref="P45:S45"/>
    <mergeCell ref="T45:T46"/>
    <mergeCell ref="F37:F38"/>
    <mergeCell ref="G37:G38"/>
    <mergeCell ref="I37:L37"/>
    <mergeCell ref="M37:M38"/>
    <mergeCell ref="B28:E28"/>
    <mergeCell ref="F28:F29"/>
    <mergeCell ref="G28:G29"/>
    <mergeCell ref="I28:L28"/>
    <mergeCell ref="M28:M29"/>
    <mergeCell ref="N28:N29"/>
    <mergeCell ref="P28:S28"/>
    <mergeCell ref="T28:T29"/>
    <mergeCell ref="U28:U29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3"/>
    <mergeCell ref="B2:G2"/>
    <mergeCell ref="H2:H33"/>
    <mergeCell ref="I2:N2"/>
    <mergeCell ref="O2:O33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CA6D-2A1D-4D68-BCE6-A017D2523818}">
  <dimension ref="A1:Y151"/>
  <sheetViews>
    <sheetView view="pageBreakPreview" topLeftCell="A4" zoomScale="85" zoomScaleNormal="100" zoomScaleSheetLayoutView="85" workbookViewId="0">
      <selection activeCell="D9" sqref="D9"/>
    </sheetView>
  </sheetViews>
  <sheetFormatPr defaultRowHeight="12.5" x14ac:dyDescent="0.25"/>
  <sheetData>
    <row r="1" spans="1:25" ht="14" x14ac:dyDescent="0.3">
      <c r="A1" s="302" t="s">
        <v>269</v>
      </c>
      <c r="B1" s="73"/>
      <c r="C1" s="73"/>
      <c r="D1" s="73"/>
      <c r="E1" s="73"/>
      <c r="F1" s="73"/>
      <c r="G1" s="73"/>
      <c r="H1" s="73"/>
      <c r="I1" s="73"/>
      <c r="J1" s="73"/>
      <c r="K1" s="303"/>
      <c r="L1" s="304"/>
      <c r="M1" s="73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5"/>
    </row>
    <row r="2" spans="1:25" ht="13" x14ac:dyDescent="0.3">
      <c r="A2" s="47">
        <f>ID!$D$51</f>
        <v>10</v>
      </c>
      <c r="B2" s="65" t="s">
        <v>144</v>
      </c>
      <c r="C2" s="65">
        <f>ID!$G$7</f>
        <v>0.01</v>
      </c>
      <c r="E2" s="297" t="s">
        <v>270</v>
      </c>
      <c r="F2" s="74"/>
      <c r="G2" s="77">
        <v>10</v>
      </c>
      <c r="I2" s="101"/>
      <c r="J2" s="101"/>
      <c r="L2" s="100"/>
      <c r="N2" s="300">
        <f>ID!$D$52</f>
        <v>30</v>
      </c>
      <c r="O2" s="65" t="s">
        <v>144</v>
      </c>
      <c r="P2" s="65">
        <f>ID!$G$7</f>
        <v>0.01</v>
      </c>
      <c r="R2" s="297" t="s">
        <v>270</v>
      </c>
      <c r="S2" s="74"/>
      <c r="T2" s="77">
        <v>30</v>
      </c>
      <c r="V2" s="101"/>
      <c r="W2" s="101"/>
      <c r="Y2" s="100"/>
    </row>
    <row r="3" spans="1:25" ht="14" x14ac:dyDescent="0.3">
      <c r="A3" s="48" t="s">
        <v>227</v>
      </c>
      <c r="B3" s="181" t="s">
        <v>228</v>
      </c>
      <c r="C3" s="181" t="s">
        <v>229</v>
      </c>
      <c r="D3" s="181" t="s">
        <v>230</v>
      </c>
      <c r="E3" s="49" t="s">
        <v>231</v>
      </c>
      <c r="F3" s="181" t="s">
        <v>232</v>
      </c>
      <c r="G3" s="182" t="s">
        <v>233</v>
      </c>
      <c r="H3" s="181" t="s">
        <v>234</v>
      </c>
      <c r="I3" s="181"/>
      <c r="J3" s="182" t="s">
        <v>235</v>
      </c>
      <c r="K3" s="181" t="s">
        <v>236</v>
      </c>
      <c r="L3" s="183" t="s">
        <v>237</v>
      </c>
      <c r="N3" s="48" t="s">
        <v>227</v>
      </c>
      <c r="O3" s="181" t="s">
        <v>228</v>
      </c>
      <c r="P3" s="181" t="s">
        <v>229</v>
      </c>
      <c r="Q3" s="181" t="s">
        <v>230</v>
      </c>
      <c r="R3" s="49" t="s">
        <v>231</v>
      </c>
      <c r="S3" s="181" t="s">
        <v>232</v>
      </c>
      <c r="T3" s="182" t="s">
        <v>233</v>
      </c>
      <c r="U3" s="181" t="s">
        <v>234</v>
      </c>
      <c r="V3" s="181"/>
      <c r="W3" s="182" t="s">
        <v>235</v>
      </c>
      <c r="X3" s="181" t="s">
        <v>236</v>
      </c>
      <c r="Y3" s="183" t="s">
        <v>237</v>
      </c>
    </row>
    <row r="4" spans="1:25" ht="13" x14ac:dyDescent="0.3">
      <c r="A4" s="33" t="s">
        <v>241</v>
      </c>
      <c r="B4" s="7" t="str">
        <f>B2</f>
        <v>µv</v>
      </c>
      <c r="C4" s="7" t="s">
        <v>242</v>
      </c>
      <c r="D4" s="11">
        <f>ID!O51</f>
        <v>0</v>
      </c>
      <c r="E4" s="11">
        <f>SQRT(6)</f>
        <v>2.4494897427831779</v>
      </c>
      <c r="F4" s="7">
        <v>4</v>
      </c>
      <c r="G4" s="12">
        <f t="shared" ref="G4:G9" si="0">D4/E4</f>
        <v>0</v>
      </c>
      <c r="H4" s="11">
        <v>1</v>
      </c>
      <c r="I4" s="7" t="str">
        <f>'UB Hz'!$B$6</f>
        <v>Hz</v>
      </c>
      <c r="J4" s="12">
        <f t="shared" ref="J4:J9" si="1">G4*H4</f>
        <v>0</v>
      </c>
      <c r="K4" s="8">
        <f t="shared" ref="K4:K9" si="2">J4^2</f>
        <v>0</v>
      </c>
      <c r="L4" s="8">
        <f t="shared" ref="L4:L9" si="3">J4^4/F4</f>
        <v>0</v>
      </c>
      <c r="N4" s="33" t="s">
        <v>241</v>
      </c>
      <c r="O4" s="7" t="str">
        <f>O2</f>
        <v>µv</v>
      </c>
      <c r="P4" s="7" t="s">
        <v>242</v>
      </c>
      <c r="Q4" s="11">
        <f>ID!O52</f>
        <v>0</v>
      </c>
      <c r="R4" s="11">
        <f>SQRT(6)</f>
        <v>2.4494897427831779</v>
      </c>
      <c r="S4" s="7">
        <v>4</v>
      </c>
      <c r="T4" s="12">
        <f t="shared" ref="T4:T9" si="4">Q4/R4</f>
        <v>0</v>
      </c>
      <c r="U4" s="11">
        <f>H4</f>
        <v>1</v>
      </c>
      <c r="V4" s="7" t="str">
        <f>'UB Hz'!$B$6</f>
        <v>Hz</v>
      </c>
      <c r="W4" s="12">
        <f t="shared" ref="W4:W9" si="5">T4*U4</f>
        <v>0</v>
      </c>
      <c r="X4" s="8">
        <f t="shared" ref="X4:X9" si="6">W4^2</f>
        <v>0</v>
      </c>
      <c r="Y4" s="8">
        <f t="shared" ref="Y4:Y9" si="7">W4^4/S4</f>
        <v>0</v>
      </c>
    </row>
    <row r="5" spans="1:25" ht="13" x14ac:dyDescent="0.3">
      <c r="A5" s="33" t="s">
        <v>246</v>
      </c>
      <c r="B5" s="7" t="str">
        <f>B2</f>
        <v>µv</v>
      </c>
      <c r="C5" s="7" t="s">
        <v>247</v>
      </c>
      <c r="D5" s="7">
        <f>C2</f>
        <v>0.01</v>
      </c>
      <c r="E5" s="11">
        <f>SQRT(3)</f>
        <v>1.7320508075688772</v>
      </c>
      <c r="F5" s="160">
        <v>50</v>
      </c>
      <c r="G5" s="12">
        <f t="shared" si="0"/>
        <v>5.773502691896258E-3</v>
      </c>
      <c r="H5" s="11">
        <v>1</v>
      </c>
      <c r="I5" s="7" t="str">
        <f>'UB Hz'!$B$6</f>
        <v>Hz</v>
      </c>
      <c r="J5" s="12">
        <f t="shared" si="1"/>
        <v>5.773502691896258E-3</v>
      </c>
      <c r="K5" s="8">
        <f t="shared" si="2"/>
        <v>3.3333333333333335E-5</v>
      </c>
      <c r="L5" s="8">
        <f t="shared" si="3"/>
        <v>2.2222222222222225E-11</v>
      </c>
      <c r="N5" s="33" t="s">
        <v>246</v>
      </c>
      <c r="O5" s="7" t="str">
        <f>O2</f>
        <v>µv</v>
      </c>
      <c r="P5" s="7" t="s">
        <v>247</v>
      </c>
      <c r="Q5" s="7">
        <f>P2</f>
        <v>0.01</v>
      </c>
      <c r="R5" s="11">
        <f>SQRT(3)</f>
        <v>1.7320508075688772</v>
      </c>
      <c r="S5" s="160">
        <v>50</v>
      </c>
      <c r="T5" s="12">
        <f t="shared" si="4"/>
        <v>5.773502691896258E-3</v>
      </c>
      <c r="U5" s="11">
        <f>H5</f>
        <v>1</v>
      </c>
      <c r="V5" s="7" t="str">
        <f>'UB Hz'!$B$6</f>
        <v>Hz</v>
      </c>
      <c r="W5" s="12">
        <f t="shared" si="5"/>
        <v>5.773502691896258E-3</v>
      </c>
      <c r="X5" s="8">
        <f t="shared" si="6"/>
        <v>3.3333333333333335E-5</v>
      </c>
      <c r="Y5" s="8">
        <f t="shared" si="7"/>
        <v>2.2222222222222225E-11</v>
      </c>
    </row>
    <row r="6" spans="1:25" ht="13" x14ac:dyDescent="0.3">
      <c r="A6" s="236" t="s">
        <v>253</v>
      </c>
      <c r="B6" s="237" t="str">
        <f>'UB Hz'!$B$6</f>
        <v>Hz</v>
      </c>
      <c r="C6" s="237" t="s">
        <v>247</v>
      </c>
      <c r="D6" s="238">
        <v>0</v>
      </c>
      <c r="E6" s="238">
        <f>SQRT(3)</f>
        <v>1.7320508075688772</v>
      </c>
      <c r="F6" s="239">
        <v>50</v>
      </c>
      <c r="G6" s="240">
        <f t="shared" si="0"/>
        <v>0</v>
      </c>
      <c r="H6" s="238">
        <v>1</v>
      </c>
      <c r="I6" s="237" t="str">
        <f>'UB Hz'!$B$6</f>
        <v>Hz</v>
      </c>
      <c r="J6" s="240">
        <f t="shared" si="1"/>
        <v>0</v>
      </c>
      <c r="K6" s="241">
        <f t="shared" si="2"/>
        <v>0</v>
      </c>
      <c r="L6" s="241">
        <f t="shared" si="3"/>
        <v>0</v>
      </c>
      <c r="N6" s="236" t="s">
        <v>253</v>
      </c>
      <c r="O6" s="237" t="str">
        <f>'UB Hz'!$B$6</f>
        <v>Hz</v>
      </c>
      <c r="P6" s="237" t="s">
        <v>247</v>
      </c>
      <c r="Q6" s="238">
        <v>0</v>
      </c>
      <c r="R6" s="238">
        <f>SQRT(3)</f>
        <v>1.7320508075688772</v>
      </c>
      <c r="S6" s="239">
        <v>50</v>
      </c>
      <c r="T6" s="240">
        <f t="shared" si="4"/>
        <v>0</v>
      </c>
      <c r="U6" s="238">
        <v>1</v>
      </c>
      <c r="V6" s="237" t="str">
        <f>'UB Hz'!$B$6</f>
        <v>Hz</v>
      </c>
      <c r="W6" s="240">
        <f t="shared" si="5"/>
        <v>0</v>
      </c>
      <c r="X6" s="241">
        <f t="shared" si="6"/>
        <v>0</v>
      </c>
      <c r="Y6" s="241">
        <f t="shared" si="7"/>
        <v>0</v>
      </c>
    </row>
    <row r="7" spans="1:25" ht="13" x14ac:dyDescent="0.3">
      <c r="A7" s="249" t="s">
        <v>254</v>
      </c>
      <c r="B7" s="237" t="str">
        <f>'UB Hz'!$B$6</f>
        <v>Hz</v>
      </c>
      <c r="C7" s="237" t="s">
        <v>242</v>
      </c>
      <c r="D7" s="250">
        <v>0</v>
      </c>
      <c r="E7" s="238">
        <v>2</v>
      </c>
      <c r="F7" s="239">
        <v>50</v>
      </c>
      <c r="G7" s="240">
        <f t="shared" si="0"/>
        <v>0</v>
      </c>
      <c r="H7" s="238">
        <v>1</v>
      </c>
      <c r="I7" s="237" t="str">
        <f>'UB Hz'!$B$6</f>
        <v>Hz</v>
      </c>
      <c r="J7" s="240">
        <f t="shared" si="1"/>
        <v>0</v>
      </c>
      <c r="K7" s="241">
        <f t="shared" si="2"/>
        <v>0</v>
      </c>
      <c r="L7" s="241">
        <f t="shared" si="3"/>
        <v>0</v>
      </c>
      <c r="N7" s="249" t="s">
        <v>254</v>
      </c>
      <c r="O7" s="237" t="str">
        <f>'UB Hz'!$B$6</f>
        <v>Hz</v>
      </c>
      <c r="P7" s="237" t="s">
        <v>242</v>
      </c>
      <c r="Q7" s="250">
        <v>0</v>
      </c>
      <c r="R7" s="238">
        <v>2</v>
      </c>
      <c r="S7" s="239">
        <v>50</v>
      </c>
      <c r="T7" s="240">
        <f t="shared" si="4"/>
        <v>0</v>
      </c>
      <c r="U7" s="238">
        <v>1</v>
      </c>
      <c r="V7" s="237" t="str">
        <f>'UB Hz'!$B$6</f>
        <v>Hz</v>
      </c>
      <c r="W7" s="240">
        <f t="shared" si="5"/>
        <v>0</v>
      </c>
      <c r="X7" s="241">
        <f t="shared" si="6"/>
        <v>0</v>
      </c>
      <c r="Y7" s="241">
        <f t="shared" si="7"/>
        <v>0</v>
      </c>
    </row>
    <row r="8" spans="1:25" ht="13" x14ac:dyDescent="0.3">
      <c r="A8" s="33" t="s">
        <v>255</v>
      </c>
      <c r="B8" s="7" t="str">
        <f>B2</f>
        <v>µv</v>
      </c>
      <c r="C8" s="7" t="s">
        <v>247</v>
      </c>
      <c r="D8" s="298">
        <f>'DB EEG'!C187</f>
        <v>5.0500000000000002E-4</v>
      </c>
      <c r="E8" s="11">
        <f>SQRT(3)</f>
        <v>1.7320508075688772</v>
      </c>
      <c r="F8" s="160">
        <v>50</v>
      </c>
      <c r="G8" s="12">
        <f t="shared" si="0"/>
        <v>2.9156188594076104E-4</v>
      </c>
      <c r="H8" s="11">
        <v>1</v>
      </c>
      <c r="I8" s="7" t="str">
        <f>'UB Hz'!$B$6</f>
        <v>Hz</v>
      </c>
      <c r="J8" s="12">
        <f t="shared" si="1"/>
        <v>2.9156188594076104E-4</v>
      </c>
      <c r="K8" s="8">
        <f t="shared" si="2"/>
        <v>8.5008333333333358E-8</v>
      </c>
      <c r="L8" s="8">
        <f t="shared" si="3"/>
        <v>1.4452833472222231E-16</v>
      </c>
      <c r="N8" s="33" t="s">
        <v>255</v>
      </c>
      <c r="O8" s="7" t="str">
        <f>O2</f>
        <v>µv</v>
      </c>
      <c r="P8" s="7" t="s">
        <v>247</v>
      </c>
      <c r="Q8" s="298">
        <f>'DB EEG'!C188</f>
        <v>1.5449999999999999E-3</v>
      </c>
      <c r="R8" s="11">
        <f>SQRT(3)</f>
        <v>1.7320508075688772</v>
      </c>
      <c r="S8" s="160">
        <v>50</v>
      </c>
      <c r="T8" s="12">
        <f t="shared" si="4"/>
        <v>8.9200616589797178E-4</v>
      </c>
      <c r="U8" s="11">
        <v>1</v>
      </c>
      <c r="V8" s="7" t="str">
        <f>'UB Hz'!$B$6</f>
        <v>Hz</v>
      </c>
      <c r="W8" s="12">
        <f t="shared" si="5"/>
        <v>8.9200616589797178E-4</v>
      </c>
      <c r="X8" s="8">
        <f t="shared" si="6"/>
        <v>7.956749999999999E-7</v>
      </c>
      <c r="Y8" s="8">
        <f t="shared" si="7"/>
        <v>1.2661974112499997E-14</v>
      </c>
    </row>
    <row r="9" spans="1:25" ht="13" x14ac:dyDescent="0.3">
      <c r="A9" s="35" t="s">
        <v>256</v>
      </c>
      <c r="B9" s="7" t="str">
        <f>B2</f>
        <v>µv</v>
      </c>
      <c r="C9" s="7" t="s">
        <v>242</v>
      </c>
      <c r="D9" s="299">
        <f>'DB EEG'!D187</f>
        <v>0.10099999999999996</v>
      </c>
      <c r="E9" s="11">
        <v>2</v>
      </c>
      <c r="F9" s="160">
        <v>50</v>
      </c>
      <c r="G9" s="12">
        <f t="shared" si="0"/>
        <v>5.0499999999999982E-2</v>
      </c>
      <c r="H9" s="11">
        <v>1</v>
      </c>
      <c r="I9" s="7" t="str">
        <f>'UB Hz'!$B$6</f>
        <v>Hz</v>
      </c>
      <c r="J9" s="12">
        <f t="shared" si="1"/>
        <v>5.0499999999999982E-2</v>
      </c>
      <c r="K9" s="8">
        <f t="shared" si="2"/>
        <v>2.5502499999999983E-3</v>
      </c>
      <c r="L9" s="8">
        <f t="shared" si="3"/>
        <v>1.3007550124999984E-7</v>
      </c>
      <c r="N9" s="35" t="s">
        <v>256</v>
      </c>
      <c r="O9" s="7" t="str">
        <f>O2</f>
        <v>µv</v>
      </c>
      <c r="P9" s="7" t="s">
        <v>242</v>
      </c>
      <c r="Q9" s="299">
        <f>'DB EEG'!D188</f>
        <v>0.30899999999999994</v>
      </c>
      <c r="R9" s="11">
        <v>2</v>
      </c>
      <c r="S9" s="160">
        <v>50</v>
      </c>
      <c r="T9" s="12">
        <f t="shared" si="4"/>
        <v>0.15449999999999997</v>
      </c>
      <c r="U9" s="11">
        <v>1</v>
      </c>
      <c r="V9" s="7" t="str">
        <f>'UB Hz'!$B$6</f>
        <v>Hz</v>
      </c>
      <c r="W9" s="12">
        <f t="shared" si="5"/>
        <v>0.15449999999999997</v>
      </c>
      <c r="X9" s="8">
        <f t="shared" si="6"/>
        <v>2.3870249999999992E-2</v>
      </c>
      <c r="Y9" s="8">
        <f t="shared" si="7"/>
        <v>1.1395776701249993E-5</v>
      </c>
    </row>
    <row r="10" spans="1:25" ht="14" x14ac:dyDescent="0.3">
      <c r="A10" s="36" t="s">
        <v>257</v>
      </c>
      <c r="B10" s="13"/>
      <c r="C10" s="13"/>
      <c r="D10" s="13"/>
      <c r="E10" s="14"/>
      <c r="F10" s="13"/>
      <c r="G10" s="13"/>
      <c r="H10" s="13"/>
      <c r="I10" s="13"/>
      <c r="J10" s="13"/>
      <c r="K10" s="50">
        <f>SUM(K4:K9)</f>
        <v>2.5836683416666649E-3</v>
      </c>
      <c r="L10" s="4">
        <f>SUM(L4:L9)</f>
        <v>1.300977236167504E-7</v>
      </c>
      <c r="N10" s="36" t="s">
        <v>257</v>
      </c>
      <c r="O10" s="13"/>
      <c r="P10" s="13"/>
      <c r="Q10" s="13"/>
      <c r="R10" s="14"/>
      <c r="S10" s="13"/>
      <c r="T10" s="13"/>
      <c r="U10" s="13"/>
      <c r="V10" s="13"/>
      <c r="W10" s="13"/>
      <c r="X10" s="50">
        <f>SUM(X4:X9)</f>
        <v>2.3904379008333327E-2</v>
      </c>
      <c r="Y10" s="4">
        <f>SUM(Y4:Y9)</f>
        <v>1.1395798936134189E-5</v>
      </c>
    </row>
    <row r="11" spans="1:25" ht="17" x14ac:dyDescent="0.45">
      <c r="A11" s="37" t="s">
        <v>258</v>
      </c>
      <c r="B11" s="16"/>
      <c r="C11" s="16"/>
      <c r="D11" s="16"/>
      <c r="E11" s="17"/>
      <c r="F11" s="16"/>
      <c r="G11" s="51" t="s">
        <v>259</v>
      </c>
      <c r="H11" s="16"/>
      <c r="I11" s="16"/>
      <c r="J11" s="16"/>
      <c r="K11" s="18">
        <f>SQRT(K10)</f>
        <v>5.0829797773222204E-2</v>
      </c>
      <c r="L11" s="19"/>
      <c r="N11" s="37" t="s">
        <v>258</v>
      </c>
      <c r="O11" s="16"/>
      <c r="P11" s="16"/>
      <c r="Q11" s="16"/>
      <c r="R11" s="17"/>
      <c r="S11" s="16"/>
      <c r="T11" s="51" t="s">
        <v>259</v>
      </c>
      <c r="U11" s="16"/>
      <c r="V11" s="16"/>
      <c r="W11" s="16"/>
      <c r="X11" s="18">
        <f>SQRT(X10)</f>
        <v>0.15461041041383122</v>
      </c>
      <c r="Y11" s="19"/>
    </row>
    <row r="12" spans="1:25" ht="17.5" x14ac:dyDescent="0.45">
      <c r="A12" s="36" t="s">
        <v>260</v>
      </c>
      <c r="B12" s="20"/>
      <c r="C12" s="20"/>
      <c r="D12" s="20"/>
      <c r="E12" s="21"/>
      <c r="F12" s="20"/>
      <c r="G12" s="52" t="s">
        <v>261</v>
      </c>
      <c r="H12" s="20"/>
      <c r="I12" s="20"/>
      <c r="J12" s="20"/>
      <c r="K12" s="26">
        <f>K11^4/(L10)</f>
        <v>51.310214461516587</v>
      </c>
      <c r="L12" s="22"/>
      <c r="N12" s="36" t="s">
        <v>260</v>
      </c>
      <c r="O12" s="20"/>
      <c r="P12" s="20"/>
      <c r="Q12" s="20"/>
      <c r="R12" s="21"/>
      <c r="S12" s="20"/>
      <c r="T12" s="52" t="s">
        <v>261</v>
      </c>
      <c r="U12" s="20"/>
      <c r="V12" s="20"/>
      <c r="W12" s="20"/>
      <c r="X12" s="26">
        <f>X11^4/(Y10)</f>
        <v>50.142981547539527</v>
      </c>
      <c r="Y12" s="22"/>
    </row>
    <row r="13" spans="1:25" ht="15.5" x14ac:dyDescent="0.35">
      <c r="A13" s="37" t="s">
        <v>263</v>
      </c>
      <c r="B13" s="16"/>
      <c r="C13" s="16"/>
      <c r="D13" s="16"/>
      <c r="E13" s="17"/>
      <c r="F13" s="16"/>
      <c r="G13" s="54" t="s">
        <v>264</v>
      </c>
      <c r="H13" s="16"/>
      <c r="I13" s="16"/>
      <c r="J13" s="16"/>
      <c r="K13" s="55">
        <f>1.95996+(2.37356/K12)+(2.818745/K12^2)+(2.546662/K12^3)+(1.761829/K12^4)+(0.245458/K12^5)+(1.000764/K12^6)</f>
        <v>2.0073087739124889</v>
      </c>
      <c r="L13" s="19"/>
      <c r="N13" s="37" t="s">
        <v>263</v>
      </c>
      <c r="O13" s="16"/>
      <c r="P13" s="16"/>
      <c r="Q13" s="16"/>
      <c r="R13" s="17"/>
      <c r="S13" s="16"/>
      <c r="T13" s="54" t="s">
        <v>264</v>
      </c>
      <c r="U13" s="16"/>
      <c r="V13" s="16"/>
      <c r="W13" s="16"/>
      <c r="X13" s="55">
        <f>1.95996+(2.37356/X12)+(2.818745/X12^2)+(2.546662/X12^3)+(1.761829/X12^4)+(0.245458/X12^5)+(1.000764/X12^6)</f>
        <v>2.0084373931133306</v>
      </c>
      <c r="Y13" s="19"/>
    </row>
    <row r="14" spans="1:25" ht="14" x14ac:dyDescent="0.3">
      <c r="A14" s="38" t="s">
        <v>265</v>
      </c>
      <c r="B14" s="23"/>
      <c r="C14" s="23"/>
      <c r="D14" s="23"/>
      <c r="E14" s="24"/>
      <c r="F14" s="23"/>
      <c r="G14" s="56" t="s">
        <v>266</v>
      </c>
      <c r="H14" s="23"/>
      <c r="I14" s="23"/>
      <c r="J14" s="23"/>
      <c r="K14" s="43">
        <f>K11*K13</f>
        <v>0.10203109904638642</v>
      </c>
      <c r="L14" s="25" t="str">
        <f>B2</f>
        <v>µv</v>
      </c>
      <c r="N14" s="38" t="s">
        <v>265</v>
      </c>
      <c r="O14" s="23"/>
      <c r="P14" s="23"/>
      <c r="Q14" s="23"/>
      <c r="R14" s="24"/>
      <c r="S14" s="23"/>
      <c r="T14" s="56" t="s">
        <v>266</v>
      </c>
      <c r="U14" s="23"/>
      <c r="V14" s="23"/>
      <c r="W14" s="23"/>
      <c r="X14" s="43">
        <f>X11*X13</f>
        <v>0.31052532963973734</v>
      </c>
      <c r="Y14" s="25" t="str">
        <f>O2</f>
        <v>µv</v>
      </c>
    </row>
    <row r="15" spans="1:25" ht="14" x14ac:dyDescent="0.3">
      <c r="A15" s="38" t="s">
        <v>265</v>
      </c>
      <c r="B15" s="23"/>
      <c r="C15" s="23"/>
      <c r="D15" s="23"/>
      <c r="E15" s="24"/>
      <c r="F15" s="23"/>
      <c r="G15" s="56" t="s">
        <v>266</v>
      </c>
      <c r="H15" s="23"/>
      <c r="I15" s="23"/>
      <c r="J15" s="23"/>
      <c r="K15" s="43">
        <f>K12*K14</f>
        <v>5.2352375738143282</v>
      </c>
      <c r="L15" s="256">
        <f>(ABS(K15)/G2)*100</f>
        <v>52.352375738143287</v>
      </c>
      <c r="N15" s="38" t="s">
        <v>265</v>
      </c>
      <c r="O15" s="23"/>
      <c r="P15" s="23"/>
      <c r="Q15" s="23"/>
      <c r="R15" s="24"/>
      <c r="S15" s="23"/>
      <c r="T15" s="56" t="s">
        <v>266</v>
      </c>
      <c r="U15" s="23"/>
      <c r="V15" s="23"/>
      <c r="W15" s="23"/>
      <c r="X15" s="43">
        <f>X12*X14</f>
        <v>15.570665874168979</v>
      </c>
      <c r="Y15" s="256">
        <f>(ABS(X15)/T2)*100</f>
        <v>51.902219580563255</v>
      </c>
    </row>
    <row r="16" spans="1:25" ht="13" x14ac:dyDescent="0.3">
      <c r="K16" s="99">
        <f>K14/G2*100</f>
        <v>1.0203109904638641</v>
      </c>
      <c r="L16" s="41" t="s">
        <v>267</v>
      </c>
      <c r="X16" s="99">
        <f>X14/T2*100</f>
        <v>1.0350844321324577</v>
      </c>
      <c r="Y16" s="41" t="s">
        <v>267</v>
      </c>
    </row>
    <row r="17" spans="1:25" ht="13" x14ac:dyDescent="0.3">
      <c r="A17" s="300">
        <f>ID!$D$53</f>
        <v>50</v>
      </c>
      <c r="B17" s="65" t="s">
        <v>144</v>
      </c>
      <c r="C17" s="65">
        <f>ID!$G$7</f>
        <v>0.01</v>
      </c>
      <c r="E17" s="297" t="s">
        <v>270</v>
      </c>
      <c r="F17" s="74"/>
      <c r="G17" s="77">
        <v>50</v>
      </c>
      <c r="I17" s="101"/>
      <c r="J17" s="101"/>
      <c r="L17" s="100"/>
      <c r="N17" s="300">
        <f>ID!$D$54</f>
        <v>100</v>
      </c>
      <c r="O17" s="65" t="s">
        <v>144</v>
      </c>
      <c r="P17" s="65">
        <f>ID!$G$7</f>
        <v>0.01</v>
      </c>
      <c r="R17" s="297" t="s">
        <v>270</v>
      </c>
      <c r="S17" s="74"/>
      <c r="T17" s="77">
        <v>100</v>
      </c>
      <c r="V17" s="101"/>
      <c r="W17" s="101"/>
      <c r="Y17" s="100"/>
    </row>
    <row r="18" spans="1:25" ht="14" x14ac:dyDescent="0.3">
      <c r="A18" s="48" t="s">
        <v>227</v>
      </c>
      <c r="B18" s="181" t="s">
        <v>228</v>
      </c>
      <c r="C18" s="181" t="s">
        <v>229</v>
      </c>
      <c r="D18" s="181" t="s">
        <v>230</v>
      </c>
      <c r="E18" s="49" t="s">
        <v>231</v>
      </c>
      <c r="F18" s="181" t="s">
        <v>232</v>
      </c>
      <c r="G18" s="182" t="s">
        <v>233</v>
      </c>
      <c r="H18" s="181" t="s">
        <v>234</v>
      </c>
      <c r="I18" s="181"/>
      <c r="J18" s="182" t="s">
        <v>235</v>
      </c>
      <c r="K18" s="181" t="s">
        <v>236</v>
      </c>
      <c r="L18" s="183" t="s">
        <v>237</v>
      </c>
      <c r="N18" s="48" t="s">
        <v>227</v>
      </c>
      <c r="O18" s="181" t="s">
        <v>228</v>
      </c>
      <c r="P18" s="181" t="s">
        <v>229</v>
      </c>
      <c r="Q18" s="181" t="s">
        <v>230</v>
      </c>
      <c r="R18" s="49" t="s">
        <v>231</v>
      </c>
      <c r="S18" s="181" t="s">
        <v>232</v>
      </c>
      <c r="T18" s="182" t="s">
        <v>233</v>
      </c>
      <c r="U18" s="181" t="s">
        <v>234</v>
      </c>
      <c r="V18" s="181"/>
      <c r="W18" s="182" t="s">
        <v>235</v>
      </c>
      <c r="X18" s="181" t="s">
        <v>236</v>
      </c>
      <c r="Y18" s="183" t="s">
        <v>237</v>
      </c>
    </row>
    <row r="19" spans="1:25" ht="13" x14ac:dyDescent="0.3">
      <c r="A19" s="33" t="s">
        <v>241</v>
      </c>
      <c r="B19" s="7" t="str">
        <f>B17</f>
        <v>µv</v>
      </c>
      <c r="C19" s="7" t="s">
        <v>242</v>
      </c>
      <c r="D19" s="11">
        <f>ID!O53</f>
        <v>0</v>
      </c>
      <c r="E19" s="11">
        <f>SQRT(6)</f>
        <v>2.4494897427831779</v>
      </c>
      <c r="F19" s="7">
        <v>4</v>
      </c>
      <c r="G19" s="12">
        <f t="shared" ref="G19:G24" si="8">D19/E19</f>
        <v>0</v>
      </c>
      <c r="H19" s="11">
        <f>H4</f>
        <v>1</v>
      </c>
      <c r="I19" s="7" t="str">
        <f>'UB Hz'!$B$6</f>
        <v>Hz</v>
      </c>
      <c r="J19" s="12">
        <f t="shared" ref="J19:J24" si="9">G19*H19</f>
        <v>0</v>
      </c>
      <c r="K19" s="8">
        <f t="shared" ref="K19:K24" si="10">J19^2</f>
        <v>0</v>
      </c>
      <c r="L19" s="8">
        <f t="shared" ref="L19:L24" si="11">J19^4/F19</f>
        <v>0</v>
      </c>
      <c r="N19" s="33" t="s">
        <v>241</v>
      </c>
      <c r="O19" s="7" t="str">
        <f>O17</f>
        <v>µv</v>
      </c>
      <c r="P19" s="7" t="s">
        <v>242</v>
      </c>
      <c r="Q19" s="11">
        <f>ID!O54</f>
        <v>0</v>
      </c>
      <c r="R19" s="11">
        <f>SQRT(6)</f>
        <v>2.4494897427831779</v>
      </c>
      <c r="S19" s="7">
        <v>4</v>
      </c>
      <c r="T19" s="12">
        <f t="shared" ref="T19:T24" si="12">Q19/R19</f>
        <v>0</v>
      </c>
      <c r="U19" s="11">
        <f>U4</f>
        <v>1</v>
      </c>
      <c r="V19" s="7" t="str">
        <f>'UB Hz'!$B$6</f>
        <v>Hz</v>
      </c>
      <c r="W19" s="12">
        <f t="shared" ref="W19:W24" si="13">T19*U19</f>
        <v>0</v>
      </c>
      <c r="X19" s="8">
        <f t="shared" ref="X19:X24" si="14">W19^2</f>
        <v>0</v>
      </c>
      <c r="Y19" s="8">
        <f t="shared" ref="Y19:Y24" si="15">W19^4/S19</f>
        <v>0</v>
      </c>
    </row>
    <row r="20" spans="1:25" ht="13" x14ac:dyDescent="0.3">
      <c r="A20" s="33" t="s">
        <v>246</v>
      </c>
      <c r="B20" s="7" t="str">
        <f>B17</f>
        <v>µv</v>
      </c>
      <c r="C20" s="7" t="s">
        <v>247</v>
      </c>
      <c r="D20" s="7">
        <f>C17</f>
        <v>0.01</v>
      </c>
      <c r="E20" s="11">
        <f>SQRT(3)</f>
        <v>1.7320508075688772</v>
      </c>
      <c r="F20" s="160">
        <v>50</v>
      </c>
      <c r="G20" s="12">
        <f t="shared" si="8"/>
        <v>5.773502691896258E-3</v>
      </c>
      <c r="H20" s="11">
        <f>H5</f>
        <v>1</v>
      </c>
      <c r="I20" s="7" t="str">
        <f>'UB Hz'!$B$6</f>
        <v>Hz</v>
      </c>
      <c r="J20" s="12">
        <f t="shared" si="9"/>
        <v>5.773502691896258E-3</v>
      </c>
      <c r="K20" s="8">
        <f t="shared" si="10"/>
        <v>3.3333333333333335E-5</v>
      </c>
      <c r="L20" s="8">
        <f t="shared" si="11"/>
        <v>2.2222222222222225E-11</v>
      </c>
      <c r="N20" s="33" t="s">
        <v>246</v>
      </c>
      <c r="O20" s="7" t="str">
        <f>O17</f>
        <v>µv</v>
      </c>
      <c r="P20" s="7" t="s">
        <v>247</v>
      </c>
      <c r="Q20" s="7">
        <f>P17</f>
        <v>0.01</v>
      </c>
      <c r="R20" s="11">
        <f>SQRT(3)</f>
        <v>1.7320508075688772</v>
      </c>
      <c r="S20" s="160">
        <v>50</v>
      </c>
      <c r="T20" s="12">
        <f t="shared" si="12"/>
        <v>5.773502691896258E-3</v>
      </c>
      <c r="U20" s="11">
        <f>U5</f>
        <v>1</v>
      </c>
      <c r="V20" s="7" t="str">
        <f>'UB Hz'!$B$6</f>
        <v>Hz</v>
      </c>
      <c r="W20" s="12">
        <f t="shared" si="13"/>
        <v>5.773502691896258E-3</v>
      </c>
      <c r="X20" s="8">
        <f t="shared" si="14"/>
        <v>3.3333333333333335E-5</v>
      </c>
      <c r="Y20" s="8">
        <f t="shared" si="15"/>
        <v>2.2222222222222225E-11</v>
      </c>
    </row>
    <row r="21" spans="1:25" ht="13" x14ac:dyDescent="0.3">
      <c r="A21" s="236" t="s">
        <v>253</v>
      </c>
      <c r="B21" s="237" t="str">
        <f>'UB Hz'!$B$6</f>
        <v>Hz</v>
      </c>
      <c r="C21" s="237" t="s">
        <v>247</v>
      </c>
      <c r="D21" s="238">
        <v>0</v>
      </c>
      <c r="E21" s="238">
        <f>SQRT(3)</f>
        <v>1.7320508075688772</v>
      </c>
      <c r="F21" s="239">
        <v>50</v>
      </c>
      <c r="G21" s="240">
        <f t="shared" si="8"/>
        <v>0</v>
      </c>
      <c r="H21" s="238">
        <v>1</v>
      </c>
      <c r="I21" s="237" t="str">
        <f>'UB Hz'!$B$6</f>
        <v>Hz</v>
      </c>
      <c r="J21" s="240">
        <f t="shared" si="9"/>
        <v>0</v>
      </c>
      <c r="K21" s="241">
        <f t="shared" si="10"/>
        <v>0</v>
      </c>
      <c r="L21" s="241">
        <f t="shared" si="11"/>
        <v>0</v>
      </c>
      <c r="N21" s="236" t="s">
        <v>253</v>
      </c>
      <c r="O21" s="237" t="str">
        <f>'UB Hz'!$B$6</f>
        <v>Hz</v>
      </c>
      <c r="P21" s="237" t="s">
        <v>247</v>
      </c>
      <c r="Q21" s="238">
        <v>0</v>
      </c>
      <c r="R21" s="238">
        <f>SQRT(3)</f>
        <v>1.7320508075688772</v>
      </c>
      <c r="S21" s="239">
        <v>50</v>
      </c>
      <c r="T21" s="240">
        <f t="shared" si="12"/>
        <v>0</v>
      </c>
      <c r="U21" s="238">
        <v>1</v>
      </c>
      <c r="V21" s="237" t="str">
        <f>'UB Hz'!$B$6</f>
        <v>Hz</v>
      </c>
      <c r="W21" s="240">
        <f t="shared" si="13"/>
        <v>0</v>
      </c>
      <c r="X21" s="241">
        <f t="shared" si="14"/>
        <v>0</v>
      </c>
      <c r="Y21" s="241">
        <f t="shared" si="15"/>
        <v>0</v>
      </c>
    </row>
    <row r="22" spans="1:25" ht="13" x14ac:dyDescent="0.3">
      <c r="A22" s="249" t="s">
        <v>254</v>
      </c>
      <c r="B22" s="237" t="str">
        <f>'UB Hz'!$B$6</f>
        <v>Hz</v>
      </c>
      <c r="C22" s="237" t="s">
        <v>242</v>
      </c>
      <c r="D22" s="250">
        <v>0</v>
      </c>
      <c r="E22" s="238">
        <v>2</v>
      </c>
      <c r="F22" s="239">
        <v>50</v>
      </c>
      <c r="G22" s="240">
        <f t="shared" si="8"/>
        <v>0</v>
      </c>
      <c r="H22" s="238">
        <v>1</v>
      </c>
      <c r="I22" s="237" t="str">
        <f>'UB Hz'!$B$6</f>
        <v>Hz</v>
      </c>
      <c r="J22" s="240">
        <f t="shared" si="9"/>
        <v>0</v>
      </c>
      <c r="K22" s="241">
        <f t="shared" si="10"/>
        <v>0</v>
      </c>
      <c r="L22" s="241">
        <f t="shared" si="11"/>
        <v>0</v>
      </c>
      <c r="N22" s="249" t="s">
        <v>254</v>
      </c>
      <c r="O22" s="237" t="str">
        <f>'UB Hz'!$B$6</f>
        <v>Hz</v>
      </c>
      <c r="P22" s="237" t="s">
        <v>242</v>
      </c>
      <c r="Q22" s="250">
        <v>0</v>
      </c>
      <c r="R22" s="238">
        <v>2</v>
      </c>
      <c r="S22" s="239">
        <v>50</v>
      </c>
      <c r="T22" s="240">
        <f t="shared" si="12"/>
        <v>0</v>
      </c>
      <c r="U22" s="238">
        <v>1</v>
      </c>
      <c r="V22" s="237" t="str">
        <f>'UB Hz'!$B$6</f>
        <v>Hz</v>
      </c>
      <c r="W22" s="240">
        <f t="shared" si="13"/>
        <v>0</v>
      </c>
      <c r="X22" s="241">
        <f t="shared" si="14"/>
        <v>0</v>
      </c>
      <c r="Y22" s="241">
        <f t="shared" si="15"/>
        <v>0</v>
      </c>
    </row>
    <row r="23" spans="1:25" ht="13" x14ac:dyDescent="0.3">
      <c r="A23" s="33" t="s">
        <v>255</v>
      </c>
      <c r="B23" s="7" t="str">
        <f>B17</f>
        <v>µv</v>
      </c>
      <c r="C23" s="7" t="s">
        <v>247</v>
      </c>
      <c r="D23" s="298">
        <f>'DB EEG'!C189</f>
        <v>2.5315000000000003E-3</v>
      </c>
      <c r="E23" s="11">
        <f>SQRT(3)</f>
        <v>1.7320508075688772</v>
      </c>
      <c r="F23" s="160">
        <v>50</v>
      </c>
      <c r="G23" s="12">
        <f t="shared" si="8"/>
        <v>1.4615622064535379E-3</v>
      </c>
      <c r="H23" s="11">
        <v>1</v>
      </c>
      <c r="I23" s="7" t="str">
        <f>'UB Hz'!$B$6</f>
        <v>Hz</v>
      </c>
      <c r="J23" s="12">
        <f t="shared" si="9"/>
        <v>1.4615622064535379E-3</v>
      </c>
      <c r="K23" s="8">
        <f t="shared" si="10"/>
        <v>2.136164083333334E-6</v>
      </c>
      <c r="L23" s="8">
        <f t="shared" si="11"/>
        <v>9.1263939818466853E-14</v>
      </c>
      <c r="N23" s="33" t="s">
        <v>255</v>
      </c>
      <c r="O23" s="7" t="str">
        <f>O17</f>
        <v>µv</v>
      </c>
      <c r="P23" s="7" t="s">
        <v>247</v>
      </c>
      <c r="Q23" s="298">
        <f>'DB EEG'!C190</f>
        <v>5.1355000000000003E-3</v>
      </c>
      <c r="R23" s="11">
        <f>SQRT(3)</f>
        <v>1.7320508075688772</v>
      </c>
      <c r="S23" s="160">
        <v>50</v>
      </c>
      <c r="T23" s="12">
        <f t="shared" si="12"/>
        <v>2.9649823074233235E-3</v>
      </c>
      <c r="U23" s="11">
        <v>1</v>
      </c>
      <c r="V23" s="7" t="str">
        <f>'UB Hz'!$B$6</f>
        <v>Hz</v>
      </c>
      <c r="W23" s="12">
        <f t="shared" si="13"/>
        <v>2.9649823074233235E-3</v>
      </c>
      <c r="X23" s="8">
        <f t="shared" si="14"/>
        <v>8.7911200833333351E-6</v>
      </c>
      <c r="Y23" s="8">
        <f t="shared" si="15"/>
        <v>1.5456758463917341E-12</v>
      </c>
    </row>
    <row r="24" spans="1:25" ht="13" x14ac:dyDescent="0.3">
      <c r="A24" s="35" t="s">
        <v>256</v>
      </c>
      <c r="B24" s="7" t="str">
        <f>B17</f>
        <v>µv</v>
      </c>
      <c r="C24" s="7" t="s">
        <v>242</v>
      </c>
      <c r="D24" s="299">
        <f>'DB EEG'!D189</f>
        <v>0.50630000000000008</v>
      </c>
      <c r="E24" s="11">
        <v>2</v>
      </c>
      <c r="F24" s="160">
        <v>50</v>
      </c>
      <c r="G24" s="12">
        <f t="shared" si="8"/>
        <v>0.25315000000000004</v>
      </c>
      <c r="H24" s="11">
        <v>1</v>
      </c>
      <c r="I24" s="7" t="str">
        <f>'UB Hz'!$B$6</f>
        <v>Hz</v>
      </c>
      <c r="J24" s="12">
        <f t="shared" si="9"/>
        <v>0.25315000000000004</v>
      </c>
      <c r="K24" s="8">
        <f t="shared" si="10"/>
        <v>6.4084922500000016E-2</v>
      </c>
      <c r="L24" s="8">
        <f t="shared" si="11"/>
        <v>8.2137545836620169E-5</v>
      </c>
      <c r="N24" s="35" t="s">
        <v>256</v>
      </c>
      <c r="O24" s="7" t="str">
        <f>O17</f>
        <v>µv</v>
      </c>
      <c r="P24" s="7" t="s">
        <v>242</v>
      </c>
      <c r="Q24" s="299">
        <f>'DB EEG'!D190</f>
        <v>1.0270999999999999</v>
      </c>
      <c r="R24" s="11">
        <v>2</v>
      </c>
      <c r="S24" s="160">
        <v>50</v>
      </c>
      <c r="T24" s="12">
        <f t="shared" si="12"/>
        <v>0.51354999999999995</v>
      </c>
      <c r="U24" s="11">
        <v>1</v>
      </c>
      <c r="V24" s="7" t="str">
        <f>'UB Hz'!$B$6</f>
        <v>Hz</v>
      </c>
      <c r="W24" s="12">
        <f t="shared" si="13"/>
        <v>0.51354999999999995</v>
      </c>
      <c r="X24" s="8">
        <f t="shared" si="14"/>
        <v>0.26373360249999994</v>
      </c>
      <c r="Y24" s="8">
        <f t="shared" si="15"/>
        <v>1.3911082617525594E-3</v>
      </c>
    </row>
    <row r="25" spans="1:25" ht="14" x14ac:dyDescent="0.3">
      <c r="A25" s="36" t="s">
        <v>257</v>
      </c>
      <c r="B25" s="13"/>
      <c r="C25" s="13"/>
      <c r="D25" s="13"/>
      <c r="E25" s="14"/>
      <c r="F25" s="13"/>
      <c r="G25" s="13"/>
      <c r="H25" s="13"/>
      <c r="I25" s="13"/>
      <c r="J25" s="13"/>
      <c r="K25" s="50">
        <f>SUM(K19:K24)</f>
        <v>6.412039199741669E-2</v>
      </c>
      <c r="L25" s="4">
        <f>SUM(L19:L24)</f>
        <v>8.2137568150106324E-5</v>
      </c>
      <c r="N25" s="36" t="s">
        <v>257</v>
      </c>
      <c r="O25" s="13"/>
      <c r="P25" s="13"/>
      <c r="Q25" s="13"/>
      <c r="R25" s="14"/>
      <c r="S25" s="13"/>
      <c r="T25" s="13"/>
      <c r="U25" s="13"/>
      <c r="V25" s="13"/>
      <c r="W25" s="13"/>
      <c r="X25" s="50">
        <f>SUM(X19:X24)</f>
        <v>0.26377572695341661</v>
      </c>
      <c r="Y25" s="4">
        <f>SUM(Y19:Y24)</f>
        <v>1.3911082855204574E-3</v>
      </c>
    </row>
    <row r="26" spans="1:25" ht="17" x14ac:dyDescent="0.45">
      <c r="A26" s="37" t="s">
        <v>258</v>
      </c>
      <c r="B26" s="16"/>
      <c r="C26" s="16"/>
      <c r="D26" s="16"/>
      <c r="E26" s="17"/>
      <c r="F26" s="16"/>
      <c r="G26" s="51" t="s">
        <v>259</v>
      </c>
      <c r="H26" s="16"/>
      <c r="I26" s="16"/>
      <c r="J26" s="16"/>
      <c r="K26" s="18">
        <f>SQRT(K25)</f>
        <v>0.25322004659468944</v>
      </c>
      <c r="L26" s="19"/>
      <c r="N26" s="37" t="s">
        <v>258</v>
      </c>
      <c r="O26" s="16"/>
      <c r="P26" s="16"/>
      <c r="Q26" s="16"/>
      <c r="R26" s="17"/>
      <c r="S26" s="16"/>
      <c r="T26" s="51" t="s">
        <v>259</v>
      </c>
      <c r="U26" s="16"/>
      <c r="V26" s="16"/>
      <c r="W26" s="16"/>
      <c r="X26" s="18">
        <f>SQRT(X25)</f>
        <v>0.51359101136353291</v>
      </c>
      <c r="Y26" s="19"/>
    </row>
    <row r="27" spans="1:25" ht="17.5" x14ac:dyDescent="0.45">
      <c r="A27" s="36" t="s">
        <v>260</v>
      </c>
      <c r="B27" s="20"/>
      <c r="C27" s="20"/>
      <c r="D27" s="20"/>
      <c r="E27" s="21"/>
      <c r="F27" s="20"/>
      <c r="G27" s="52" t="s">
        <v>261</v>
      </c>
      <c r="H27" s="20"/>
      <c r="I27" s="20"/>
      <c r="J27" s="20"/>
      <c r="K27" s="26">
        <f>K26^4/(L25)</f>
        <v>50.055349366915195</v>
      </c>
      <c r="L27" s="22"/>
      <c r="N27" s="36" t="s">
        <v>260</v>
      </c>
      <c r="O27" s="20"/>
      <c r="P27" s="20"/>
      <c r="Q27" s="20"/>
      <c r="R27" s="21"/>
      <c r="S27" s="20"/>
      <c r="T27" s="52" t="s">
        <v>261</v>
      </c>
      <c r="U27" s="20"/>
      <c r="V27" s="20"/>
      <c r="W27" s="20"/>
      <c r="X27" s="26">
        <f>X26^4/(Y25)</f>
        <v>50.015972770784131</v>
      </c>
      <c r="Y27" s="22"/>
    </row>
    <row r="28" spans="1:25" ht="15.5" x14ac:dyDescent="0.35">
      <c r="A28" s="37" t="s">
        <v>263</v>
      </c>
      <c r="B28" s="16"/>
      <c r="C28" s="16"/>
      <c r="D28" s="16"/>
      <c r="E28" s="17"/>
      <c r="F28" s="16"/>
      <c r="G28" s="54" t="s">
        <v>264</v>
      </c>
      <c r="H28" s="16"/>
      <c r="I28" s="16"/>
      <c r="J28" s="16"/>
      <c r="K28" s="55">
        <f>1.95996+(2.37356/K27)+(2.818745/K27^2)+(2.546662/K27^3)+(1.761829/K27^4)+(0.245458/K27^5)+(1.000764/K27^6)</f>
        <v>2.0085243012566099</v>
      </c>
      <c r="L28" s="19"/>
      <c r="N28" s="37" t="s">
        <v>263</v>
      </c>
      <c r="O28" s="16"/>
      <c r="P28" s="16"/>
      <c r="Q28" s="16"/>
      <c r="R28" s="17"/>
      <c r="S28" s="16"/>
      <c r="T28" s="54" t="s">
        <v>264</v>
      </c>
      <c r="U28" s="16"/>
      <c r="V28" s="16"/>
      <c r="W28" s="16"/>
      <c r="X28" s="55">
        <f>1.95996+(2.37356/X27)+(2.818745/X27^2)+(2.546662/X27^3)+(1.761829/X27^4)+(0.245458/X27^5)+(1.000764/X27^6)</f>
        <v>2.0085634540496478</v>
      </c>
      <c r="Y28" s="19"/>
    </row>
    <row r="29" spans="1:25" ht="14" x14ac:dyDescent="0.3">
      <c r="A29" s="38" t="s">
        <v>265</v>
      </c>
      <c r="B29" s="23"/>
      <c r="C29" s="23"/>
      <c r="D29" s="23"/>
      <c r="E29" s="24"/>
      <c r="F29" s="23"/>
      <c r="G29" s="56" t="s">
        <v>266</v>
      </c>
      <c r="H29" s="23"/>
      <c r="I29" s="23"/>
      <c r="J29" s="23"/>
      <c r="K29" s="43">
        <f>K26*K28</f>
        <v>0.50859861715076482</v>
      </c>
      <c r="L29" s="25" t="str">
        <f>B17</f>
        <v>µv</v>
      </c>
      <c r="N29" s="38" t="s">
        <v>265</v>
      </c>
      <c r="O29" s="23"/>
      <c r="P29" s="23"/>
      <c r="Q29" s="23"/>
      <c r="R29" s="24"/>
      <c r="S29" s="23"/>
      <c r="T29" s="56" t="s">
        <v>266</v>
      </c>
      <c r="U29" s="23"/>
      <c r="V29" s="23"/>
      <c r="W29" s="23"/>
      <c r="X29" s="43">
        <f>X26*X28</f>
        <v>1.0315801357531895</v>
      </c>
      <c r="Y29" s="25" t="str">
        <f>O17</f>
        <v>µv</v>
      </c>
    </row>
    <row r="30" spans="1:25" ht="14" x14ac:dyDescent="0.3">
      <c r="A30" s="38" t="s">
        <v>265</v>
      </c>
      <c r="B30" s="23"/>
      <c r="C30" s="23"/>
      <c r="D30" s="23"/>
      <c r="E30" s="24"/>
      <c r="F30" s="23"/>
      <c r="G30" s="56" t="s">
        <v>266</v>
      </c>
      <c r="H30" s="23"/>
      <c r="I30" s="23"/>
      <c r="J30" s="23"/>
      <c r="K30" s="43">
        <f>K27*K29</f>
        <v>25.458081469011479</v>
      </c>
      <c r="L30" s="256">
        <f>(ABS(K30)/G17)*100</f>
        <v>50.916162938022957</v>
      </c>
      <c r="N30" s="38" t="s">
        <v>265</v>
      </c>
      <c r="O30" s="23"/>
      <c r="P30" s="23"/>
      <c r="Q30" s="23"/>
      <c r="R30" s="24"/>
      <c r="S30" s="23"/>
      <c r="T30" s="56" t="s">
        <v>266</v>
      </c>
      <c r="U30" s="23"/>
      <c r="V30" s="23"/>
      <c r="W30" s="23"/>
      <c r="X30" s="43">
        <f>X27*X29</f>
        <v>51.595483980713325</v>
      </c>
      <c r="Y30" s="256">
        <f>(ABS(X30)/T17)*100</f>
        <v>51.595483980713333</v>
      </c>
    </row>
    <row r="31" spans="1:25" ht="13.5" thickBot="1" x14ac:dyDescent="0.35">
      <c r="K31" s="256">
        <f>K29/G17*100</f>
        <v>1.0171972343015296</v>
      </c>
      <c r="L31" s="41" t="s">
        <v>267</v>
      </c>
      <c r="X31" s="256">
        <f>X29/T17*100</f>
        <v>1.0315801357531895</v>
      </c>
      <c r="Y31" s="41" t="s">
        <v>267</v>
      </c>
    </row>
    <row r="32" spans="1:25" ht="14" x14ac:dyDescent="0.3">
      <c r="A32" s="302">
        <f>ID!$D$51</f>
        <v>10</v>
      </c>
      <c r="B32" s="306" t="s">
        <v>144</v>
      </c>
      <c r="C32" s="306">
        <f>ID!$G$7</f>
        <v>0.01</v>
      </c>
      <c r="D32" s="73"/>
      <c r="E32" s="307" t="s">
        <v>268</v>
      </c>
      <c r="F32" s="308"/>
      <c r="G32" s="309">
        <v>10</v>
      </c>
      <c r="H32" s="73"/>
      <c r="I32" s="310"/>
      <c r="J32" s="310"/>
      <c r="K32" s="73"/>
      <c r="L32" s="311"/>
      <c r="M32" s="73"/>
      <c r="N32" s="312">
        <f>ID!$D$52</f>
        <v>30</v>
      </c>
      <c r="O32" s="306" t="s">
        <v>144</v>
      </c>
      <c r="P32" s="306">
        <f>ID!$G$7</f>
        <v>0.01</v>
      </c>
      <c r="Q32" s="73"/>
      <c r="R32" s="307" t="s">
        <v>268</v>
      </c>
      <c r="S32" s="308"/>
      <c r="T32" s="309">
        <v>30</v>
      </c>
      <c r="U32" s="73"/>
      <c r="V32" s="310"/>
      <c r="W32" s="310"/>
      <c r="X32" s="73"/>
      <c r="Y32" s="311"/>
    </row>
    <row r="33" spans="1:25" ht="14" x14ac:dyDescent="0.3">
      <c r="A33" s="48" t="s">
        <v>227</v>
      </c>
      <c r="B33" s="181" t="s">
        <v>228</v>
      </c>
      <c r="C33" s="181" t="s">
        <v>229</v>
      </c>
      <c r="D33" s="181" t="s">
        <v>230</v>
      </c>
      <c r="E33" s="49" t="s">
        <v>231</v>
      </c>
      <c r="F33" s="181" t="s">
        <v>232</v>
      </c>
      <c r="G33" s="182" t="s">
        <v>233</v>
      </c>
      <c r="H33" s="181" t="s">
        <v>234</v>
      </c>
      <c r="I33" s="181"/>
      <c r="J33" s="182" t="s">
        <v>235</v>
      </c>
      <c r="K33" s="181" t="s">
        <v>236</v>
      </c>
      <c r="L33" s="183" t="s">
        <v>237</v>
      </c>
      <c r="N33" s="48" t="s">
        <v>227</v>
      </c>
      <c r="O33" s="181" t="s">
        <v>228</v>
      </c>
      <c r="P33" s="181" t="s">
        <v>229</v>
      </c>
      <c r="Q33" s="181" t="s">
        <v>230</v>
      </c>
      <c r="R33" s="49" t="s">
        <v>231</v>
      </c>
      <c r="S33" s="181" t="s">
        <v>232</v>
      </c>
      <c r="T33" s="182" t="s">
        <v>233</v>
      </c>
      <c r="U33" s="181" t="s">
        <v>234</v>
      </c>
      <c r="V33" s="181"/>
      <c r="W33" s="182" t="s">
        <v>235</v>
      </c>
      <c r="X33" s="181" t="s">
        <v>236</v>
      </c>
      <c r="Y33" s="183" t="s">
        <v>237</v>
      </c>
    </row>
    <row r="34" spans="1:25" ht="13" x14ac:dyDescent="0.3">
      <c r="A34" s="33" t="s">
        <v>241</v>
      </c>
      <c r="B34" s="7" t="str">
        <f>B32</f>
        <v>µv</v>
      </c>
      <c r="C34" s="7" t="s">
        <v>242</v>
      </c>
      <c r="D34" s="11">
        <f>ID!O55</f>
        <v>0</v>
      </c>
      <c r="E34" s="11">
        <f>SQRT(6)</f>
        <v>2.4494897427831779</v>
      </c>
      <c r="F34" s="7">
        <v>4</v>
      </c>
      <c r="G34" s="12">
        <f t="shared" ref="G34:G39" si="16">D34/E34</f>
        <v>0</v>
      </c>
      <c r="H34" s="11">
        <f>H19</f>
        <v>1</v>
      </c>
      <c r="I34" s="7" t="str">
        <f>'UB Hz'!$B$6</f>
        <v>Hz</v>
      </c>
      <c r="J34" s="12">
        <f t="shared" ref="J34:J39" si="17">G34*H34</f>
        <v>0</v>
      </c>
      <c r="K34" s="8">
        <f t="shared" ref="K34:K39" si="18">J34^2</f>
        <v>0</v>
      </c>
      <c r="L34" s="8">
        <f t="shared" ref="L34:L39" si="19">J34^4/F34</f>
        <v>0</v>
      </c>
      <c r="N34" s="33" t="s">
        <v>241</v>
      </c>
      <c r="O34" s="7" t="str">
        <f>O32</f>
        <v>µv</v>
      </c>
      <c r="P34" s="7" t="s">
        <v>242</v>
      </c>
      <c r="Q34" s="11">
        <f>ID!O56</f>
        <v>0</v>
      </c>
      <c r="R34" s="11">
        <f>SQRT(6)</f>
        <v>2.4494897427831779</v>
      </c>
      <c r="S34" s="7">
        <v>4</v>
      </c>
      <c r="T34" s="12">
        <f t="shared" ref="T34:T39" si="20">Q34/R34</f>
        <v>0</v>
      </c>
      <c r="U34" s="11">
        <f>U19</f>
        <v>1</v>
      </c>
      <c r="V34" s="7" t="str">
        <f>'UB Hz'!$B$6</f>
        <v>Hz</v>
      </c>
      <c r="W34" s="12">
        <f t="shared" ref="W34:W39" si="21">T34*U34</f>
        <v>0</v>
      </c>
      <c r="X34" s="8">
        <f t="shared" ref="X34:X39" si="22">W34^2</f>
        <v>0</v>
      </c>
      <c r="Y34" s="8">
        <f t="shared" ref="Y34:Y39" si="23">W34^4/S34</f>
        <v>0</v>
      </c>
    </row>
    <row r="35" spans="1:25" ht="13" x14ac:dyDescent="0.3">
      <c r="A35" s="33" t="s">
        <v>246</v>
      </c>
      <c r="B35" s="7" t="str">
        <f>B32</f>
        <v>µv</v>
      </c>
      <c r="C35" s="7" t="s">
        <v>247</v>
      </c>
      <c r="D35" s="7">
        <f>C32</f>
        <v>0.01</v>
      </c>
      <c r="E35" s="11">
        <f>SQRT(3)</f>
        <v>1.7320508075688772</v>
      </c>
      <c r="F35" s="160">
        <v>50</v>
      </c>
      <c r="G35" s="12">
        <f t="shared" si="16"/>
        <v>5.773502691896258E-3</v>
      </c>
      <c r="H35" s="11">
        <f>H20</f>
        <v>1</v>
      </c>
      <c r="I35" s="7" t="str">
        <f>'UB Hz'!$B$6</f>
        <v>Hz</v>
      </c>
      <c r="J35" s="12">
        <f t="shared" si="17"/>
        <v>5.773502691896258E-3</v>
      </c>
      <c r="K35" s="8">
        <f t="shared" si="18"/>
        <v>3.3333333333333335E-5</v>
      </c>
      <c r="L35" s="8">
        <f t="shared" si="19"/>
        <v>2.2222222222222225E-11</v>
      </c>
      <c r="N35" s="33" t="s">
        <v>246</v>
      </c>
      <c r="O35" s="7" t="str">
        <f>O32</f>
        <v>µv</v>
      </c>
      <c r="P35" s="7" t="s">
        <v>247</v>
      </c>
      <c r="Q35" s="7">
        <f>P32</f>
        <v>0.01</v>
      </c>
      <c r="R35" s="11">
        <f>SQRT(3)</f>
        <v>1.7320508075688772</v>
      </c>
      <c r="S35" s="160">
        <v>50</v>
      </c>
      <c r="T35" s="12">
        <f t="shared" si="20"/>
        <v>5.773502691896258E-3</v>
      </c>
      <c r="U35" s="11">
        <f>U20</f>
        <v>1</v>
      </c>
      <c r="V35" s="7" t="str">
        <f>'UB Hz'!$B$6</f>
        <v>Hz</v>
      </c>
      <c r="W35" s="12">
        <f t="shared" si="21"/>
        <v>5.773502691896258E-3</v>
      </c>
      <c r="X35" s="8">
        <f t="shared" si="22"/>
        <v>3.3333333333333335E-5</v>
      </c>
      <c r="Y35" s="8">
        <f t="shared" si="23"/>
        <v>2.2222222222222225E-11</v>
      </c>
    </row>
    <row r="36" spans="1:25" ht="13" x14ac:dyDescent="0.3">
      <c r="A36" s="236" t="s">
        <v>253</v>
      </c>
      <c r="B36" s="237" t="str">
        <f>'UB Hz'!$B$6</f>
        <v>Hz</v>
      </c>
      <c r="C36" s="237" t="s">
        <v>247</v>
      </c>
      <c r="D36" s="238">
        <v>0</v>
      </c>
      <c r="E36" s="238">
        <f>SQRT(3)</f>
        <v>1.7320508075688772</v>
      </c>
      <c r="F36" s="239">
        <v>50</v>
      </c>
      <c r="G36" s="240">
        <f t="shared" si="16"/>
        <v>0</v>
      </c>
      <c r="H36" s="238">
        <v>1</v>
      </c>
      <c r="I36" s="237" t="str">
        <f>'UB Hz'!$B$6</f>
        <v>Hz</v>
      </c>
      <c r="J36" s="240">
        <f t="shared" si="17"/>
        <v>0</v>
      </c>
      <c r="K36" s="241">
        <f t="shared" si="18"/>
        <v>0</v>
      </c>
      <c r="L36" s="241">
        <f t="shared" si="19"/>
        <v>0</v>
      </c>
      <c r="N36" s="236" t="s">
        <v>253</v>
      </c>
      <c r="O36" s="237" t="str">
        <f>'UB Hz'!$B$6</f>
        <v>Hz</v>
      </c>
      <c r="P36" s="237" t="s">
        <v>247</v>
      </c>
      <c r="Q36" s="238">
        <v>0</v>
      </c>
      <c r="R36" s="238">
        <f>SQRT(3)</f>
        <v>1.7320508075688772</v>
      </c>
      <c r="S36" s="239">
        <v>50</v>
      </c>
      <c r="T36" s="240">
        <f t="shared" si="20"/>
        <v>0</v>
      </c>
      <c r="U36" s="238">
        <v>1</v>
      </c>
      <c r="V36" s="237" t="str">
        <f>'UB Hz'!$B$6</f>
        <v>Hz</v>
      </c>
      <c r="W36" s="240">
        <f t="shared" si="21"/>
        <v>0</v>
      </c>
      <c r="X36" s="241">
        <f t="shared" si="22"/>
        <v>0</v>
      </c>
      <c r="Y36" s="241">
        <f t="shared" si="23"/>
        <v>0</v>
      </c>
    </row>
    <row r="37" spans="1:25" ht="13" x14ac:dyDescent="0.3">
      <c r="A37" s="249" t="s">
        <v>254</v>
      </c>
      <c r="B37" s="237" t="str">
        <f>'UB Hz'!$B$6</f>
        <v>Hz</v>
      </c>
      <c r="C37" s="237" t="s">
        <v>242</v>
      </c>
      <c r="D37" s="250">
        <v>0</v>
      </c>
      <c r="E37" s="238">
        <v>2</v>
      </c>
      <c r="F37" s="239">
        <v>50</v>
      </c>
      <c r="G37" s="240">
        <f t="shared" si="16"/>
        <v>0</v>
      </c>
      <c r="H37" s="238">
        <v>1</v>
      </c>
      <c r="I37" s="237" t="str">
        <f>'UB Hz'!$B$6</f>
        <v>Hz</v>
      </c>
      <c r="J37" s="240">
        <f t="shared" si="17"/>
        <v>0</v>
      </c>
      <c r="K37" s="241">
        <f t="shared" si="18"/>
        <v>0</v>
      </c>
      <c r="L37" s="241">
        <f t="shared" si="19"/>
        <v>0</v>
      </c>
      <c r="N37" s="249" t="s">
        <v>254</v>
      </c>
      <c r="O37" s="237" t="str">
        <f>'UB Hz'!$B$6</f>
        <v>Hz</v>
      </c>
      <c r="P37" s="237" t="s">
        <v>242</v>
      </c>
      <c r="Q37" s="250">
        <v>0</v>
      </c>
      <c r="R37" s="238">
        <v>2</v>
      </c>
      <c r="S37" s="239">
        <v>50</v>
      </c>
      <c r="T37" s="240">
        <f t="shared" si="20"/>
        <v>0</v>
      </c>
      <c r="U37" s="238">
        <v>1</v>
      </c>
      <c r="V37" s="237" t="str">
        <f>'UB Hz'!$B$6</f>
        <v>Hz</v>
      </c>
      <c r="W37" s="240">
        <f t="shared" si="21"/>
        <v>0</v>
      </c>
      <c r="X37" s="241">
        <f t="shared" si="22"/>
        <v>0</v>
      </c>
      <c r="Y37" s="241">
        <f t="shared" si="23"/>
        <v>0</v>
      </c>
    </row>
    <row r="38" spans="1:25" ht="13" x14ac:dyDescent="0.3">
      <c r="A38" s="33" t="s">
        <v>255</v>
      </c>
      <c r="B38" s="7" t="str">
        <f>B32</f>
        <v>µv</v>
      </c>
      <c r="C38" s="7" t="s">
        <v>247</v>
      </c>
      <c r="D38" s="298">
        <f>'DB EEG'!C194</f>
        <v>5.0500000000000002E-4</v>
      </c>
      <c r="E38" s="11">
        <f>SQRT(3)</f>
        <v>1.7320508075688772</v>
      </c>
      <c r="F38" s="160">
        <v>50</v>
      </c>
      <c r="G38" s="12">
        <f t="shared" si="16"/>
        <v>2.9156188594076104E-4</v>
      </c>
      <c r="H38" s="11">
        <v>1</v>
      </c>
      <c r="I38" s="7" t="str">
        <f>'UB Hz'!$B$6</f>
        <v>Hz</v>
      </c>
      <c r="J38" s="12">
        <f t="shared" si="17"/>
        <v>2.9156188594076104E-4</v>
      </c>
      <c r="K38" s="8">
        <f t="shared" si="18"/>
        <v>8.5008333333333358E-8</v>
      </c>
      <c r="L38" s="8">
        <f t="shared" si="19"/>
        <v>1.4452833472222231E-16</v>
      </c>
      <c r="N38" s="33" t="s">
        <v>255</v>
      </c>
      <c r="O38" s="7" t="str">
        <f>O32</f>
        <v>µv</v>
      </c>
      <c r="P38" s="7" t="s">
        <v>247</v>
      </c>
      <c r="Q38" s="298">
        <f>'DB EEG'!C195</f>
        <v>1.5449999999999999E-3</v>
      </c>
      <c r="R38" s="11">
        <f>SQRT(3)</f>
        <v>1.7320508075688772</v>
      </c>
      <c r="S38" s="160">
        <v>50</v>
      </c>
      <c r="T38" s="12">
        <f t="shared" si="20"/>
        <v>8.9200616589797178E-4</v>
      </c>
      <c r="U38" s="11">
        <v>1</v>
      </c>
      <c r="V38" s="7" t="str">
        <f>'UB Hz'!$B$6</f>
        <v>Hz</v>
      </c>
      <c r="W38" s="12">
        <f t="shared" si="21"/>
        <v>8.9200616589797178E-4</v>
      </c>
      <c r="X38" s="8">
        <f t="shared" si="22"/>
        <v>7.956749999999999E-7</v>
      </c>
      <c r="Y38" s="8">
        <f t="shared" si="23"/>
        <v>1.2661974112499997E-14</v>
      </c>
    </row>
    <row r="39" spans="1:25" ht="13" x14ac:dyDescent="0.3">
      <c r="A39" s="35" t="s">
        <v>256</v>
      </c>
      <c r="B39" s="7" t="str">
        <f>B32</f>
        <v>µv</v>
      </c>
      <c r="C39" s="7" t="s">
        <v>242</v>
      </c>
      <c r="D39" s="299">
        <f>'DB EEG'!D194</f>
        <v>0.10099999999999996</v>
      </c>
      <c r="E39" s="11">
        <v>2</v>
      </c>
      <c r="F39" s="160">
        <v>50</v>
      </c>
      <c r="G39" s="12">
        <f t="shared" si="16"/>
        <v>5.0499999999999982E-2</v>
      </c>
      <c r="H39" s="11">
        <v>1</v>
      </c>
      <c r="I39" s="7" t="str">
        <f>'UB Hz'!$B$6</f>
        <v>Hz</v>
      </c>
      <c r="J39" s="12">
        <f t="shared" si="17"/>
        <v>5.0499999999999982E-2</v>
      </c>
      <c r="K39" s="8">
        <f t="shared" si="18"/>
        <v>2.5502499999999983E-3</v>
      </c>
      <c r="L39" s="8">
        <f t="shared" si="19"/>
        <v>1.3007550124999984E-7</v>
      </c>
      <c r="N39" s="35" t="s">
        <v>256</v>
      </c>
      <c r="O39" s="7" t="str">
        <f>O32</f>
        <v>µv</v>
      </c>
      <c r="P39" s="7" t="s">
        <v>242</v>
      </c>
      <c r="Q39" s="299">
        <f>'DB EEG'!D195</f>
        <v>0.30899999999999994</v>
      </c>
      <c r="R39" s="11">
        <v>2</v>
      </c>
      <c r="S39" s="160">
        <v>50</v>
      </c>
      <c r="T39" s="12">
        <f t="shared" si="20"/>
        <v>0.15449999999999997</v>
      </c>
      <c r="U39" s="11">
        <v>1</v>
      </c>
      <c r="V39" s="7" t="str">
        <f>'UB Hz'!$B$6</f>
        <v>Hz</v>
      </c>
      <c r="W39" s="12">
        <f t="shared" si="21"/>
        <v>0.15449999999999997</v>
      </c>
      <c r="X39" s="8">
        <f t="shared" si="22"/>
        <v>2.3870249999999992E-2</v>
      </c>
      <c r="Y39" s="8">
        <f t="shared" si="23"/>
        <v>1.1395776701249993E-5</v>
      </c>
    </row>
    <row r="40" spans="1:25" ht="14" x14ac:dyDescent="0.3">
      <c r="A40" s="36" t="s">
        <v>257</v>
      </c>
      <c r="B40" s="13"/>
      <c r="C40" s="13"/>
      <c r="D40" s="13"/>
      <c r="E40" s="14"/>
      <c r="F40" s="13"/>
      <c r="G40" s="13"/>
      <c r="H40" s="13"/>
      <c r="I40" s="13"/>
      <c r="J40" s="13"/>
      <c r="K40" s="50">
        <f>SUM(K34:K39)</f>
        <v>2.5836683416666649E-3</v>
      </c>
      <c r="L40" s="4">
        <f>SUM(L34:L39)</f>
        <v>1.300977236167504E-7</v>
      </c>
      <c r="N40" s="36" t="s">
        <v>257</v>
      </c>
      <c r="O40" s="13"/>
      <c r="P40" s="13"/>
      <c r="Q40" s="13"/>
      <c r="R40" s="14"/>
      <c r="S40" s="13"/>
      <c r="T40" s="13"/>
      <c r="U40" s="13"/>
      <c r="V40" s="13"/>
      <c r="W40" s="13"/>
      <c r="X40" s="50">
        <f>SUM(X34:X39)</f>
        <v>2.3904379008333327E-2</v>
      </c>
      <c r="Y40" s="4">
        <f>SUM(Y34:Y39)</f>
        <v>1.1395798936134189E-5</v>
      </c>
    </row>
    <row r="41" spans="1:25" ht="17" x14ac:dyDescent="0.45">
      <c r="A41" s="37" t="s">
        <v>258</v>
      </c>
      <c r="B41" s="16"/>
      <c r="C41" s="16"/>
      <c r="D41" s="16"/>
      <c r="E41" s="17"/>
      <c r="F41" s="16"/>
      <c r="G41" s="51" t="s">
        <v>259</v>
      </c>
      <c r="H41" s="16"/>
      <c r="I41" s="16"/>
      <c r="J41" s="16"/>
      <c r="K41" s="18">
        <f>SQRT(K40)</f>
        <v>5.0829797773222204E-2</v>
      </c>
      <c r="L41" s="19"/>
      <c r="N41" s="37" t="s">
        <v>258</v>
      </c>
      <c r="O41" s="16"/>
      <c r="P41" s="16"/>
      <c r="Q41" s="16"/>
      <c r="R41" s="17"/>
      <c r="S41" s="16"/>
      <c r="T41" s="51" t="s">
        <v>259</v>
      </c>
      <c r="U41" s="16"/>
      <c r="V41" s="16"/>
      <c r="W41" s="16"/>
      <c r="X41" s="18">
        <f>SQRT(X40)</f>
        <v>0.15461041041383122</v>
      </c>
      <c r="Y41" s="19"/>
    </row>
    <row r="42" spans="1:25" ht="17.5" x14ac:dyDescent="0.45">
      <c r="A42" s="36" t="s">
        <v>260</v>
      </c>
      <c r="B42" s="20"/>
      <c r="C42" s="20"/>
      <c r="D42" s="20"/>
      <c r="E42" s="21"/>
      <c r="F42" s="20"/>
      <c r="G42" s="52" t="s">
        <v>261</v>
      </c>
      <c r="H42" s="20"/>
      <c r="I42" s="20"/>
      <c r="J42" s="20"/>
      <c r="K42" s="26">
        <f>K41^4/(L40)</f>
        <v>51.310214461516587</v>
      </c>
      <c r="L42" s="22"/>
      <c r="N42" s="36" t="s">
        <v>260</v>
      </c>
      <c r="O42" s="20"/>
      <c r="P42" s="20"/>
      <c r="Q42" s="20"/>
      <c r="R42" s="21"/>
      <c r="S42" s="20"/>
      <c r="T42" s="52" t="s">
        <v>261</v>
      </c>
      <c r="U42" s="20"/>
      <c r="V42" s="20"/>
      <c r="W42" s="20"/>
      <c r="X42" s="26">
        <f>X41^4/(Y40)</f>
        <v>50.142981547539527</v>
      </c>
      <c r="Y42" s="22"/>
    </row>
    <row r="43" spans="1:25" ht="15.5" x14ac:dyDescent="0.35">
      <c r="A43" s="37" t="s">
        <v>263</v>
      </c>
      <c r="B43" s="16"/>
      <c r="C43" s="16"/>
      <c r="D43" s="16"/>
      <c r="E43" s="17"/>
      <c r="F43" s="16"/>
      <c r="G43" s="54" t="s">
        <v>264</v>
      </c>
      <c r="H43" s="16"/>
      <c r="I43" s="16"/>
      <c r="J43" s="16"/>
      <c r="K43" s="55">
        <f>1.95996+(2.37356/K42)+(2.818745/K42^2)+(2.546662/K42^3)+(1.761829/K42^4)+(0.245458/K42^5)+(1.000764/K42^6)</f>
        <v>2.0073087739124889</v>
      </c>
      <c r="L43" s="19"/>
      <c r="N43" s="37" t="s">
        <v>263</v>
      </c>
      <c r="O43" s="16"/>
      <c r="P43" s="16"/>
      <c r="Q43" s="16"/>
      <c r="R43" s="17"/>
      <c r="S43" s="16"/>
      <c r="T43" s="54" t="s">
        <v>264</v>
      </c>
      <c r="U43" s="16"/>
      <c r="V43" s="16"/>
      <c r="W43" s="16"/>
      <c r="X43" s="55">
        <f>1.95996+(2.37356/X42)+(2.818745/X42^2)+(2.546662/X42^3)+(1.761829/X42^4)+(0.245458/X42^5)+(1.000764/X42^6)</f>
        <v>2.0084373931133306</v>
      </c>
      <c r="Y43" s="19"/>
    </row>
    <row r="44" spans="1:25" ht="14" x14ac:dyDescent="0.3">
      <c r="A44" s="38" t="s">
        <v>265</v>
      </c>
      <c r="B44" s="23"/>
      <c r="C44" s="23"/>
      <c r="D44" s="23"/>
      <c r="E44" s="24"/>
      <c r="F44" s="23"/>
      <c r="G44" s="56" t="s">
        <v>266</v>
      </c>
      <c r="H44" s="23"/>
      <c r="I44" s="23"/>
      <c r="J44" s="23"/>
      <c r="K44" s="43">
        <f>K41*K43</f>
        <v>0.10203109904638642</v>
      </c>
      <c r="L44" s="25" t="str">
        <f>B32</f>
        <v>µv</v>
      </c>
      <c r="N44" s="38" t="s">
        <v>265</v>
      </c>
      <c r="O44" s="23"/>
      <c r="P44" s="23"/>
      <c r="Q44" s="23"/>
      <c r="R44" s="24"/>
      <c r="S44" s="23"/>
      <c r="T44" s="56" t="s">
        <v>266</v>
      </c>
      <c r="U44" s="23"/>
      <c r="V44" s="23"/>
      <c r="W44" s="23"/>
      <c r="X44" s="43">
        <f>X41*X43</f>
        <v>0.31052532963973734</v>
      </c>
      <c r="Y44" s="25" t="str">
        <f>O32</f>
        <v>µv</v>
      </c>
    </row>
    <row r="45" spans="1:25" ht="14" x14ac:dyDescent="0.3">
      <c r="A45" s="38" t="s">
        <v>265</v>
      </c>
      <c r="B45" s="23"/>
      <c r="C45" s="23"/>
      <c r="D45" s="23"/>
      <c r="E45" s="24"/>
      <c r="F45" s="23"/>
      <c r="G45" s="56" t="s">
        <v>266</v>
      </c>
      <c r="H45" s="23"/>
      <c r="I45" s="23"/>
      <c r="J45" s="23"/>
      <c r="K45" s="43">
        <f>K42*K44</f>
        <v>5.2352375738143282</v>
      </c>
      <c r="L45" s="256">
        <f>(ABS(K45)/G32)*100</f>
        <v>52.352375738143287</v>
      </c>
      <c r="N45" s="38" t="s">
        <v>265</v>
      </c>
      <c r="O45" s="23"/>
      <c r="P45" s="23"/>
      <c r="Q45" s="23"/>
      <c r="R45" s="24"/>
      <c r="S45" s="23"/>
      <c r="T45" s="56" t="s">
        <v>266</v>
      </c>
      <c r="U45" s="23"/>
      <c r="V45" s="23"/>
      <c r="W45" s="23"/>
      <c r="X45" s="43">
        <f>X42*X44</f>
        <v>15.570665874168979</v>
      </c>
      <c r="Y45" s="256">
        <f>(ABS(X45)/T32)*100</f>
        <v>51.902219580563255</v>
      </c>
    </row>
    <row r="46" spans="1:25" ht="13" x14ac:dyDescent="0.3">
      <c r="K46" s="276">
        <f>K44/G32*100</f>
        <v>1.0203109904638641</v>
      </c>
      <c r="L46" s="41" t="s">
        <v>267</v>
      </c>
      <c r="X46" s="276">
        <f>X44/T32*100</f>
        <v>1.0350844321324577</v>
      </c>
      <c r="Y46" s="41" t="s">
        <v>267</v>
      </c>
    </row>
    <row r="47" spans="1:25" ht="14" x14ac:dyDescent="0.3">
      <c r="A47" s="300">
        <f>ID!$D$53</f>
        <v>50</v>
      </c>
      <c r="B47" s="65" t="s">
        <v>144</v>
      </c>
      <c r="C47" s="65">
        <f>ID!$G$7</f>
        <v>0.01</v>
      </c>
      <c r="E47" s="125" t="s">
        <v>268</v>
      </c>
      <c r="F47" s="74"/>
      <c r="G47" s="77">
        <v>50</v>
      </c>
      <c r="I47" s="101"/>
      <c r="J47" s="101"/>
      <c r="L47" s="100"/>
      <c r="N47" s="300">
        <f>ID!$D$54</f>
        <v>100</v>
      </c>
      <c r="O47" s="65" t="s">
        <v>144</v>
      </c>
      <c r="P47" s="65">
        <f>ID!$G$7</f>
        <v>0.01</v>
      </c>
      <c r="R47" s="125" t="s">
        <v>268</v>
      </c>
      <c r="S47" s="74"/>
      <c r="T47" s="77">
        <v>100</v>
      </c>
      <c r="V47" s="101"/>
      <c r="W47" s="101"/>
      <c r="Y47" s="100"/>
    </row>
    <row r="48" spans="1:25" ht="14" x14ac:dyDescent="0.3">
      <c r="A48" s="48" t="s">
        <v>227</v>
      </c>
      <c r="B48" s="181" t="s">
        <v>228</v>
      </c>
      <c r="C48" s="181" t="s">
        <v>229</v>
      </c>
      <c r="D48" s="181" t="s">
        <v>230</v>
      </c>
      <c r="E48" s="49" t="s">
        <v>231</v>
      </c>
      <c r="F48" s="181" t="s">
        <v>232</v>
      </c>
      <c r="G48" s="182" t="s">
        <v>233</v>
      </c>
      <c r="H48" s="181" t="s">
        <v>234</v>
      </c>
      <c r="I48" s="181"/>
      <c r="J48" s="182" t="s">
        <v>235</v>
      </c>
      <c r="K48" s="181" t="s">
        <v>236</v>
      </c>
      <c r="L48" s="183" t="s">
        <v>237</v>
      </c>
      <c r="N48" s="48" t="s">
        <v>227</v>
      </c>
      <c r="O48" s="181" t="s">
        <v>228</v>
      </c>
      <c r="P48" s="181" t="s">
        <v>229</v>
      </c>
      <c r="Q48" s="181" t="s">
        <v>230</v>
      </c>
      <c r="R48" s="49" t="s">
        <v>231</v>
      </c>
      <c r="S48" s="181" t="s">
        <v>232</v>
      </c>
      <c r="T48" s="182" t="s">
        <v>233</v>
      </c>
      <c r="U48" s="181" t="s">
        <v>234</v>
      </c>
      <c r="V48" s="181"/>
      <c r="W48" s="182" t="s">
        <v>235</v>
      </c>
      <c r="X48" s="181" t="s">
        <v>236</v>
      </c>
      <c r="Y48" s="183" t="s">
        <v>237</v>
      </c>
    </row>
    <row r="49" spans="1:25" ht="13" x14ac:dyDescent="0.3">
      <c r="A49" s="33" t="s">
        <v>241</v>
      </c>
      <c r="B49" s="7" t="str">
        <f>B47</f>
        <v>µv</v>
      </c>
      <c r="C49" s="7" t="s">
        <v>242</v>
      </c>
      <c r="D49" s="11">
        <f>ID!O57</f>
        <v>0</v>
      </c>
      <c r="E49" s="11">
        <f>SQRT(6)</f>
        <v>2.4494897427831779</v>
      </c>
      <c r="F49" s="7">
        <v>4</v>
      </c>
      <c r="G49" s="12">
        <f t="shared" ref="G49:G54" si="24">D49/E49</f>
        <v>0</v>
      </c>
      <c r="H49" s="11">
        <f>H34</f>
        <v>1</v>
      </c>
      <c r="I49" s="7" t="str">
        <f>'UB Hz'!$B$6</f>
        <v>Hz</v>
      </c>
      <c r="J49" s="12">
        <f t="shared" ref="J49:J54" si="25">G49*H49</f>
        <v>0</v>
      </c>
      <c r="K49" s="8">
        <f t="shared" ref="K49:K54" si="26">J49^2</f>
        <v>0</v>
      </c>
      <c r="L49" s="8">
        <f t="shared" ref="L49:L54" si="27">J49^4/F49</f>
        <v>0</v>
      </c>
      <c r="N49" s="33" t="s">
        <v>241</v>
      </c>
      <c r="O49" s="7" t="str">
        <f>O47</f>
        <v>µv</v>
      </c>
      <c r="P49" s="7" t="s">
        <v>242</v>
      </c>
      <c r="Q49" s="11">
        <f>ID!O58</f>
        <v>0</v>
      </c>
      <c r="R49" s="11">
        <f>SQRT(6)</f>
        <v>2.4494897427831779</v>
      </c>
      <c r="S49" s="7">
        <v>4</v>
      </c>
      <c r="T49" s="12">
        <f t="shared" ref="T49:T54" si="28">Q49/R49</f>
        <v>0</v>
      </c>
      <c r="U49" s="11">
        <f>U34</f>
        <v>1</v>
      </c>
      <c r="V49" s="7" t="str">
        <f>'UB Hz'!$B$6</f>
        <v>Hz</v>
      </c>
      <c r="W49" s="12">
        <f t="shared" ref="W49:W54" si="29">T49*U49</f>
        <v>0</v>
      </c>
      <c r="X49" s="8">
        <f t="shared" ref="X49:X54" si="30">W49^2</f>
        <v>0</v>
      </c>
      <c r="Y49" s="8">
        <f t="shared" ref="Y49:Y54" si="31">W49^4/S49</f>
        <v>0</v>
      </c>
    </row>
    <row r="50" spans="1:25" ht="13" x14ac:dyDescent="0.3">
      <c r="A50" s="33" t="s">
        <v>246</v>
      </c>
      <c r="B50" s="7" t="str">
        <f>B47</f>
        <v>µv</v>
      </c>
      <c r="C50" s="7" t="s">
        <v>247</v>
      </c>
      <c r="D50" s="7">
        <f>C47</f>
        <v>0.01</v>
      </c>
      <c r="E50" s="11">
        <f>SQRT(3)</f>
        <v>1.7320508075688772</v>
      </c>
      <c r="F50" s="160">
        <v>50</v>
      </c>
      <c r="G50" s="12">
        <f t="shared" si="24"/>
        <v>5.773502691896258E-3</v>
      </c>
      <c r="H50" s="11">
        <f>H35</f>
        <v>1</v>
      </c>
      <c r="I50" s="7" t="str">
        <f>'UB Hz'!$B$6</f>
        <v>Hz</v>
      </c>
      <c r="J50" s="12">
        <f t="shared" si="25"/>
        <v>5.773502691896258E-3</v>
      </c>
      <c r="K50" s="8">
        <f t="shared" si="26"/>
        <v>3.3333333333333335E-5</v>
      </c>
      <c r="L50" s="8">
        <f t="shared" si="27"/>
        <v>2.2222222222222225E-11</v>
      </c>
      <c r="N50" s="33" t="s">
        <v>246</v>
      </c>
      <c r="O50" s="7" t="str">
        <f>O47</f>
        <v>µv</v>
      </c>
      <c r="P50" s="7" t="s">
        <v>247</v>
      </c>
      <c r="Q50" s="7">
        <f>P47</f>
        <v>0.01</v>
      </c>
      <c r="R50" s="11">
        <f>SQRT(3)</f>
        <v>1.7320508075688772</v>
      </c>
      <c r="S50" s="160">
        <v>50</v>
      </c>
      <c r="T50" s="12">
        <f t="shared" si="28"/>
        <v>5.773502691896258E-3</v>
      </c>
      <c r="U50" s="11">
        <f>U35</f>
        <v>1</v>
      </c>
      <c r="V50" s="7" t="str">
        <f>'UB Hz'!$B$6</f>
        <v>Hz</v>
      </c>
      <c r="W50" s="12">
        <f t="shared" si="29"/>
        <v>5.773502691896258E-3</v>
      </c>
      <c r="X50" s="8">
        <f t="shared" si="30"/>
        <v>3.3333333333333335E-5</v>
      </c>
      <c r="Y50" s="8">
        <f t="shared" si="31"/>
        <v>2.2222222222222225E-11</v>
      </c>
    </row>
    <row r="51" spans="1:25" ht="13" x14ac:dyDescent="0.3">
      <c r="A51" s="236" t="s">
        <v>253</v>
      </c>
      <c r="B51" s="237" t="str">
        <f>'UB Hz'!$B$6</f>
        <v>Hz</v>
      </c>
      <c r="C51" s="237" t="s">
        <v>247</v>
      </c>
      <c r="D51" s="238">
        <v>0</v>
      </c>
      <c r="E51" s="238">
        <f>SQRT(3)</f>
        <v>1.7320508075688772</v>
      </c>
      <c r="F51" s="239">
        <v>50</v>
      </c>
      <c r="G51" s="240">
        <f t="shared" si="24"/>
        <v>0</v>
      </c>
      <c r="H51" s="238">
        <v>1</v>
      </c>
      <c r="I51" s="237" t="str">
        <f>'UB Hz'!$B$6</f>
        <v>Hz</v>
      </c>
      <c r="J51" s="240">
        <f t="shared" si="25"/>
        <v>0</v>
      </c>
      <c r="K51" s="241">
        <f t="shared" si="26"/>
        <v>0</v>
      </c>
      <c r="L51" s="241">
        <f t="shared" si="27"/>
        <v>0</v>
      </c>
      <c r="N51" s="236" t="s">
        <v>253</v>
      </c>
      <c r="O51" s="237" t="str">
        <f>'UB Hz'!$B$6</f>
        <v>Hz</v>
      </c>
      <c r="P51" s="237" t="s">
        <v>247</v>
      </c>
      <c r="Q51" s="238">
        <v>0</v>
      </c>
      <c r="R51" s="238">
        <f>SQRT(3)</f>
        <v>1.7320508075688772</v>
      </c>
      <c r="S51" s="239">
        <v>50</v>
      </c>
      <c r="T51" s="240">
        <f t="shared" si="28"/>
        <v>0</v>
      </c>
      <c r="U51" s="238">
        <v>1</v>
      </c>
      <c r="V51" s="237" t="str">
        <f>'UB Hz'!$B$6</f>
        <v>Hz</v>
      </c>
      <c r="W51" s="240">
        <f t="shared" si="29"/>
        <v>0</v>
      </c>
      <c r="X51" s="241">
        <f t="shared" si="30"/>
        <v>0</v>
      </c>
      <c r="Y51" s="241">
        <f t="shared" si="31"/>
        <v>0</v>
      </c>
    </row>
    <row r="52" spans="1:25" ht="13" x14ac:dyDescent="0.3">
      <c r="A52" s="249" t="s">
        <v>254</v>
      </c>
      <c r="B52" s="237" t="str">
        <f>'UB Hz'!$B$6</f>
        <v>Hz</v>
      </c>
      <c r="C52" s="237" t="s">
        <v>242</v>
      </c>
      <c r="D52" s="250">
        <v>0</v>
      </c>
      <c r="E52" s="238">
        <v>2</v>
      </c>
      <c r="F52" s="239">
        <v>50</v>
      </c>
      <c r="G52" s="240">
        <f t="shared" si="24"/>
        <v>0</v>
      </c>
      <c r="H52" s="238">
        <v>1</v>
      </c>
      <c r="I52" s="237" t="str">
        <f>'UB Hz'!$B$6</f>
        <v>Hz</v>
      </c>
      <c r="J52" s="240">
        <f t="shared" si="25"/>
        <v>0</v>
      </c>
      <c r="K52" s="241">
        <f t="shared" si="26"/>
        <v>0</v>
      </c>
      <c r="L52" s="241">
        <f t="shared" si="27"/>
        <v>0</v>
      </c>
      <c r="N52" s="249" t="s">
        <v>254</v>
      </c>
      <c r="O52" s="237" t="str">
        <f>'UB Hz'!$B$6</f>
        <v>Hz</v>
      </c>
      <c r="P52" s="237" t="s">
        <v>242</v>
      </c>
      <c r="Q52" s="250">
        <v>0</v>
      </c>
      <c r="R52" s="238">
        <v>2</v>
      </c>
      <c r="S52" s="239">
        <v>50</v>
      </c>
      <c r="T52" s="240">
        <f t="shared" si="28"/>
        <v>0</v>
      </c>
      <c r="U52" s="238">
        <v>1</v>
      </c>
      <c r="V52" s="237" t="str">
        <f>'UB Hz'!$B$6</f>
        <v>Hz</v>
      </c>
      <c r="W52" s="240">
        <f t="shared" si="29"/>
        <v>0</v>
      </c>
      <c r="X52" s="241">
        <f t="shared" si="30"/>
        <v>0</v>
      </c>
      <c r="Y52" s="241">
        <f t="shared" si="31"/>
        <v>0</v>
      </c>
    </row>
    <row r="53" spans="1:25" ht="13" x14ac:dyDescent="0.3">
      <c r="A53" s="33" t="s">
        <v>255</v>
      </c>
      <c r="B53" s="7" t="str">
        <f>B47</f>
        <v>µv</v>
      </c>
      <c r="C53" s="7" t="s">
        <v>247</v>
      </c>
      <c r="D53" s="298">
        <f>'DB EEG'!C196</f>
        <v>2.5315000000000003E-3</v>
      </c>
      <c r="E53" s="11">
        <f>SQRT(3)</f>
        <v>1.7320508075688772</v>
      </c>
      <c r="F53" s="160">
        <v>50</v>
      </c>
      <c r="G53" s="12">
        <f t="shared" si="24"/>
        <v>1.4615622064535379E-3</v>
      </c>
      <c r="H53" s="11">
        <v>1</v>
      </c>
      <c r="I53" s="7" t="str">
        <f>'UB Hz'!$B$6</f>
        <v>Hz</v>
      </c>
      <c r="J53" s="12">
        <f t="shared" si="25"/>
        <v>1.4615622064535379E-3</v>
      </c>
      <c r="K53" s="8">
        <f t="shared" si="26"/>
        <v>2.136164083333334E-6</v>
      </c>
      <c r="L53" s="8">
        <f t="shared" si="27"/>
        <v>9.1263939818466853E-14</v>
      </c>
      <c r="N53" s="33" t="s">
        <v>255</v>
      </c>
      <c r="O53" s="7" t="str">
        <f>O47</f>
        <v>µv</v>
      </c>
      <c r="P53" s="7" t="s">
        <v>247</v>
      </c>
      <c r="Q53" s="298">
        <f>'DB EEG'!C197</f>
        <v>5.1355000000000003E-3</v>
      </c>
      <c r="R53" s="11">
        <f>SQRT(3)</f>
        <v>1.7320508075688772</v>
      </c>
      <c r="S53" s="160">
        <v>50</v>
      </c>
      <c r="T53" s="12">
        <f t="shared" si="28"/>
        <v>2.9649823074233235E-3</v>
      </c>
      <c r="U53" s="11">
        <v>1</v>
      </c>
      <c r="V53" s="7" t="str">
        <f>'UB Hz'!$B$6</f>
        <v>Hz</v>
      </c>
      <c r="W53" s="12">
        <f t="shared" si="29"/>
        <v>2.9649823074233235E-3</v>
      </c>
      <c r="X53" s="8">
        <f t="shared" si="30"/>
        <v>8.7911200833333351E-6</v>
      </c>
      <c r="Y53" s="8">
        <f t="shared" si="31"/>
        <v>1.5456758463917341E-12</v>
      </c>
    </row>
    <row r="54" spans="1:25" ht="13" x14ac:dyDescent="0.3">
      <c r="A54" s="35" t="s">
        <v>256</v>
      </c>
      <c r="B54" s="7" t="str">
        <f>B47</f>
        <v>µv</v>
      </c>
      <c r="C54" s="7" t="s">
        <v>242</v>
      </c>
      <c r="D54" s="299">
        <f>'DB EEG'!D196</f>
        <v>0.50630000000000008</v>
      </c>
      <c r="E54" s="11">
        <v>2</v>
      </c>
      <c r="F54" s="160">
        <v>50</v>
      </c>
      <c r="G54" s="12">
        <f t="shared" si="24"/>
        <v>0.25315000000000004</v>
      </c>
      <c r="H54" s="11">
        <v>1</v>
      </c>
      <c r="I54" s="7" t="str">
        <f>'UB Hz'!$B$6</f>
        <v>Hz</v>
      </c>
      <c r="J54" s="12">
        <f t="shared" si="25"/>
        <v>0.25315000000000004</v>
      </c>
      <c r="K54" s="8">
        <f t="shared" si="26"/>
        <v>6.4084922500000016E-2</v>
      </c>
      <c r="L54" s="8">
        <f t="shared" si="27"/>
        <v>8.2137545836620169E-5</v>
      </c>
      <c r="N54" s="35" t="s">
        <v>256</v>
      </c>
      <c r="O54" s="7" t="str">
        <f>O47</f>
        <v>µv</v>
      </c>
      <c r="P54" s="7" t="s">
        <v>242</v>
      </c>
      <c r="Q54" s="299">
        <f>'DB EEG'!D197</f>
        <v>1.0270999999999999</v>
      </c>
      <c r="R54" s="11">
        <v>2</v>
      </c>
      <c r="S54" s="160">
        <v>50</v>
      </c>
      <c r="T54" s="12">
        <f t="shared" si="28"/>
        <v>0.51354999999999995</v>
      </c>
      <c r="U54" s="11">
        <v>1</v>
      </c>
      <c r="V54" s="7" t="str">
        <f>'UB Hz'!$B$6</f>
        <v>Hz</v>
      </c>
      <c r="W54" s="12">
        <f t="shared" si="29"/>
        <v>0.51354999999999995</v>
      </c>
      <c r="X54" s="8">
        <f t="shared" si="30"/>
        <v>0.26373360249999994</v>
      </c>
      <c r="Y54" s="8">
        <f t="shared" si="31"/>
        <v>1.3911082617525594E-3</v>
      </c>
    </row>
    <row r="55" spans="1:25" ht="14" x14ac:dyDescent="0.3">
      <c r="A55" s="36" t="s">
        <v>257</v>
      </c>
      <c r="B55" s="13"/>
      <c r="C55" s="13"/>
      <c r="D55" s="13"/>
      <c r="E55" s="14"/>
      <c r="F55" s="13"/>
      <c r="G55" s="13"/>
      <c r="H55" s="13"/>
      <c r="I55" s="13"/>
      <c r="J55" s="13"/>
      <c r="K55" s="50">
        <f>SUM(K49:K54)</f>
        <v>6.412039199741669E-2</v>
      </c>
      <c r="L55" s="4">
        <f>SUM(L49:L54)</f>
        <v>8.2137568150106324E-5</v>
      </c>
      <c r="N55" s="36" t="s">
        <v>257</v>
      </c>
      <c r="O55" s="13"/>
      <c r="P55" s="13"/>
      <c r="Q55" s="13"/>
      <c r="R55" s="14"/>
      <c r="S55" s="13"/>
      <c r="T55" s="13"/>
      <c r="U55" s="13"/>
      <c r="V55" s="13"/>
      <c r="W55" s="13"/>
      <c r="X55" s="50">
        <f>SUM(X49:X54)</f>
        <v>0.26377572695341661</v>
      </c>
      <c r="Y55" s="4">
        <f>SUM(Y49:Y54)</f>
        <v>1.3911082855204574E-3</v>
      </c>
    </row>
    <row r="56" spans="1:25" ht="17" x14ac:dyDescent="0.45">
      <c r="A56" s="37" t="s">
        <v>258</v>
      </c>
      <c r="B56" s="16"/>
      <c r="C56" s="16"/>
      <c r="D56" s="16"/>
      <c r="E56" s="17"/>
      <c r="F56" s="16"/>
      <c r="G56" s="51" t="s">
        <v>259</v>
      </c>
      <c r="H56" s="16"/>
      <c r="I56" s="16"/>
      <c r="J56" s="16"/>
      <c r="K56" s="18">
        <f>SQRT(K55)</f>
        <v>0.25322004659468944</v>
      </c>
      <c r="L56" s="19"/>
      <c r="N56" s="37" t="s">
        <v>258</v>
      </c>
      <c r="O56" s="16"/>
      <c r="P56" s="16"/>
      <c r="Q56" s="16"/>
      <c r="R56" s="17"/>
      <c r="S56" s="16"/>
      <c r="T56" s="51" t="s">
        <v>259</v>
      </c>
      <c r="U56" s="16"/>
      <c r="V56" s="16"/>
      <c r="W56" s="16"/>
      <c r="X56" s="18">
        <f>SQRT(X55)</f>
        <v>0.51359101136353291</v>
      </c>
      <c r="Y56" s="19"/>
    </row>
    <row r="57" spans="1:25" ht="17.5" x14ac:dyDescent="0.45">
      <c r="A57" s="36" t="s">
        <v>260</v>
      </c>
      <c r="B57" s="20"/>
      <c r="C57" s="20"/>
      <c r="D57" s="20"/>
      <c r="E57" s="21"/>
      <c r="F57" s="20"/>
      <c r="G57" s="52" t="s">
        <v>261</v>
      </c>
      <c r="H57" s="20"/>
      <c r="I57" s="20"/>
      <c r="J57" s="20"/>
      <c r="K57" s="26">
        <f>K56^4/(L55)</f>
        <v>50.055349366915195</v>
      </c>
      <c r="L57" s="22"/>
      <c r="N57" s="36" t="s">
        <v>260</v>
      </c>
      <c r="O57" s="20"/>
      <c r="P57" s="20"/>
      <c r="Q57" s="20"/>
      <c r="R57" s="21"/>
      <c r="S57" s="20"/>
      <c r="T57" s="52" t="s">
        <v>261</v>
      </c>
      <c r="U57" s="20"/>
      <c r="V57" s="20"/>
      <c r="W57" s="20"/>
      <c r="X57" s="26">
        <f>X56^4/(Y55)</f>
        <v>50.015972770784131</v>
      </c>
      <c r="Y57" s="22"/>
    </row>
    <row r="58" spans="1:25" ht="15.5" x14ac:dyDescent="0.35">
      <c r="A58" s="37" t="s">
        <v>263</v>
      </c>
      <c r="B58" s="16"/>
      <c r="C58" s="16"/>
      <c r="D58" s="16"/>
      <c r="E58" s="17"/>
      <c r="F58" s="16"/>
      <c r="G58" s="54" t="s">
        <v>264</v>
      </c>
      <c r="H58" s="16"/>
      <c r="I58" s="16"/>
      <c r="J58" s="16"/>
      <c r="K58" s="55">
        <f>1.95996+(2.37356/K57)+(2.818745/K57^2)+(2.546662/K57^3)+(1.761829/K57^4)+(0.245458/K57^5)+(1.000764/K57^6)</f>
        <v>2.0085243012566099</v>
      </c>
      <c r="L58" s="19"/>
      <c r="N58" s="37" t="s">
        <v>263</v>
      </c>
      <c r="O58" s="16"/>
      <c r="P58" s="16"/>
      <c r="Q58" s="16"/>
      <c r="R58" s="17"/>
      <c r="S58" s="16"/>
      <c r="T58" s="54" t="s">
        <v>264</v>
      </c>
      <c r="U58" s="16"/>
      <c r="V58" s="16"/>
      <c r="W58" s="16"/>
      <c r="X58" s="55">
        <f>1.95996+(2.37356/X57)+(2.818745/X57^2)+(2.546662/X57^3)+(1.761829/X57^4)+(0.245458/X57^5)+(1.000764/X57^6)</f>
        <v>2.0085634540496478</v>
      </c>
      <c r="Y58" s="19"/>
    </row>
    <row r="59" spans="1:25" ht="14" x14ac:dyDescent="0.3">
      <c r="A59" s="38" t="s">
        <v>265</v>
      </c>
      <c r="B59" s="23"/>
      <c r="C59" s="23"/>
      <c r="D59" s="23"/>
      <c r="E59" s="24"/>
      <c r="F59" s="23"/>
      <c r="G59" s="56" t="s">
        <v>266</v>
      </c>
      <c r="H59" s="23"/>
      <c r="I59" s="23"/>
      <c r="J59" s="23"/>
      <c r="K59" s="43">
        <f>K56*K58</f>
        <v>0.50859861715076482</v>
      </c>
      <c r="L59" s="25" t="str">
        <f>B47</f>
        <v>µv</v>
      </c>
      <c r="N59" s="38" t="s">
        <v>265</v>
      </c>
      <c r="O59" s="23"/>
      <c r="P59" s="23"/>
      <c r="Q59" s="23"/>
      <c r="R59" s="24"/>
      <c r="S59" s="23"/>
      <c r="T59" s="56" t="s">
        <v>266</v>
      </c>
      <c r="U59" s="23"/>
      <c r="V59" s="23"/>
      <c r="W59" s="23"/>
      <c r="X59" s="43">
        <f>X56*X58</f>
        <v>1.0315801357531895</v>
      </c>
      <c r="Y59" s="25" t="str">
        <f>O47</f>
        <v>µv</v>
      </c>
    </row>
    <row r="60" spans="1:25" ht="14" x14ac:dyDescent="0.3">
      <c r="A60" s="38" t="s">
        <v>265</v>
      </c>
      <c r="B60" s="23"/>
      <c r="C60" s="23"/>
      <c r="D60" s="23"/>
      <c r="E60" s="24"/>
      <c r="F60" s="23"/>
      <c r="G60" s="56" t="s">
        <v>266</v>
      </c>
      <c r="H60" s="23"/>
      <c r="I60" s="23"/>
      <c r="J60" s="23"/>
      <c r="K60" s="43">
        <f>K57*K59</f>
        <v>25.458081469011479</v>
      </c>
      <c r="L60" s="256">
        <f>(ABS(K60)/G47)*100</f>
        <v>50.916162938022957</v>
      </c>
      <c r="N60" s="38" t="s">
        <v>265</v>
      </c>
      <c r="O60" s="23"/>
      <c r="P60" s="23"/>
      <c r="Q60" s="23"/>
      <c r="R60" s="24"/>
      <c r="S60" s="23"/>
      <c r="T60" s="56" t="s">
        <v>266</v>
      </c>
      <c r="U60" s="23"/>
      <c r="V60" s="23"/>
      <c r="W60" s="23"/>
      <c r="X60" s="43">
        <f>X57*X59</f>
        <v>51.595483980713325</v>
      </c>
      <c r="Y60" s="256">
        <f>(ABS(X60)/T47)*100</f>
        <v>51.595483980713333</v>
      </c>
    </row>
    <row r="61" spans="1:25" ht="13.5" thickBot="1" x14ac:dyDescent="0.35">
      <c r="K61" s="428">
        <f>K59/G47*100</f>
        <v>1.0171972343015296</v>
      </c>
      <c r="L61" s="41" t="s">
        <v>267</v>
      </c>
      <c r="X61" s="276">
        <f>X59/T47*100</f>
        <v>1.0315801357531895</v>
      </c>
      <c r="Y61" s="41" t="s">
        <v>267</v>
      </c>
    </row>
    <row r="62" spans="1:25" ht="14" x14ac:dyDescent="0.3">
      <c r="A62" s="302">
        <f>ID!$D$51</f>
        <v>10</v>
      </c>
      <c r="B62" s="306" t="s">
        <v>144</v>
      </c>
      <c r="C62" s="306">
        <f>ID!$G$7</f>
        <v>0.01</v>
      </c>
      <c r="D62" s="73"/>
      <c r="E62" s="125" t="s">
        <v>176</v>
      </c>
      <c r="F62" s="308"/>
      <c r="G62" s="309">
        <v>10</v>
      </c>
      <c r="H62" s="73"/>
      <c r="I62" s="310"/>
      <c r="J62" s="310"/>
      <c r="K62" s="73"/>
      <c r="L62" s="311"/>
      <c r="M62" s="73"/>
      <c r="N62" s="312">
        <f>ID!$D$52</f>
        <v>30</v>
      </c>
      <c r="O62" s="306" t="s">
        <v>144</v>
      </c>
      <c r="P62" s="306">
        <f>ID!$G$7</f>
        <v>0.01</v>
      </c>
      <c r="Q62" s="73"/>
      <c r="R62" s="125" t="s">
        <v>176</v>
      </c>
      <c r="S62" s="308"/>
      <c r="T62" s="309">
        <v>30</v>
      </c>
      <c r="U62" s="73"/>
      <c r="V62" s="310"/>
      <c r="W62" s="310"/>
      <c r="X62" s="73"/>
      <c r="Y62" s="311"/>
    </row>
    <row r="63" spans="1:25" ht="14" x14ac:dyDescent="0.3">
      <c r="A63" s="48" t="s">
        <v>227</v>
      </c>
      <c r="B63" s="181" t="s">
        <v>228</v>
      </c>
      <c r="C63" s="181" t="s">
        <v>229</v>
      </c>
      <c r="D63" s="181" t="s">
        <v>230</v>
      </c>
      <c r="E63" s="49" t="s">
        <v>231</v>
      </c>
      <c r="F63" s="181" t="s">
        <v>232</v>
      </c>
      <c r="G63" s="182" t="s">
        <v>233</v>
      </c>
      <c r="H63" s="181" t="s">
        <v>234</v>
      </c>
      <c r="I63" s="181"/>
      <c r="J63" s="182" t="s">
        <v>235</v>
      </c>
      <c r="K63" s="181" t="s">
        <v>236</v>
      </c>
      <c r="L63" s="183" t="s">
        <v>237</v>
      </c>
      <c r="N63" s="48" t="s">
        <v>227</v>
      </c>
      <c r="O63" s="181" t="s">
        <v>228</v>
      </c>
      <c r="P63" s="181" t="s">
        <v>229</v>
      </c>
      <c r="Q63" s="181" t="s">
        <v>230</v>
      </c>
      <c r="R63" s="49" t="s">
        <v>231</v>
      </c>
      <c r="S63" s="181" t="s">
        <v>232</v>
      </c>
      <c r="T63" s="182" t="s">
        <v>233</v>
      </c>
      <c r="U63" s="181" t="s">
        <v>234</v>
      </c>
      <c r="V63" s="181"/>
      <c r="W63" s="182" t="s">
        <v>235</v>
      </c>
      <c r="X63" s="181" t="s">
        <v>236</v>
      </c>
      <c r="Y63" s="183" t="s">
        <v>237</v>
      </c>
    </row>
    <row r="64" spans="1:25" ht="13" x14ac:dyDescent="0.3">
      <c r="A64" s="33" t="s">
        <v>241</v>
      </c>
      <c r="B64" s="7" t="str">
        <f>B62</f>
        <v>µv</v>
      </c>
      <c r="C64" s="7" t="s">
        <v>242</v>
      </c>
      <c r="D64" s="11">
        <f>ID!O59</f>
        <v>0</v>
      </c>
      <c r="E64" s="11">
        <f>SQRT(6)</f>
        <v>2.4494897427831779</v>
      </c>
      <c r="F64" s="7">
        <v>4</v>
      </c>
      <c r="G64" s="12">
        <f t="shared" ref="G64:G69" si="32">D64/E64</f>
        <v>0</v>
      </c>
      <c r="H64" s="11">
        <f>H49</f>
        <v>1</v>
      </c>
      <c r="I64" s="7" t="str">
        <f>'UB Hz'!$B$6</f>
        <v>Hz</v>
      </c>
      <c r="J64" s="12">
        <f t="shared" ref="J64:J69" si="33">G64*H64</f>
        <v>0</v>
      </c>
      <c r="K64" s="8">
        <f t="shared" ref="K64:K69" si="34">J64^2</f>
        <v>0</v>
      </c>
      <c r="L64" s="8">
        <f t="shared" ref="L64:L69" si="35">J64^4/F64</f>
        <v>0</v>
      </c>
      <c r="N64" s="33" t="s">
        <v>241</v>
      </c>
      <c r="O64" s="7" t="str">
        <f>O62</f>
        <v>µv</v>
      </c>
      <c r="P64" s="7" t="s">
        <v>242</v>
      </c>
      <c r="Q64" s="11">
        <f>ID!O60</f>
        <v>0</v>
      </c>
      <c r="R64" s="11">
        <f>SQRT(6)</f>
        <v>2.4494897427831779</v>
      </c>
      <c r="S64" s="7">
        <v>4</v>
      </c>
      <c r="T64" s="12">
        <f t="shared" ref="T64:T69" si="36">Q64/R64</f>
        <v>0</v>
      </c>
      <c r="U64" s="11">
        <f>U49</f>
        <v>1</v>
      </c>
      <c r="V64" s="7" t="str">
        <f>'UB Hz'!$B$6</f>
        <v>Hz</v>
      </c>
      <c r="W64" s="12">
        <f t="shared" ref="W64:W69" si="37">T64*U64</f>
        <v>0</v>
      </c>
      <c r="X64" s="8">
        <f t="shared" ref="X64:X69" si="38">W64^2</f>
        <v>0</v>
      </c>
      <c r="Y64" s="8">
        <f t="shared" ref="Y64:Y69" si="39">W64^4/S64</f>
        <v>0</v>
      </c>
    </row>
    <row r="65" spans="1:25" ht="13" x14ac:dyDescent="0.3">
      <c r="A65" s="33" t="s">
        <v>246</v>
      </c>
      <c r="B65" s="7" t="str">
        <f>B62</f>
        <v>µv</v>
      </c>
      <c r="C65" s="7" t="s">
        <v>247</v>
      </c>
      <c r="D65" s="7">
        <f>C62</f>
        <v>0.01</v>
      </c>
      <c r="E65" s="11">
        <f>SQRT(3)</f>
        <v>1.7320508075688772</v>
      </c>
      <c r="F65" s="160">
        <v>50</v>
      </c>
      <c r="G65" s="12">
        <f t="shared" si="32"/>
        <v>5.773502691896258E-3</v>
      </c>
      <c r="H65" s="11">
        <f>H50</f>
        <v>1</v>
      </c>
      <c r="I65" s="7" t="str">
        <f>'UB Hz'!$B$6</f>
        <v>Hz</v>
      </c>
      <c r="J65" s="12">
        <f t="shared" si="33"/>
        <v>5.773502691896258E-3</v>
      </c>
      <c r="K65" s="8">
        <f t="shared" si="34"/>
        <v>3.3333333333333335E-5</v>
      </c>
      <c r="L65" s="8">
        <f t="shared" si="35"/>
        <v>2.2222222222222225E-11</v>
      </c>
      <c r="N65" s="33" t="s">
        <v>246</v>
      </c>
      <c r="O65" s="7" t="str">
        <f>O62</f>
        <v>µv</v>
      </c>
      <c r="P65" s="7" t="s">
        <v>247</v>
      </c>
      <c r="Q65" s="7">
        <f>P62</f>
        <v>0.01</v>
      </c>
      <c r="R65" s="11">
        <f>SQRT(3)</f>
        <v>1.7320508075688772</v>
      </c>
      <c r="S65" s="160">
        <v>50</v>
      </c>
      <c r="T65" s="12">
        <f t="shared" si="36"/>
        <v>5.773502691896258E-3</v>
      </c>
      <c r="U65" s="11">
        <f>U50</f>
        <v>1</v>
      </c>
      <c r="V65" s="7" t="str">
        <f>'UB Hz'!$B$6</f>
        <v>Hz</v>
      </c>
      <c r="W65" s="12">
        <f t="shared" si="37"/>
        <v>5.773502691896258E-3</v>
      </c>
      <c r="X65" s="8">
        <f t="shared" si="38"/>
        <v>3.3333333333333335E-5</v>
      </c>
      <c r="Y65" s="8">
        <f t="shared" si="39"/>
        <v>2.2222222222222225E-11</v>
      </c>
    </row>
    <row r="66" spans="1:25" ht="13" x14ac:dyDescent="0.3">
      <c r="A66" s="236" t="s">
        <v>253</v>
      </c>
      <c r="B66" s="237" t="str">
        <f>'UB Hz'!$B$6</f>
        <v>Hz</v>
      </c>
      <c r="C66" s="237" t="s">
        <v>247</v>
      </c>
      <c r="D66" s="238">
        <v>0</v>
      </c>
      <c r="E66" s="238">
        <f>SQRT(3)</f>
        <v>1.7320508075688772</v>
      </c>
      <c r="F66" s="239">
        <v>50</v>
      </c>
      <c r="G66" s="240">
        <f t="shared" si="32"/>
        <v>0</v>
      </c>
      <c r="H66" s="238">
        <v>1</v>
      </c>
      <c r="I66" s="237" t="str">
        <f>'UB Hz'!$B$6</f>
        <v>Hz</v>
      </c>
      <c r="J66" s="240">
        <f t="shared" si="33"/>
        <v>0</v>
      </c>
      <c r="K66" s="241">
        <f t="shared" si="34"/>
        <v>0</v>
      </c>
      <c r="L66" s="241">
        <f t="shared" si="35"/>
        <v>0</v>
      </c>
      <c r="N66" s="236" t="s">
        <v>253</v>
      </c>
      <c r="O66" s="237" t="str">
        <f>'UB Hz'!$B$6</f>
        <v>Hz</v>
      </c>
      <c r="P66" s="237" t="s">
        <v>247</v>
      </c>
      <c r="Q66" s="238">
        <v>0</v>
      </c>
      <c r="R66" s="238">
        <f>SQRT(3)</f>
        <v>1.7320508075688772</v>
      </c>
      <c r="S66" s="239">
        <v>50</v>
      </c>
      <c r="T66" s="240">
        <f t="shared" si="36"/>
        <v>0</v>
      </c>
      <c r="U66" s="238">
        <v>1</v>
      </c>
      <c r="V66" s="237" t="str">
        <f>'UB Hz'!$B$6</f>
        <v>Hz</v>
      </c>
      <c r="W66" s="240">
        <f t="shared" si="37"/>
        <v>0</v>
      </c>
      <c r="X66" s="241">
        <f t="shared" si="38"/>
        <v>0</v>
      </c>
      <c r="Y66" s="241">
        <f t="shared" si="39"/>
        <v>0</v>
      </c>
    </row>
    <row r="67" spans="1:25" ht="13" x14ac:dyDescent="0.3">
      <c r="A67" s="249" t="s">
        <v>254</v>
      </c>
      <c r="B67" s="237" t="str">
        <f>'UB Hz'!$B$6</f>
        <v>Hz</v>
      </c>
      <c r="C67" s="237" t="s">
        <v>242</v>
      </c>
      <c r="D67" s="250">
        <v>0</v>
      </c>
      <c r="E67" s="238">
        <v>2</v>
      </c>
      <c r="F67" s="239">
        <v>50</v>
      </c>
      <c r="G67" s="240">
        <f t="shared" si="32"/>
        <v>0</v>
      </c>
      <c r="H67" s="238">
        <v>1</v>
      </c>
      <c r="I67" s="237" t="str">
        <f>'UB Hz'!$B$6</f>
        <v>Hz</v>
      </c>
      <c r="J67" s="240">
        <f t="shared" si="33"/>
        <v>0</v>
      </c>
      <c r="K67" s="241">
        <f t="shared" si="34"/>
        <v>0</v>
      </c>
      <c r="L67" s="241">
        <f t="shared" si="35"/>
        <v>0</v>
      </c>
      <c r="N67" s="249" t="s">
        <v>254</v>
      </c>
      <c r="O67" s="237" t="str">
        <f>'UB Hz'!$B$6</f>
        <v>Hz</v>
      </c>
      <c r="P67" s="237" t="s">
        <v>242</v>
      </c>
      <c r="Q67" s="250">
        <v>0</v>
      </c>
      <c r="R67" s="238">
        <v>2</v>
      </c>
      <c r="S67" s="239">
        <v>50</v>
      </c>
      <c r="T67" s="240">
        <f t="shared" si="36"/>
        <v>0</v>
      </c>
      <c r="U67" s="238">
        <v>1</v>
      </c>
      <c r="V67" s="237" t="str">
        <f>'UB Hz'!$B$6</f>
        <v>Hz</v>
      </c>
      <c r="W67" s="240">
        <f t="shared" si="37"/>
        <v>0</v>
      </c>
      <c r="X67" s="241">
        <f t="shared" si="38"/>
        <v>0</v>
      </c>
      <c r="Y67" s="241">
        <f t="shared" si="39"/>
        <v>0</v>
      </c>
    </row>
    <row r="68" spans="1:25" ht="13" x14ac:dyDescent="0.3">
      <c r="A68" s="33" t="s">
        <v>255</v>
      </c>
      <c r="B68" s="7" t="str">
        <f>B62</f>
        <v>µv</v>
      </c>
      <c r="C68" s="7" t="s">
        <v>247</v>
      </c>
      <c r="D68" s="298">
        <f>'DB EEG'!C201</f>
        <v>5.0500000000000002E-4</v>
      </c>
      <c r="E68" s="11">
        <f>SQRT(3)</f>
        <v>1.7320508075688772</v>
      </c>
      <c r="F68" s="160">
        <v>50</v>
      </c>
      <c r="G68" s="12">
        <f t="shared" si="32"/>
        <v>2.9156188594076104E-4</v>
      </c>
      <c r="H68" s="11">
        <v>1</v>
      </c>
      <c r="I68" s="7" t="str">
        <f>'UB Hz'!$B$6</f>
        <v>Hz</v>
      </c>
      <c r="J68" s="12">
        <f t="shared" si="33"/>
        <v>2.9156188594076104E-4</v>
      </c>
      <c r="K68" s="8">
        <f t="shared" si="34"/>
        <v>8.5008333333333358E-8</v>
      </c>
      <c r="L68" s="8">
        <f t="shared" si="35"/>
        <v>1.4452833472222231E-16</v>
      </c>
      <c r="N68" s="33" t="s">
        <v>255</v>
      </c>
      <c r="O68" s="7" t="str">
        <f>O62</f>
        <v>µv</v>
      </c>
      <c r="P68" s="7" t="s">
        <v>247</v>
      </c>
      <c r="Q68" s="298">
        <f>'DB EEG'!C202</f>
        <v>1.5449999999999999E-3</v>
      </c>
      <c r="R68" s="11">
        <f>SQRT(3)</f>
        <v>1.7320508075688772</v>
      </c>
      <c r="S68" s="160">
        <v>50</v>
      </c>
      <c r="T68" s="12">
        <f t="shared" si="36"/>
        <v>8.9200616589797178E-4</v>
      </c>
      <c r="U68" s="11">
        <v>1</v>
      </c>
      <c r="V68" s="7" t="str">
        <f>'UB Hz'!$B$6</f>
        <v>Hz</v>
      </c>
      <c r="W68" s="12">
        <f t="shared" si="37"/>
        <v>8.9200616589797178E-4</v>
      </c>
      <c r="X68" s="8">
        <f t="shared" si="38"/>
        <v>7.956749999999999E-7</v>
      </c>
      <c r="Y68" s="8">
        <f t="shared" si="39"/>
        <v>1.2661974112499997E-14</v>
      </c>
    </row>
    <row r="69" spans="1:25" ht="13" x14ac:dyDescent="0.3">
      <c r="A69" s="35" t="s">
        <v>256</v>
      </c>
      <c r="B69" s="7" t="str">
        <f>B62</f>
        <v>µv</v>
      </c>
      <c r="C69" s="7" t="s">
        <v>242</v>
      </c>
      <c r="D69" s="299">
        <f>'DB EEG'!D201</f>
        <v>0.10099999999999996</v>
      </c>
      <c r="E69" s="11">
        <v>2</v>
      </c>
      <c r="F69" s="160">
        <v>50</v>
      </c>
      <c r="G69" s="12">
        <f t="shared" si="32"/>
        <v>5.0499999999999982E-2</v>
      </c>
      <c r="H69" s="11">
        <v>1</v>
      </c>
      <c r="I69" s="7" t="str">
        <f>'UB Hz'!$B$6</f>
        <v>Hz</v>
      </c>
      <c r="J69" s="12">
        <f t="shared" si="33"/>
        <v>5.0499999999999982E-2</v>
      </c>
      <c r="K69" s="8">
        <f t="shared" si="34"/>
        <v>2.5502499999999983E-3</v>
      </c>
      <c r="L69" s="8">
        <f t="shared" si="35"/>
        <v>1.3007550124999984E-7</v>
      </c>
      <c r="N69" s="35" t="s">
        <v>256</v>
      </c>
      <c r="O69" s="7" t="str">
        <f>O62</f>
        <v>µv</v>
      </c>
      <c r="P69" s="7" t="s">
        <v>242</v>
      </c>
      <c r="Q69" s="299">
        <f>'DB EEG'!D202</f>
        <v>0.30899999999999994</v>
      </c>
      <c r="R69" s="11">
        <v>2</v>
      </c>
      <c r="S69" s="160">
        <v>50</v>
      </c>
      <c r="T69" s="12">
        <f t="shared" si="36"/>
        <v>0.15449999999999997</v>
      </c>
      <c r="U69" s="11">
        <v>1</v>
      </c>
      <c r="V69" s="7" t="str">
        <f>'UB Hz'!$B$6</f>
        <v>Hz</v>
      </c>
      <c r="W69" s="12">
        <f t="shared" si="37"/>
        <v>0.15449999999999997</v>
      </c>
      <c r="X69" s="8">
        <f t="shared" si="38"/>
        <v>2.3870249999999992E-2</v>
      </c>
      <c r="Y69" s="8">
        <f t="shared" si="39"/>
        <v>1.1395776701249993E-5</v>
      </c>
    </row>
    <row r="70" spans="1:25" ht="14" x14ac:dyDescent="0.3">
      <c r="A70" s="36" t="s">
        <v>257</v>
      </c>
      <c r="B70" s="13"/>
      <c r="C70" s="13"/>
      <c r="D70" s="13"/>
      <c r="E70" s="14"/>
      <c r="F70" s="13"/>
      <c r="G70" s="13"/>
      <c r="H70" s="13"/>
      <c r="I70" s="13"/>
      <c r="J70" s="13"/>
      <c r="K70" s="50">
        <f>SUM(K64:K69)</f>
        <v>2.5836683416666649E-3</v>
      </c>
      <c r="L70" s="4">
        <f>SUM(L64:L69)</f>
        <v>1.300977236167504E-7</v>
      </c>
      <c r="N70" s="36" t="s">
        <v>257</v>
      </c>
      <c r="O70" s="13"/>
      <c r="P70" s="13"/>
      <c r="Q70" s="13"/>
      <c r="R70" s="14"/>
      <c r="S70" s="13"/>
      <c r="T70" s="13"/>
      <c r="U70" s="13"/>
      <c r="V70" s="13"/>
      <c r="W70" s="13"/>
      <c r="X70" s="50">
        <f>SUM(X64:X69)</f>
        <v>2.3904379008333327E-2</v>
      </c>
      <c r="Y70" s="4">
        <f>SUM(Y64:Y69)</f>
        <v>1.1395798936134189E-5</v>
      </c>
    </row>
    <row r="71" spans="1:25" ht="17" x14ac:dyDescent="0.45">
      <c r="A71" s="37" t="s">
        <v>258</v>
      </c>
      <c r="B71" s="16"/>
      <c r="C71" s="16"/>
      <c r="D71" s="16"/>
      <c r="E71" s="17"/>
      <c r="F71" s="16"/>
      <c r="G71" s="51" t="s">
        <v>259</v>
      </c>
      <c r="H71" s="16"/>
      <c r="I71" s="16"/>
      <c r="J71" s="16"/>
      <c r="K71" s="18">
        <f>SQRT(K70)</f>
        <v>5.0829797773222204E-2</v>
      </c>
      <c r="L71" s="19"/>
      <c r="N71" s="37" t="s">
        <v>258</v>
      </c>
      <c r="O71" s="16"/>
      <c r="P71" s="16"/>
      <c r="Q71" s="16"/>
      <c r="R71" s="17"/>
      <c r="S71" s="16"/>
      <c r="T71" s="51" t="s">
        <v>259</v>
      </c>
      <c r="U71" s="16"/>
      <c r="V71" s="16"/>
      <c r="W71" s="16"/>
      <c r="X71" s="18">
        <f>SQRT(X70)</f>
        <v>0.15461041041383122</v>
      </c>
      <c r="Y71" s="19"/>
    </row>
    <row r="72" spans="1:25" ht="17.5" x14ac:dyDescent="0.45">
      <c r="A72" s="36" t="s">
        <v>260</v>
      </c>
      <c r="B72" s="20"/>
      <c r="C72" s="20"/>
      <c r="D72" s="20"/>
      <c r="E72" s="21"/>
      <c r="F72" s="20"/>
      <c r="G72" s="52" t="s">
        <v>261</v>
      </c>
      <c r="H72" s="20"/>
      <c r="I72" s="20"/>
      <c r="J72" s="20"/>
      <c r="K72" s="26">
        <f>K71^4/(L70)</f>
        <v>51.310214461516587</v>
      </c>
      <c r="L72" s="22"/>
      <c r="N72" s="36" t="s">
        <v>260</v>
      </c>
      <c r="O72" s="20"/>
      <c r="P72" s="20"/>
      <c r="Q72" s="20"/>
      <c r="R72" s="21"/>
      <c r="S72" s="20"/>
      <c r="T72" s="52" t="s">
        <v>261</v>
      </c>
      <c r="U72" s="20"/>
      <c r="V72" s="20"/>
      <c r="W72" s="20"/>
      <c r="X72" s="26">
        <f>X71^4/(Y70)</f>
        <v>50.142981547539527</v>
      </c>
      <c r="Y72" s="22"/>
    </row>
    <row r="73" spans="1:25" ht="15.5" x14ac:dyDescent="0.35">
      <c r="A73" s="37" t="s">
        <v>263</v>
      </c>
      <c r="B73" s="16"/>
      <c r="C73" s="16"/>
      <c r="D73" s="16"/>
      <c r="E73" s="17"/>
      <c r="F73" s="16"/>
      <c r="G73" s="54" t="s">
        <v>264</v>
      </c>
      <c r="H73" s="16"/>
      <c r="I73" s="16"/>
      <c r="J73" s="16"/>
      <c r="K73" s="55">
        <f>1.95996+(2.37356/K72)+(2.818745/K72^2)+(2.546662/K72^3)+(1.761829/K72^4)+(0.245458/K72^5)+(1.000764/K72^6)</f>
        <v>2.0073087739124889</v>
      </c>
      <c r="N73" s="37" t="s">
        <v>263</v>
      </c>
      <c r="O73" s="16"/>
      <c r="P73" s="16"/>
      <c r="Q73" s="16"/>
      <c r="R73" s="17"/>
      <c r="S73" s="16"/>
      <c r="T73" s="54" t="s">
        <v>264</v>
      </c>
      <c r="U73" s="16"/>
      <c r="V73" s="16"/>
      <c r="W73" s="16"/>
      <c r="X73" s="55">
        <f>1.95996+(2.37356/X72)+(2.818745/X72^2)+(2.546662/X72^3)+(1.761829/X72^4)+(0.245458/X72^5)+(1.000764/X72^6)</f>
        <v>2.0084373931133306</v>
      </c>
    </row>
    <row r="74" spans="1:25" ht="14" x14ac:dyDescent="0.3">
      <c r="A74" s="38" t="s">
        <v>265</v>
      </c>
      <c r="B74" s="23"/>
      <c r="C74" s="23"/>
      <c r="D74" s="23"/>
      <c r="E74" s="24"/>
      <c r="F74" s="23"/>
      <c r="G74" s="56" t="s">
        <v>266</v>
      </c>
      <c r="H74" s="23"/>
      <c r="I74" s="23"/>
      <c r="J74" s="23"/>
      <c r="K74" s="43">
        <f>K71*K73</f>
        <v>0.10203109904638642</v>
      </c>
      <c r="L74" s="25" t="str">
        <f>B62</f>
        <v>µv</v>
      </c>
      <c r="N74" s="38" t="s">
        <v>265</v>
      </c>
      <c r="O74" s="23"/>
      <c r="P74" s="23"/>
      <c r="Q74" s="23"/>
      <c r="R74" s="24"/>
      <c r="S74" s="23"/>
      <c r="T74" s="56" t="s">
        <v>266</v>
      </c>
      <c r="U74" s="23"/>
      <c r="V74" s="23"/>
      <c r="W74" s="23"/>
      <c r="X74" s="43">
        <f>X71*X73</f>
        <v>0.31052532963973734</v>
      </c>
      <c r="Y74" s="25" t="str">
        <f>O62</f>
        <v>µv</v>
      </c>
    </row>
    <row r="75" spans="1:25" ht="14" x14ac:dyDescent="0.3">
      <c r="A75" s="38" t="s">
        <v>265</v>
      </c>
      <c r="B75" s="23"/>
      <c r="C75" s="23"/>
      <c r="D75" s="23"/>
      <c r="E75" s="24"/>
      <c r="F75" s="23"/>
      <c r="G75" s="56" t="s">
        <v>266</v>
      </c>
      <c r="H75" s="23"/>
      <c r="I75" s="23"/>
      <c r="K75" s="43">
        <f>K72*K74</f>
        <v>5.2352375738143282</v>
      </c>
      <c r="L75" s="256">
        <f>(ABS(K75)/G62)*100</f>
        <v>52.352375738143287</v>
      </c>
      <c r="M75" s="429">
        <f>C62</f>
        <v>0.01</v>
      </c>
      <c r="N75" s="38" t="s">
        <v>265</v>
      </c>
      <c r="O75" s="23"/>
      <c r="P75" s="23"/>
      <c r="Q75" s="23"/>
      <c r="R75" s="24"/>
      <c r="S75" s="23"/>
      <c r="T75" s="56" t="s">
        <v>266</v>
      </c>
      <c r="U75" s="23"/>
      <c r="V75" s="23"/>
      <c r="W75" s="25">
        <f>P62</f>
        <v>0.01</v>
      </c>
      <c r="X75" s="43">
        <f>X72*X74</f>
        <v>15.570665874168979</v>
      </c>
      <c r="Y75" s="256">
        <f>(ABS(X75)/T62)*100</f>
        <v>51.902219580563255</v>
      </c>
    </row>
    <row r="76" spans="1:25" ht="13" x14ac:dyDescent="0.3">
      <c r="K76" s="276">
        <f>K74/G62*100</f>
        <v>1.0203109904638641</v>
      </c>
      <c r="L76" s="41" t="s">
        <v>267</v>
      </c>
      <c r="X76" s="276">
        <f>X74/T62*100</f>
        <v>1.0350844321324577</v>
      </c>
      <c r="Y76" s="41" t="s">
        <v>267</v>
      </c>
    </row>
    <row r="77" spans="1:25" ht="14" x14ac:dyDescent="0.3">
      <c r="A77" s="300">
        <f>ID!$D$53</f>
        <v>50</v>
      </c>
      <c r="B77" s="65" t="s">
        <v>144</v>
      </c>
      <c r="C77" s="65">
        <f>ID!$G$7</f>
        <v>0.01</v>
      </c>
      <c r="E77" s="125" t="s">
        <v>176</v>
      </c>
      <c r="F77" s="74"/>
      <c r="G77" s="77">
        <v>50</v>
      </c>
      <c r="I77" s="101"/>
      <c r="J77" s="101"/>
      <c r="L77" s="100"/>
      <c r="N77" s="300">
        <f>ID!$D$54</f>
        <v>100</v>
      </c>
      <c r="O77" s="65" t="s">
        <v>144</v>
      </c>
      <c r="P77" s="65">
        <f>ID!$G$7</f>
        <v>0.01</v>
      </c>
      <c r="R77" s="125" t="s">
        <v>176</v>
      </c>
      <c r="S77" s="74"/>
      <c r="T77" s="77">
        <v>100</v>
      </c>
      <c r="V77" s="101"/>
      <c r="W77" s="101"/>
      <c r="Y77" s="100"/>
    </row>
    <row r="78" spans="1:25" ht="14" x14ac:dyDescent="0.3">
      <c r="A78" s="48" t="s">
        <v>227</v>
      </c>
      <c r="B78" s="181" t="s">
        <v>228</v>
      </c>
      <c r="C78" s="181" t="s">
        <v>229</v>
      </c>
      <c r="D78" s="181" t="s">
        <v>230</v>
      </c>
      <c r="E78" s="49" t="s">
        <v>231</v>
      </c>
      <c r="F78" s="181" t="s">
        <v>232</v>
      </c>
      <c r="G78" s="182" t="s">
        <v>233</v>
      </c>
      <c r="H78" s="181" t="s">
        <v>234</v>
      </c>
      <c r="I78" s="181"/>
      <c r="J78" s="182" t="s">
        <v>235</v>
      </c>
      <c r="K78" s="181" t="s">
        <v>236</v>
      </c>
      <c r="L78" s="183" t="s">
        <v>237</v>
      </c>
      <c r="N78" s="48" t="s">
        <v>227</v>
      </c>
      <c r="O78" s="181" t="s">
        <v>228</v>
      </c>
      <c r="P78" s="181" t="s">
        <v>229</v>
      </c>
      <c r="Q78" s="181" t="s">
        <v>230</v>
      </c>
      <c r="R78" s="49" t="s">
        <v>231</v>
      </c>
      <c r="S78" s="181" t="s">
        <v>232</v>
      </c>
      <c r="T78" s="182" t="s">
        <v>233</v>
      </c>
      <c r="U78" s="181" t="s">
        <v>234</v>
      </c>
      <c r="V78" s="181"/>
      <c r="W78" s="182" t="s">
        <v>235</v>
      </c>
      <c r="X78" s="181" t="s">
        <v>236</v>
      </c>
      <c r="Y78" s="183" t="s">
        <v>237</v>
      </c>
    </row>
    <row r="79" spans="1:25" ht="13" x14ac:dyDescent="0.3">
      <c r="A79" s="33" t="s">
        <v>241</v>
      </c>
      <c r="B79" s="7" t="str">
        <f>B77</f>
        <v>µv</v>
      </c>
      <c r="C79" s="7" t="s">
        <v>242</v>
      </c>
      <c r="D79" s="11">
        <f>ID!O61</f>
        <v>0</v>
      </c>
      <c r="E79" s="11">
        <f>SQRT(6)</f>
        <v>2.4494897427831779</v>
      </c>
      <c r="F79" s="7">
        <v>4</v>
      </c>
      <c r="G79" s="12">
        <f t="shared" ref="G79:G84" si="40">D79/E79</f>
        <v>0</v>
      </c>
      <c r="H79" s="11">
        <f>H64</f>
        <v>1</v>
      </c>
      <c r="I79" s="7" t="str">
        <f>'UB Hz'!$B$6</f>
        <v>Hz</v>
      </c>
      <c r="J79" s="12">
        <f t="shared" ref="J79:J84" si="41">G79*H79</f>
        <v>0</v>
      </c>
      <c r="K79" s="8">
        <f t="shared" ref="K79:K84" si="42">J79^2</f>
        <v>0</v>
      </c>
      <c r="L79" s="8">
        <f t="shared" ref="L79:L84" si="43">J79^4/F79</f>
        <v>0</v>
      </c>
      <c r="N79" s="33" t="s">
        <v>241</v>
      </c>
      <c r="O79" s="7" t="str">
        <f>O77</f>
        <v>µv</v>
      </c>
      <c r="P79" s="7" t="s">
        <v>242</v>
      </c>
      <c r="Q79" s="11">
        <f>ID!O62</f>
        <v>0</v>
      </c>
      <c r="R79" s="11">
        <f>SQRT(6)</f>
        <v>2.4494897427831779</v>
      </c>
      <c r="S79" s="7">
        <v>4</v>
      </c>
      <c r="T79" s="12">
        <f t="shared" ref="T79:T84" si="44">Q79/R79</f>
        <v>0</v>
      </c>
      <c r="U79" s="11">
        <f>U64</f>
        <v>1</v>
      </c>
      <c r="V79" s="7" t="str">
        <f>'UB Hz'!$B$6</f>
        <v>Hz</v>
      </c>
      <c r="W79" s="12">
        <f t="shared" ref="W79:W84" si="45">T79*U79</f>
        <v>0</v>
      </c>
      <c r="X79" s="8">
        <f t="shared" ref="X79:X84" si="46">W79^2</f>
        <v>0</v>
      </c>
      <c r="Y79" s="8">
        <f t="shared" ref="Y79:Y84" si="47">W79^4/S79</f>
        <v>0</v>
      </c>
    </row>
    <row r="80" spans="1:25" ht="13" x14ac:dyDescent="0.3">
      <c r="A80" s="33" t="s">
        <v>246</v>
      </c>
      <c r="B80" s="7" t="str">
        <f>B77</f>
        <v>µv</v>
      </c>
      <c r="C80" s="7" t="s">
        <v>247</v>
      </c>
      <c r="D80" s="7">
        <f>C77</f>
        <v>0.01</v>
      </c>
      <c r="E80" s="11">
        <f>SQRT(3)</f>
        <v>1.7320508075688772</v>
      </c>
      <c r="F80" s="160">
        <v>50</v>
      </c>
      <c r="G80" s="12">
        <f t="shared" si="40"/>
        <v>5.773502691896258E-3</v>
      </c>
      <c r="H80" s="11">
        <f>H65</f>
        <v>1</v>
      </c>
      <c r="I80" s="7" t="str">
        <f>'UB Hz'!$B$6</f>
        <v>Hz</v>
      </c>
      <c r="J80" s="12">
        <f t="shared" si="41"/>
        <v>5.773502691896258E-3</v>
      </c>
      <c r="K80" s="8">
        <f t="shared" si="42"/>
        <v>3.3333333333333335E-5</v>
      </c>
      <c r="L80" s="8">
        <f t="shared" si="43"/>
        <v>2.2222222222222225E-11</v>
      </c>
      <c r="N80" s="33" t="s">
        <v>246</v>
      </c>
      <c r="O80" s="7" t="str">
        <f>O77</f>
        <v>µv</v>
      </c>
      <c r="P80" s="7" t="s">
        <v>247</v>
      </c>
      <c r="Q80" s="7">
        <f>P77</f>
        <v>0.01</v>
      </c>
      <c r="R80" s="11">
        <f>SQRT(3)</f>
        <v>1.7320508075688772</v>
      </c>
      <c r="S80" s="160">
        <v>50</v>
      </c>
      <c r="T80" s="12">
        <f t="shared" si="44"/>
        <v>5.773502691896258E-3</v>
      </c>
      <c r="U80" s="11">
        <f>U65</f>
        <v>1</v>
      </c>
      <c r="V80" s="7" t="str">
        <f>'UB Hz'!$B$6</f>
        <v>Hz</v>
      </c>
      <c r="W80" s="12">
        <f t="shared" si="45"/>
        <v>5.773502691896258E-3</v>
      </c>
      <c r="X80" s="8">
        <f t="shared" si="46"/>
        <v>3.3333333333333335E-5</v>
      </c>
      <c r="Y80" s="8">
        <f t="shared" si="47"/>
        <v>2.2222222222222225E-11</v>
      </c>
    </row>
    <row r="81" spans="1:25" ht="13" x14ac:dyDescent="0.3">
      <c r="A81" s="236" t="s">
        <v>253</v>
      </c>
      <c r="B81" s="237" t="str">
        <f>'UB Hz'!$B$6</f>
        <v>Hz</v>
      </c>
      <c r="C81" s="237" t="s">
        <v>247</v>
      </c>
      <c r="D81" s="238">
        <v>0</v>
      </c>
      <c r="E81" s="238">
        <f>SQRT(3)</f>
        <v>1.7320508075688772</v>
      </c>
      <c r="F81" s="239">
        <v>50</v>
      </c>
      <c r="G81" s="240">
        <f t="shared" si="40"/>
        <v>0</v>
      </c>
      <c r="H81" s="238">
        <v>1</v>
      </c>
      <c r="I81" s="237" t="str">
        <f>'UB Hz'!$B$6</f>
        <v>Hz</v>
      </c>
      <c r="J81" s="240">
        <f t="shared" si="41"/>
        <v>0</v>
      </c>
      <c r="K81" s="241">
        <f t="shared" si="42"/>
        <v>0</v>
      </c>
      <c r="L81" s="241">
        <f t="shared" si="43"/>
        <v>0</v>
      </c>
      <c r="N81" s="236" t="s">
        <v>253</v>
      </c>
      <c r="O81" s="237" t="str">
        <f>'UB Hz'!$B$6</f>
        <v>Hz</v>
      </c>
      <c r="P81" s="237" t="s">
        <v>247</v>
      </c>
      <c r="Q81" s="238">
        <v>0</v>
      </c>
      <c r="R81" s="238">
        <f>SQRT(3)</f>
        <v>1.7320508075688772</v>
      </c>
      <c r="S81" s="239">
        <v>50</v>
      </c>
      <c r="T81" s="240">
        <f t="shared" si="44"/>
        <v>0</v>
      </c>
      <c r="U81" s="238">
        <v>1</v>
      </c>
      <c r="V81" s="237" t="str">
        <f>'UB Hz'!$B$6</f>
        <v>Hz</v>
      </c>
      <c r="W81" s="240">
        <f t="shared" si="45"/>
        <v>0</v>
      </c>
      <c r="X81" s="241">
        <f t="shared" si="46"/>
        <v>0</v>
      </c>
      <c r="Y81" s="241">
        <f t="shared" si="47"/>
        <v>0</v>
      </c>
    </row>
    <row r="82" spans="1:25" ht="13" x14ac:dyDescent="0.3">
      <c r="A82" s="249" t="s">
        <v>254</v>
      </c>
      <c r="B82" s="237" t="str">
        <f>'UB Hz'!$B$6</f>
        <v>Hz</v>
      </c>
      <c r="C82" s="237" t="s">
        <v>242</v>
      </c>
      <c r="D82" s="250">
        <v>0</v>
      </c>
      <c r="E82" s="238">
        <v>2</v>
      </c>
      <c r="F82" s="239">
        <v>50</v>
      </c>
      <c r="G82" s="240">
        <f t="shared" si="40"/>
        <v>0</v>
      </c>
      <c r="H82" s="238">
        <v>1</v>
      </c>
      <c r="I82" s="237" t="str">
        <f>'UB Hz'!$B$6</f>
        <v>Hz</v>
      </c>
      <c r="J82" s="240">
        <f t="shared" si="41"/>
        <v>0</v>
      </c>
      <c r="K82" s="241">
        <f t="shared" si="42"/>
        <v>0</v>
      </c>
      <c r="L82" s="241">
        <f t="shared" si="43"/>
        <v>0</v>
      </c>
      <c r="N82" s="249" t="s">
        <v>254</v>
      </c>
      <c r="O82" s="237" t="str">
        <f>'UB Hz'!$B$6</f>
        <v>Hz</v>
      </c>
      <c r="P82" s="237" t="s">
        <v>242</v>
      </c>
      <c r="Q82" s="250">
        <v>0</v>
      </c>
      <c r="R82" s="238">
        <v>2</v>
      </c>
      <c r="S82" s="239">
        <v>50</v>
      </c>
      <c r="T82" s="240">
        <f t="shared" si="44"/>
        <v>0</v>
      </c>
      <c r="U82" s="238">
        <v>1</v>
      </c>
      <c r="V82" s="237" t="str">
        <f>'UB Hz'!$B$6</f>
        <v>Hz</v>
      </c>
      <c r="W82" s="240">
        <f t="shared" si="45"/>
        <v>0</v>
      </c>
      <c r="X82" s="241">
        <f t="shared" si="46"/>
        <v>0</v>
      </c>
      <c r="Y82" s="241">
        <f t="shared" si="47"/>
        <v>0</v>
      </c>
    </row>
    <row r="83" spans="1:25" ht="13" x14ac:dyDescent="0.3">
      <c r="A83" s="33" t="s">
        <v>255</v>
      </c>
      <c r="B83" s="7" t="str">
        <f>B77</f>
        <v>µv</v>
      </c>
      <c r="C83" s="7" t="s">
        <v>247</v>
      </c>
      <c r="D83" s="298">
        <f>'DB EEG'!C203</f>
        <v>2.5315000000000003E-3</v>
      </c>
      <c r="E83" s="11">
        <f>SQRT(3)</f>
        <v>1.7320508075688772</v>
      </c>
      <c r="F83" s="160">
        <v>50</v>
      </c>
      <c r="G83" s="12">
        <f t="shared" si="40"/>
        <v>1.4615622064535379E-3</v>
      </c>
      <c r="H83" s="11">
        <v>1</v>
      </c>
      <c r="I83" s="7" t="str">
        <f>'UB Hz'!$B$6</f>
        <v>Hz</v>
      </c>
      <c r="J83" s="12">
        <f t="shared" si="41"/>
        <v>1.4615622064535379E-3</v>
      </c>
      <c r="K83" s="8">
        <f t="shared" si="42"/>
        <v>2.136164083333334E-6</v>
      </c>
      <c r="L83" s="8">
        <f t="shared" si="43"/>
        <v>9.1263939818466853E-14</v>
      </c>
      <c r="N83" s="33" t="s">
        <v>255</v>
      </c>
      <c r="O83" s="7" t="str">
        <f>O77</f>
        <v>µv</v>
      </c>
      <c r="P83" s="7" t="s">
        <v>247</v>
      </c>
      <c r="Q83" s="298">
        <f>'DB EEG'!C204</f>
        <v>5.1355000000000003E-3</v>
      </c>
      <c r="R83" s="11">
        <f>SQRT(3)</f>
        <v>1.7320508075688772</v>
      </c>
      <c r="S83" s="160">
        <v>50</v>
      </c>
      <c r="T83" s="12">
        <f t="shared" si="44"/>
        <v>2.9649823074233235E-3</v>
      </c>
      <c r="U83" s="11">
        <v>1</v>
      </c>
      <c r="V83" s="7" t="str">
        <f>'UB Hz'!$B$6</f>
        <v>Hz</v>
      </c>
      <c r="W83" s="12">
        <f t="shared" si="45"/>
        <v>2.9649823074233235E-3</v>
      </c>
      <c r="X83" s="8">
        <f t="shared" si="46"/>
        <v>8.7911200833333351E-6</v>
      </c>
      <c r="Y83" s="8">
        <f t="shared" si="47"/>
        <v>1.5456758463917341E-12</v>
      </c>
    </row>
    <row r="84" spans="1:25" ht="13" x14ac:dyDescent="0.3">
      <c r="A84" s="35" t="s">
        <v>256</v>
      </c>
      <c r="B84" s="7" t="str">
        <f>B77</f>
        <v>µv</v>
      </c>
      <c r="C84" s="7" t="s">
        <v>242</v>
      </c>
      <c r="D84" s="299">
        <f>'DB EEG'!D203</f>
        <v>0.50630000000000008</v>
      </c>
      <c r="E84" s="11">
        <v>2</v>
      </c>
      <c r="F84" s="160">
        <v>50</v>
      </c>
      <c r="G84" s="12">
        <f t="shared" si="40"/>
        <v>0.25315000000000004</v>
      </c>
      <c r="H84" s="11">
        <v>1</v>
      </c>
      <c r="I84" s="7" t="str">
        <f>'UB Hz'!$B$6</f>
        <v>Hz</v>
      </c>
      <c r="J84" s="12">
        <f t="shared" si="41"/>
        <v>0.25315000000000004</v>
      </c>
      <c r="K84" s="8">
        <f t="shared" si="42"/>
        <v>6.4084922500000016E-2</v>
      </c>
      <c r="L84" s="8">
        <f t="shared" si="43"/>
        <v>8.2137545836620169E-5</v>
      </c>
      <c r="N84" s="35" t="s">
        <v>256</v>
      </c>
      <c r="O84" s="7" t="str">
        <f>O77</f>
        <v>µv</v>
      </c>
      <c r="P84" s="7" t="s">
        <v>242</v>
      </c>
      <c r="Q84" s="299">
        <f>'DB EEG'!D204</f>
        <v>1.0270999999999999</v>
      </c>
      <c r="R84" s="11">
        <v>2</v>
      </c>
      <c r="S84" s="160">
        <v>50</v>
      </c>
      <c r="T84" s="12">
        <f t="shared" si="44"/>
        <v>0.51354999999999995</v>
      </c>
      <c r="U84" s="11">
        <v>1</v>
      </c>
      <c r="V84" s="7" t="str">
        <f>'UB Hz'!$B$6</f>
        <v>Hz</v>
      </c>
      <c r="W84" s="12">
        <f t="shared" si="45"/>
        <v>0.51354999999999995</v>
      </c>
      <c r="X84" s="8">
        <f t="shared" si="46"/>
        <v>0.26373360249999994</v>
      </c>
      <c r="Y84" s="8">
        <f t="shared" si="47"/>
        <v>1.3911082617525594E-3</v>
      </c>
    </row>
    <row r="85" spans="1:25" ht="14" x14ac:dyDescent="0.3">
      <c r="A85" s="36" t="s">
        <v>257</v>
      </c>
      <c r="B85" s="13"/>
      <c r="C85" s="13"/>
      <c r="D85" s="13"/>
      <c r="E85" s="14"/>
      <c r="F85" s="13"/>
      <c r="G85" s="13"/>
      <c r="H85" s="13"/>
      <c r="I85" s="13"/>
      <c r="J85" s="13"/>
      <c r="K85" s="50">
        <f>SUM(K79:K84)</f>
        <v>6.412039199741669E-2</v>
      </c>
      <c r="L85" s="4">
        <f>SUM(L79:L84)</f>
        <v>8.2137568150106324E-5</v>
      </c>
      <c r="N85" s="36" t="s">
        <v>257</v>
      </c>
      <c r="O85" s="13"/>
      <c r="P85" s="13"/>
      <c r="Q85" s="13"/>
      <c r="R85" s="14"/>
      <c r="S85" s="13"/>
      <c r="T85" s="13"/>
      <c r="U85" s="13"/>
      <c r="V85" s="13"/>
      <c r="W85" s="13"/>
      <c r="X85" s="50">
        <f>SUM(X79:X84)</f>
        <v>0.26377572695341661</v>
      </c>
      <c r="Y85" s="4">
        <f>SUM(Y79:Y84)</f>
        <v>1.3911082855204574E-3</v>
      </c>
    </row>
    <row r="86" spans="1:25" ht="17" x14ac:dyDescent="0.45">
      <c r="A86" s="37" t="s">
        <v>258</v>
      </c>
      <c r="B86" s="16"/>
      <c r="C86" s="16"/>
      <c r="D86" s="16"/>
      <c r="E86" s="17"/>
      <c r="F86" s="16"/>
      <c r="G86" s="51" t="s">
        <v>259</v>
      </c>
      <c r="H86" s="16"/>
      <c r="I86" s="16"/>
      <c r="J86" s="16"/>
      <c r="K86" s="18">
        <f>SQRT(K85)</f>
        <v>0.25322004659468944</v>
      </c>
      <c r="L86" s="19"/>
      <c r="N86" s="37" t="s">
        <v>258</v>
      </c>
      <c r="O86" s="16"/>
      <c r="P86" s="16"/>
      <c r="Q86" s="16"/>
      <c r="R86" s="17"/>
      <c r="S86" s="16"/>
      <c r="T86" s="51" t="s">
        <v>259</v>
      </c>
      <c r="U86" s="16"/>
      <c r="V86" s="16"/>
      <c r="W86" s="16"/>
      <c r="X86" s="18">
        <f>SQRT(X85)</f>
        <v>0.51359101136353291</v>
      </c>
      <c r="Y86" s="19"/>
    </row>
    <row r="87" spans="1:25" ht="17.5" x14ac:dyDescent="0.45">
      <c r="A87" s="36" t="s">
        <v>260</v>
      </c>
      <c r="B87" s="20"/>
      <c r="C87" s="20"/>
      <c r="D87" s="20"/>
      <c r="E87" s="21"/>
      <c r="F87" s="20"/>
      <c r="G87" s="52" t="s">
        <v>261</v>
      </c>
      <c r="H87" s="20"/>
      <c r="I87" s="20"/>
      <c r="J87" s="20"/>
      <c r="K87" s="26">
        <f>K86^4/(L85)</f>
        <v>50.055349366915195</v>
      </c>
      <c r="L87" s="22"/>
      <c r="N87" s="36" t="s">
        <v>260</v>
      </c>
      <c r="O87" s="20"/>
      <c r="P87" s="20"/>
      <c r="Q87" s="20"/>
      <c r="R87" s="21"/>
      <c r="S87" s="20"/>
      <c r="T87" s="52" t="s">
        <v>261</v>
      </c>
      <c r="U87" s="20"/>
      <c r="V87" s="20"/>
      <c r="W87" s="20"/>
      <c r="X87" s="26">
        <f>X86^4/(Y85)</f>
        <v>50.015972770784131</v>
      </c>
      <c r="Y87" s="22"/>
    </row>
    <row r="88" spans="1:25" ht="15.5" x14ac:dyDescent="0.35">
      <c r="A88" s="37" t="s">
        <v>263</v>
      </c>
      <c r="B88" s="16"/>
      <c r="C88" s="16"/>
      <c r="D88" s="16"/>
      <c r="E88" s="17"/>
      <c r="F88" s="16"/>
      <c r="G88" s="54" t="s">
        <v>264</v>
      </c>
      <c r="H88" s="16"/>
      <c r="I88" s="16"/>
      <c r="J88" s="16"/>
      <c r="K88" s="55">
        <f>1.95996+(2.37356/K87)+(2.818745/K87^2)+(2.546662/K87^3)+(1.761829/K87^4)+(0.245458/K87^5)+(1.000764/K87^6)</f>
        <v>2.0085243012566099</v>
      </c>
      <c r="N88" s="37" t="s">
        <v>263</v>
      </c>
      <c r="O88" s="16"/>
      <c r="P88" s="16"/>
      <c r="Q88" s="16"/>
      <c r="R88" s="17"/>
      <c r="S88" s="16"/>
      <c r="T88" s="54" t="s">
        <v>264</v>
      </c>
      <c r="U88" s="16"/>
      <c r="V88" s="16"/>
      <c r="W88" s="16"/>
      <c r="X88" s="55">
        <f>1.95996+(2.37356/X87)+(2.818745/X87^2)+(2.546662/X87^3)+(1.761829/X87^4)+(0.245458/X87^5)+(1.000764/X87^6)</f>
        <v>2.0085634540496478</v>
      </c>
    </row>
    <row r="89" spans="1:25" ht="14" x14ac:dyDescent="0.3">
      <c r="A89" s="38" t="s">
        <v>265</v>
      </c>
      <c r="B89" s="23"/>
      <c r="C89" s="23"/>
      <c r="D89" s="23"/>
      <c r="E89" s="24"/>
      <c r="F89" s="23"/>
      <c r="G89" s="56" t="s">
        <v>266</v>
      </c>
      <c r="H89" s="23"/>
      <c r="I89" s="23"/>
      <c r="J89" s="23"/>
      <c r="K89" s="43">
        <f>K86*K88</f>
        <v>0.50859861715076482</v>
      </c>
      <c r="L89" s="25" t="str">
        <f>B77</f>
        <v>µv</v>
      </c>
      <c r="N89" s="38" t="s">
        <v>265</v>
      </c>
      <c r="O89" s="23"/>
      <c r="P89" s="23"/>
      <c r="Q89" s="23"/>
      <c r="R89" s="24"/>
      <c r="S89" s="23"/>
      <c r="T89" s="56" t="s">
        <v>266</v>
      </c>
      <c r="U89" s="23"/>
      <c r="V89" s="23"/>
      <c r="W89" s="23"/>
      <c r="X89" s="43">
        <f>X86*X88</f>
        <v>1.0315801357531895</v>
      </c>
      <c r="Y89" s="25" t="str">
        <f>O77</f>
        <v>µv</v>
      </c>
    </row>
    <row r="90" spans="1:25" ht="14" x14ac:dyDescent="0.3">
      <c r="A90" s="38" t="s">
        <v>265</v>
      </c>
      <c r="B90" s="23"/>
      <c r="C90" s="23"/>
      <c r="D90" s="23"/>
      <c r="E90" s="24"/>
      <c r="F90" s="23"/>
      <c r="G90" s="56" t="s">
        <v>266</v>
      </c>
      <c r="H90" s="23"/>
      <c r="I90" s="23"/>
      <c r="J90" s="23"/>
      <c r="K90" s="43">
        <f>K87*K89</f>
        <v>25.458081469011479</v>
      </c>
      <c r="L90" s="256">
        <f>(ABS(K90)/G77)*100</f>
        <v>50.916162938022957</v>
      </c>
      <c r="M90" s="429">
        <f>C77</f>
        <v>0.01</v>
      </c>
      <c r="N90" s="38" t="s">
        <v>265</v>
      </c>
      <c r="O90" s="23"/>
      <c r="P90" s="23"/>
      <c r="Q90" s="23"/>
      <c r="R90" s="24"/>
      <c r="S90" s="23"/>
      <c r="T90" s="56" t="s">
        <v>266</v>
      </c>
      <c r="U90" s="23"/>
      <c r="V90" s="23"/>
      <c r="W90" s="25">
        <f>P77</f>
        <v>0.01</v>
      </c>
      <c r="X90" s="43">
        <f>X87*X89</f>
        <v>51.595483980713325</v>
      </c>
      <c r="Y90" s="256">
        <f>(ABS(X90)/T77)*100</f>
        <v>51.595483980713333</v>
      </c>
    </row>
    <row r="91" spans="1:25" ht="13.5" thickBot="1" x14ac:dyDescent="0.35">
      <c r="K91" s="276">
        <f>K89/G77*100</f>
        <v>1.0171972343015296</v>
      </c>
      <c r="L91" s="41" t="s">
        <v>267</v>
      </c>
      <c r="X91" s="276">
        <f>X89/T77*100</f>
        <v>1.0315801357531895</v>
      </c>
      <c r="Y91" s="41" t="s">
        <v>267</v>
      </c>
    </row>
    <row r="92" spans="1:25" ht="14" x14ac:dyDescent="0.3">
      <c r="A92" s="302">
        <f>ID!$D$51</f>
        <v>10</v>
      </c>
      <c r="B92" s="306" t="s">
        <v>144</v>
      </c>
      <c r="C92" s="306">
        <f>ID!$G$7</f>
        <v>0.01</v>
      </c>
      <c r="D92" s="73"/>
      <c r="E92" s="125" t="s">
        <v>177</v>
      </c>
      <c r="F92" s="308"/>
      <c r="G92" s="309">
        <v>10</v>
      </c>
      <c r="H92" s="73"/>
      <c r="I92" s="310"/>
      <c r="J92" s="310"/>
      <c r="K92" s="73"/>
      <c r="L92" s="311"/>
      <c r="M92" s="73"/>
      <c r="N92" s="312">
        <f>ID!$D$52</f>
        <v>30</v>
      </c>
      <c r="O92" s="306" t="s">
        <v>144</v>
      </c>
      <c r="P92" s="306">
        <f>ID!$G$7</f>
        <v>0.01</v>
      </c>
      <c r="Q92" s="73"/>
      <c r="R92" s="125" t="s">
        <v>177</v>
      </c>
      <c r="S92" s="308"/>
      <c r="T92" s="309">
        <v>30</v>
      </c>
      <c r="U92" s="73"/>
      <c r="V92" s="310"/>
      <c r="W92" s="310"/>
      <c r="X92" s="73"/>
      <c r="Y92" s="311"/>
    </row>
    <row r="93" spans="1:25" ht="14" x14ac:dyDescent="0.3">
      <c r="A93" s="48" t="s">
        <v>227</v>
      </c>
      <c r="B93" s="181" t="s">
        <v>228</v>
      </c>
      <c r="C93" s="181" t="s">
        <v>229</v>
      </c>
      <c r="D93" s="181" t="s">
        <v>230</v>
      </c>
      <c r="E93" s="49" t="s">
        <v>231</v>
      </c>
      <c r="F93" s="181" t="s">
        <v>232</v>
      </c>
      <c r="G93" s="182" t="s">
        <v>233</v>
      </c>
      <c r="H93" s="181" t="s">
        <v>234</v>
      </c>
      <c r="I93" s="181"/>
      <c r="J93" s="182" t="s">
        <v>235</v>
      </c>
      <c r="K93" s="181" t="s">
        <v>236</v>
      </c>
      <c r="L93" s="183" t="s">
        <v>237</v>
      </c>
      <c r="N93" s="48" t="s">
        <v>227</v>
      </c>
      <c r="O93" s="181" t="s">
        <v>228</v>
      </c>
      <c r="P93" s="181" t="s">
        <v>229</v>
      </c>
      <c r="Q93" s="181" t="s">
        <v>230</v>
      </c>
      <c r="R93" s="49" t="s">
        <v>231</v>
      </c>
      <c r="S93" s="181" t="s">
        <v>232</v>
      </c>
      <c r="T93" s="182" t="s">
        <v>233</v>
      </c>
      <c r="U93" s="181" t="s">
        <v>234</v>
      </c>
      <c r="V93" s="181"/>
      <c r="W93" s="182" t="s">
        <v>235</v>
      </c>
      <c r="X93" s="181" t="s">
        <v>236</v>
      </c>
      <c r="Y93" s="183" t="s">
        <v>237</v>
      </c>
    </row>
    <row r="94" spans="1:25" ht="13" x14ac:dyDescent="0.3">
      <c r="A94" s="33" t="s">
        <v>241</v>
      </c>
      <c r="B94" s="7" t="str">
        <f>B92</f>
        <v>µv</v>
      </c>
      <c r="C94" s="7" t="s">
        <v>242</v>
      </c>
      <c r="D94" s="11">
        <f>ID!O63</f>
        <v>0</v>
      </c>
      <c r="E94" s="11">
        <f>SQRT(6)</f>
        <v>2.4494897427831779</v>
      </c>
      <c r="F94" s="7">
        <v>4</v>
      </c>
      <c r="G94" s="12">
        <f t="shared" ref="G94:G99" si="48">D94/E94</f>
        <v>0</v>
      </c>
      <c r="H94" s="11">
        <f>H79</f>
        <v>1</v>
      </c>
      <c r="I94" s="7" t="str">
        <f>'UB Hz'!$B$6</f>
        <v>Hz</v>
      </c>
      <c r="J94" s="12">
        <f t="shared" ref="J94:J99" si="49">G94*H94</f>
        <v>0</v>
      </c>
      <c r="K94" s="8">
        <f t="shared" ref="K94:K99" si="50">J94^2</f>
        <v>0</v>
      </c>
      <c r="L94" s="8">
        <f t="shared" ref="L94:L99" si="51">J94^4/F94</f>
        <v>0</v>
      </c>
      <c r="N94" s="33" t="s">
        <v>241</v>
      </c>
      <c r="O94" s="7" t="str">
        <f>O92</f>
        <v>µv</v>
      </c>
      <c r="P94" s="7" t="s">
        <v>242</v>
      </c>
      <c r="Q94" s="11">
        <f>ID!O64</f>
        <v>0</v>
      </c>
      <c r="R94" s="11">
        <f>SQRT(6)</f>
        <v>2.4494897427831779</v>
      </c>
      <c r="S94" s="7">
        <v>4</v>
      </c>
      <c r="T94" s="12">
        <f t="shared" ref="T94:T99" si="52">Q94/R94</f>
        <v>0</v>
      </c>
      <c r="U94" s="11">
        <f>U79</f>
        <v>1</v>
      </c>
      <c r="V94" s="7" t="str">
        <f>'UB Hz'!$B$6</f>
        <v>Hz</v>
      </c>
      <c r="W94" s="12">
        <f t="shared" ref="W94:W99" si="53">T94*U94</f>
        <v>0</v>
      </c>
      <c r="X94" s="8">
        <f t="shared" ref="X94:X99" si="54">W94^2</f>
        <v>0</v>
      </c>
      <c r="Y94" s="8">
        <f t="shared" ref="Y94:Y99" si="55">W94^4/S94</f>
        <v>0</v>
      </c>
    </row>
    <row r="95" spans="1:25" ht="13" x14ac:dyDescent="0.3">
      <c r="A95" s="33" t="s">
        <v>246</v>
      </c>
      <c r="B95" s="7" t="str">
        <f>B92</f>
        <v>µv</v>
      </c>
      <c r="C95" s="7" t="s">
        <v>247</v>
      </c>
      <c r="D95" s="7">
        <f>C92</f>
        <v>0.01</v>
      </c>
      <c r="E95" s="11">
        <f>SQRT(3)</f>
        <v>1.7320508075688772</v>
      </c>
      <c r="F95" s="160">
        <v>50</v>
      </c>
      <c r="G95" s="12">
        <f t="shared" si="48"/>
        <v>5.773502691896258E-3</v>
      </c>
      <c r="H95" s="11">
        <f>H80</f>
        <v>1</v>
      </c>
      <c r="I95" s="7" t="str">
        <f>'UB Hz'!$B$6</f>
        <v>Hz</v>
      </c>
      <c r="J95" s="12">
        <f t="shared" si="49"/>
        <v>5.773502691896258E-3</v>
      </c>
      <c r="K95" s="8">
        <f t="shared" si="50"/>
        <v>3.3333333333333335E-5</v>
      </c>
      <c r="L95" s="8">
        <f t="shared" si="51"/>
        <v>2.2222222222222225E-11</v>
      </c>
      <c r="N95" s="33" t="s">
        <v>246</v>
      </c>
      <c r="O95" s="7" t="str">
        <f>O92</f>
        <v>µv</v>
      </c>
      <c r="P95" s="7" t="s">
        <v>247</v>
      </c>
      <c r="Q95" s="7">
        <f>P92</f>
        <v>0.01</v>
      </c>
      <c r="R95" s="11">
        <f>SQRT(3)</f>
        <v>1.7320508075688772</v>
      </c>
      <c r="S95" s="160">
        <v>50</v>
      </c>
      <c r="T95" s="12">
        <f t="shared" si="52"/>
        <v>5.773502691896258E-3</v>
      </c>
      <c r="U95" s="11">
        <f>U80</f>
        <v>1</v>
      </c>
      <c r="V95" s="7" t="str">
        <f>'UB Hz'!$B$6</f>
        <v>Hz</v>
      </c>
      <c r="W95" s="12">
        <f t="shared" si="53"/>
        <v>5.773502691896258E-3</v>
      </c>
      <c r="X95" s="8">
        <f t="shared" si="54"/>
        <v>3.3333333333333335E-5</v>
      </c>
      <c r="Y95" s="8">
        <f t="shared" si="55"/>
        <v>2.2222222222222225E-11</v>
      </c>
    </row>
    <row r="96" spans="1:25" ht="13" x14ac:dyDescent="0.3">
      <c r="A96" s="236" t="s">
        <v>253</v>
      </c>
      <c r="B96" s="237" t="str">
        <f>'UB Hz'!$B$6</f>
        <v>Hz</v>
      </c>
      <c r="C96" s="237" t="s">
        <v>247</v>
      </c>
      <c r="D96" s="238">
        <v>0</v>
      </c>
      <c r="E96" s="238">
        <f>SQRT(3)</f>
        <v>1.7320508075688772</v>
      </c>
      <c r="F96" s="239">
        <v>50</v>
      </c>
      <c r="G96" s="240">
        <f t="shared" si="48"/>
        <v>0</v>
      </c>
      <c r="H96" s="238">
        <v>1</v>
      </c>
      <c r="I96" s="237" t="str">
        <f>'UB Hz'!$B$6</f>
        <v>Hz</v>
      </c>
      <c r="J96" s="240">
        <f t="shared" si="49"/>
        <v>0</v>
      </c>
      <c r="K96" s="241">
        <f t="shared" si="50"/>
        <v>0</v>
      </c>
      <c r="L96" s="241">
        <f t="shared" si="51"/>
        <v>0</v>
      </c>
      <c r="N96" s="236" t="s">
        <v>253</v>
      </c>
      <c r="O96" s="237" t="str">
        <f>'UB Hz'!$B$6</f>
        <v>Hz</v>
      </c>
      <c r="P96" s="237" t="s">
        <v>247</v>
      </c>
      <c r="Q96" s="238">
        <v>0</v>
      </c>
      <c r="R96" s="238">
        <f>SQRT(3)</f>
        <v>1.7320508075688772</v>
      </c>
      <c r="S96" s="239">
        <v>50</v>
      </c>
      <c r="T96" s="240">
        <f t="shared" si="52"/>
        <v>0</v>
      </c>
      <c r="U96" s="238">
        <v>1</v>
      </c>
      <c r="V96" s="237" t="str">
        <f>'UB Hz'!$B$6</f>
        <v>Hz</v>
      </c>
      <c r="W96" s="240">
        <f t="shared" si="53"/>
        <v>0</v>
      </c>
      <c r="X96" s="241">
        <f t="shared" si="54"/>
        <v>0</v>
      </c>
      <c r="Y96" s="241">
        <f t="shared" si="55"/>
        <v>0</v>
      </c>
    </row>
    <row r="97" spans="1:25" ht="13" x14ac:dyDescent="0.3">
      <c r="A97" s="249" t="s">
        <v>254</v>
      </c>
      <c r="B97" s="237" t="str">
        <f>'UB Hz'!$B$6</f>
        <v>Hz</v>
      </c>
      <c r="C97" s="237" t="s">
        <v>242</v>
      </c>
      <c r="D97" s="250">
        <v>0</v>
      </c>
      <c r="E97" s="238">
        <v>2</v>
      </c>
      <c r="F97" s="239">
        <v>50</v>
      </c>
      <c r="G97" s="240">
        <f t="shared" si="48"/>
        <v>0</v>
      </c>
      <c r="H97" s="238">
        <v>1</v>
      </c>
      <c r="I97" s="237" t="str">
        <f>'UB Hz'!$B$6</f>
        <v>Hz</v>
      </c>
      <c r="J97" s="240">
        <f t="shared" si="49"/>
        <v>0</v>
      </c>
      <c r="K97" s="241">
        <f t="shared" si="50"/>
        <v>0</v>
      </c>
      <c r="L97" s="241">
        <f t="shared" si="51"/>
        <v>0</v>
      </c>
      <c r="N97" s="249" t="s">
        <v>254</v>
      </c>
      <c r="O97" s="237" t="str">
        <f>'UB Hz'!$B$6</f>
        <v>Hz</v>
      </c>
      <c r="P97" s="237" t="s">
        <v>242</v>
      </c>
      <c r="Q97" s="250">
        <v>0</v>
      </c>
      <c r="R97" s="238">
        <v>2</v>
      </c>
      <c r="S97" s="239">
        <v>50</v>
      </c>
      <c r="T97" s="240">
        <f t="shared" si="52"/>
        <v>0</v>
      </c>
      <c r="U97" s="238">
        <v>1</v>
      </c>
      <c r="V97" s="237" t="str">
        <f>'UB Hz'!$B$6</f>
        <v>Hz</v>
      </c>
      <c r="W97" s="240">
        <f t="shared" si="53"/>
        <v>0</v>
      </c>
      <c r="X97" s="241">
        <f t="shared" si="54"/>
        <v>0</v>
      </c>
      <c r="Y97" s="241">
        <f t="shared" si="55"/>
        <v>0</v>
      </c>
    </row>
    <row r="98" spans="1:25" ht="13" x14ac:dyDescent="0.3">
      <c r="A98" s="33" t="s">
        <v>255</v>
      </c>
      <c r="B98" s="7" t="str">
        <f>B92</f>
        <v>µv</v>
      </c>
      <c r="C98" s="7" t="s">
        <v>247</v>
      </c>
      <c r="D98" s="298">
        <f>'DB EEG'!C208</f>
        <v>5.0500000000000002E-4</v>
      </c>
      <c r="E98" s="11">
        <f>SQRT(3)</f>
        <v>1.7320508075688772</v>
      </c>
      <c r="F98" s="160">
        <v>50</v>
      </c>
      <c r="G98" s="12">
        <f t="shared" si="48"/>
        <v>2.9156188594076104E-4</v>
      </c>
      <c r="H98" s="11">
        <v>1</v>
      </c>
      <c r="I98" s="7" t="str">
        <f>'UB Hz'!$B$6</f>
        <v>Hz</v>
      </c>
      <c r="J98" s="12">
        <f t="shared" si="49"/>
        <v>2.9156188594076104E-4</v>
      </c>
      <c r="K98" s="8">
        <f t="shared" si="50"/>
        <v>8.5008333333333358E-8</v>
      </c>
      <c r="L98" s="8">
        <f t="shared" si="51"/>
        <v>1.4452833472222231E-16</v>
      </c>
      <c r="N98" s="33" t="s">
        <v>255</v>
      </c>
      <c r="O98" s="7" t="str">
        <f>O92</f>
        <v>µv</v>
      </c>
      <c r="P98" s="7" t="s">
        <v>247</v>
      </c>
      <c r="Q98" s="298">
        <f>'DB EEG'!C209</f>
        <v>1.5449999999999999E-3</v>
      </c>
      <c r="R98" s="11">
        <f>SQRT(3)</f>
        <v>1.7320508075688772</v>
      </c>
      <c r="S98" s="160">
        <v>50</v>
      </c>
      <c r="T98" s="12">
        <f t="shared" si="52"/>
        <v>8.9200616589797178E-4</v>
      </c>
      <c r="U98" s="11">
        <v>1</v>
      </c>
      <c r="V98" s="7" t="str">
        <f>'UB Hz'!$B$6</f>
        <v>Hz</v>
      </c>
      <c r="W98" s="12">
        <f t="shared" si="53"/>
        <v>8.9200616589797178E-4</v>
      </c>
      <c r="X98" s="8">
        <f t="shared" si="54"/>
        <v>7.956749999999999E-7</v>
      </c>
      <c r="Y98" s="8">
        <f t="shared" si="55"/>
        <v>1.2661974112499997E-14</v>
      </c>
    </row>
    <row r="99" spans="1:25" ht="13" x14ac:dyDescent="0.3">
      <c r="A99" s="35" t="s">
        <v>256</v>
      </c>
      <c r="B99" s="7" t="str">
        <f>B92</f>
        <v>µv</v>
      </c>
      <c r="C99" s="7" t="s">
        <v>242</v>
      </c>
      <c r="D99" s="299">
        <f>'DB EEG'!D208</f>
        <v>0.10099999999999996</v>
      </c>
      <c r="E99" s="11">
        <v>2</v>
      </c>
      <c r="F99" s="160">
        <v>50</v>
      </c>
      <c r="G99" s="12">
        <f t="shared" si="48"/>
        <v>5.0499999999999982E-2</v>
      </c>
      <c r="H99" s="11">
        <v>1</v>
      </c>
      <c r="I99" s="7" t="str">
        <f>'UB Hz'!$B$6</f>
        <v>Hz</v>
      </c>
      <c r="J99" s="12">
        <f t="shared" si="49"/>
        <v>5.0499999999999982E-2</v>
      </c>
      <c r="K99" s="8">
        <f t="shared" si="50"/>
        <v>2.5502499999999983E-3</v>
      </c>
      <c r="L99" s="8">
        <f t="shared" si="51"/>
        <v>1.3007550124999984E-7</v>
      </c>
      <c r="N99" s="35" t="s">
        <v>256</v>
      </c>
      <c r="O99" s="7" t="str">
        <f>O92</f>
        <v>µv</v>
      </c>
      <c r="P99" s="7" t="s">
        <v>242</v>
      </c>
      <c r="Q99" s="299">
        <f>'DB EEG'!D209</f>
        <v>0.30899999999999994</v>
      </c>
      <c r="R99" s="11">
        <v>2</v>
      </c>
      <c r="S99" s="160">
        <v>50</v>
      </c>
      <c r="T99" s="12">
        <f t="shared" si="52"/>
        <v>0.15449999999999997</v>
      </c>
      <c r="U99" s="11">
        <v>1</v>
      </c>
      <c r="V99" s="7" t="str">
        <f>'UB Hz'!$B$6</f>
        <v>Hz</v>
      </c>
      <c r="W99" s="12">
        <f t="shared" si="53"/>
        <v>0.15449999999999997</v>
      </c>
      <c r="X99" s="8">
        <f t="shared" si="54"/>
        <v>2.3870249999999992E-2</v>
      </c>
      <c r="Y99" s="8">
        <f t="shared" si="55"/>
        <v>1.1395776701249993E-5</v>
      </c>
    </row>
    <row r="100" spans="1:25" ht="14" x14ac:dyDescent="0.3">
      <c r="A100" s="36" t="s">
        <v>257</v>
      </c>
      <c r="B100" s="13"/>
      <c r="C100" s="13"/>
      <c r="D100" s="13"/>
      <c r="E100" s="14"/>
      <c r="F100" s="13"/>
      <c r="G100" s="13"/>
      <c r="H100" s="13"/>
      <c r="I100" s="13"/>
      <c r="J100" s="13"/>
      <c r="K100" s="50">
        <f>SUM(K94:K99)</f>
        <v>2.5836683416666649E-3</v>
      </c>
      <c r="L100" s="4">
        <f>SUM(L94:L99)</f>
        <v>1.300977236167504E-7</v>
      </c>
      <c r="N100" s="36" t="s">
        <v>257</v>
      </c>
      <c r="O100" s="13"/>
      <c r="P100" s="13"/>
      <c r="Q100" s="13"/>
      <c r="R100" s="14"/>
      <c r="S100" s="13"/>
      <c r="T100" s="13"/>
      <c r="U100" s="13"/>
      <c r="V100" s="13"/>
      <c r="W100" s="13"/>
      <c r="X100" s="50">
        <f>SUM(X94:X99)</f>
        <v>2.3904379008333327E-2</v>
      </c>
      <c r="Y100" s="4">
        <f>SUM(Y94:Y99)</f>
        <v>1.1395798936134189E-5</v>
      </c>
    </row>
    <row r="101" spans="1:25" ht="17" x14ac:dyDescent="0.45">
      <c r="A101" s="37" t="s">
        <v>258</v>
      </c>
      <c r="B101" s="16"/>
      <c r="C101" s="16"/>
      <c r="D101" s="16"/>
      <c r="E101" s="17"/>
      <c r="F101" s="16"/>
      <c r="G101" s="51" t="s">
        <v>259</v>
      </c>
      <c r="H101" s="16"/>
      <c r="I101" s="16"/>
      <c r="J101" s="16"/>
      <c r="K101" s="18">
        <f>SQRT(K100)</f>
        <v>5.0829797773222204E-2</v>
      </c>
      <c r="L101" s="19"/>
      <c r="N101" s="37" t="s">
        <v>258</v>
      </c>
      <c r="O101" s="16"/>
      <c r="P101" s="16"/>
      <c r="Q101" s="16"/>
      <c r="R101" s="17"/>
      <c r="S101" s="16"/>
      <c r="T101" s="51" t="s">
        <v>259</v>
      </c>
      <c r="U101" s="16"/>
      <c r="V101" s="16"/>
      <c r="W101" s="16"/>
      <c r="X101" s="18">
        <f>SQRT(X100)</f>
        <v>0.15461041041383122</v>
      </c>
      <c r="Y101" s="19"/>
    </row>
    <row r="102" spans="1:25" ht="17.5" x14ac:dyDescent="0.45">
      <c r="A102" s="36" t="s">
        <v>260</v>
      </c>
      <c r="B102" s="20"/>
      <c r="C102" s="20"/>
      <c r="D102" s="20"/>
      <c r="E102" s="21"/>
      <c r="F102" s="20"/>
      <c r="G102" s="52" t="s">
        <v>261</v>
      </c>
      <c r="H102" s="20"/>
      <c r="I102" s="20"/>
      <c r="J102" s="20"/>
      <c r="K102" s="26">
        <f>K101^4/(L100)</f>
        <v>51.310214461516587</v>
      </c>
      <c r="L102" s="22"/>
      <c r="N102" s="36" t="s">
        <v>260</v>
      </c>
      <c r="O102" s="20"/>
      <c r="P102" s="20"/>
      <c r="Q102" s="20"/>
      <c r="R102" s="21"/>
      <c r="S102" s="20"/>
      <c r="T102" s="52" t="s">
        <v>261</v>
      </c>
      <c r="U102" s="20"/>
      <c r="V102" s="20"/>
      <c r="W102" s="20"/>
      <c r="X102" s="26">
        <f>X101^4/(Y100)</f>
        <v>50.142981547539527</v>
      </c>
      <c r="Y102" s="22"/>
    </row>
    <row r="103" spans="1:25" ht="15.5" x14ac:dyDescent="0.35">
      <c r="A103" s="37" t="s">
        <v>263</v>
      </c>
      <c r="B103" s="16"/>
      <c r="C103" s="16"/>
      <c r="D103" s="16"/>
      <c r="E103" s="17"/>
      <c r="F103" s="16"/>
      <c r="G103" s="54" t="s">
        <v>264</v>
      </c>
      <c r="H103" s="16"/>
      <c r="I103" s="16"/>
      <c r="J103" s="16"/>
      <c r="K103" s="55">
        <f>1.95996+(2.37356/K102)+(2.818745/K102^2)+(2.546662/K102^3)+(1.761829/K102^4)+(0.245458/K102^5)+(1.000764/K102^6)</f>
        <v>2.0073087739124889</v>
      </c>
      <c r="L103" s="19"/>
      <c r="N103" s="37" t="s">
        <v>263</v>
      </c>
      <c r="O103" s="16"/>
      <c r="P103" s="16"/>
      <c r="Q103" s="16"/>
      <c r="R103" s="17"/>
      <c r="S103" s="16"/>
      <c r="T103" s="54" t="s">
        <v>264</v>
      </c>
      <c r="U103" s="16"/>
      <c r="V103" s="16"/>
      <c r="W103" s="16"/>
      <c r="X103" s="55">
        <f>1.95996+(2.37356/X102)+(2.818745/X102^2)+(2.546662/X102^3)+(1.761829/X102^4)+(0.245458/X102^5)+(1.000764/X102^6)</f>
        <v>2.0084373931133306</v>
      </c>
      <c r="Y103" s="19"/>
    </row>
    <row r="104" spans="1:25" ht="14" x14ac:dyDescent="0.3">
      <c r="A104" s="38" t="s">
        <v>265</v>
      </c>
      <c r="B104" s="23"/>
      <c r="C104" s="23"/>
      <c r="D104" s="23"/>
      <c r="E104" s="24"/>
      <c r="F104" s="23"/>
      <c r="G104" s="56" t="s">
        <v>266</v>
      </c>
      <c r="H104" s="23"/>
      <c r="I104" s="23"/>
      <c r="J104" s="23"/>
      <c r="K104" s="43">
        <f>K101*K103</f>
        <v>0.10203109904638642</v>
      </c>
      <c r="L104" s="25" t="str">
        <f>B92</f>
        <v>µv</v>
      </c>
      <c r="N104" s="38" t="s">
        <v>265</v>
      </c>
      <c r="O104" s="23"/>
      <c r="P104" s="23"/>
      <c r="Q104" s="23"/>
      <c r="R104" s="24"/>
      <c r="S104" s="23"/>
      <c r="T104" s="56" t="s">
        <v>266</v>
      </c>
      <c r="U104" s="23"/>
      <c r="V104" s="23"/>
      <c r="W104" s="23"/>
      <c r="X104" s="43">
        <f>X101*X103</f>
        <v>0.31052532963973734</v>
      </c>
      <c r="Y104" s="25" t="str">
        <f>O92</f>
        <v>µv</v>
      </c>
    </row>
    <row r="105" spans="1:25" ht="14" x14ac:dyDescent="0.3">
      <c r="A105" s="38" t="s">
        <v>265</v>
      </c>
      <c r="B105" s="23"/>
      <c r="C105" s="23"/>
      <c r="D105" s="23"/>
      <c r="E105" s="24"/>
      <c r="F105" s="23"/>
      <c r="G105" s="56" t="s">
        <v>266</v>
      </c>
      <c r="H105" s="23"/>
      <c r="I105" s="23"/>
      <c r="J105" s="23"/>
      <c r="K105" s="43">
        <f>K102*K104</f>
        <v>5.2352375738143282</v>
      </c>
      <c r="L105" s="256">
        <f>(ABS(K105)/G92)*100</f>
        <v>52.352375738143287</v>
      </c>
      <c r="M105" s="429">
        <f>C92</f>
        <v>0.01</v>
      </c>
      <c r="N105" s="38" t="s">
        <v>265</v>
      </c>
      <c r="O105" s="23"/>
      <c r="P105" s="23"/>
      <c r="Q105" s="23"/>
      <c r="R105" s="24"/>
      <c r="S105" s="23"/>
      <c r="T105" s="56" t="s">
        <v>266</v>
      </c>
      <c r="U105" s="23"/>
      <c r="V105" s="23"/>
      <c r="W105" s="25">
        <f>P92</f>
        <v>0.01</v>
      </c>
      <c r="X105" s="43">
        <f>X102*X104</f>
        <v>15.570665874168979</v>
      </c>
      <c r="Y105" s="256">
        <f>(ABS(X105)/T92)*100</f>
        <v>51.902219580563255</v>
      </c>
    </row>
    <row r="106" spans="1:25" ht="13" x14ac:dyDescent="0.3">
      <c r="K106" s="276">
        <f>K104/G92*100</f>
        <v>1.0203109904638641</v>
      </c>
      <c r="L106" s="41" t="s">
        <v>267</v>
      </c>
      <c r="X106" s="428">
        <f>X104/T92*100</f>
        <v>1.0350844321324577</v>
      </c>
      <c r="Y106" s="41" t="s">
        <v>267</v>
      </c>
    </row>
    <row r="107" spans="1:25" ht="14" x14ac:dyDescent="0.3">
      <c r="A107" s="300">
        <f>ID!$D$53</f>
        <v>50</v>
      </c>
      <c r="B107" s="65" t="s">
        <v>144</v>
      </c>
      <c r="C107" s="65">
        <f>ID!$G$7</f>
        <v>0.01</v>
      </c>
      <c r="E107" s="125" t="s">
        <v>177</v>
      </c>
      <c r="F107" s="74"/>
      <c r="G107" s="77">
        <v>50</v>
      </c>
      <c r="I107" s="101"/>
      <c r="J107" s="101"/>
      <c r="L107" s="100"/>
      <c r="N107" s="300">
        <f>ID!$D$54</f>
        <v>100</v>
      </c>
      <c r="O107" s="65" t="s">
        <v>144</v>
      </c>
      <c r="P107" s="65">
        <f>ID!$G$7</f>
        <v>0.01</v>
      </c>
      <c r="R107" s="125" t="s">
        <v>177</v>
      </c>
      <c r="S107" s="74"/>
      <c r="T107" s="77">
        <v>100</v>
      </c>
      <c r="V107" s="101"/>
      <c r="W107" s="101"/>
      <c r="Y107" s="100"/>
    </row>
    <row r="108" spans="1:25" ht="14" x14ac:dyDescent="0.3">
      <c r="A108" s="48" t="s">
        <v>227</v>
      </c>
      <c r="B108" s="181" t="s">
        <v>228</v>
      </c>
      <c r="C108" s="181" t="s">
        <v>229</v>
      </c>
      <c r="D108" s="181" t="s">
        <v>230</v>
      </c>
      <c r="E108" s="49" t="s">
        <v>231</v>
      </c>
      <c r="F108" s="181" t="s">
        <v>232</v>
      </c>
      <c r="G108" s="182" t="s">
        <v>233</v>
      </c>
      <c r="H108" s="181" t="s">
        <v>234</v>
      </c>
      <c r="I108" s="181"/>
      <c r="J108" s="182" t="s">
        <v>235</v>
      </c>
      <c r="K108" s="181" t="s">
        <v>236</v>
      </c>
      <c r="L108" s="183" t="s">
        <v>237</v>
      </c>
      <c r="N108" s="48" t="s">
        <v>227</v>
      </c>
      <c r="O108" s="181" t="s">
        <v>228</v>
      </c>
      <c r="P108" s="181" t="s">
        <v>229</v>
      </c>
      <c r="Q108" s="181" t="s">
        <v>230</v>
      </c>
      <c r="R108" s="49" t="s">
        <v>231</v>
      </c>
      <c r="S108" s="181" t="s">
        <v>232</v>
      </c>
      <c r="T108" s="182" t="s">
        <v>233</v>
      </c>
      <c r="U108" s="181" t="s">
        <v>234</v>
      </c>
      <c r="V108" s="181"/>
      <c r="W108" s="182" t="s">
        <v>235</v>
      </c>
      <c r="X108" s="181" t="s">
        <v>236</v>
      </c>
      <c r="Y108" s="183" t="s">
        <v>237</v>
      </c>
    </row>
    <row r="109" spans="1:25" ht="13" x14ac:dyDescent="0.3">
      <c r="A109" s="33" t="s">
        <v>241</v>
      </c>
      <c r="B109" s="7" t="str">
        <f>B107</f>
        <v>µv</v>
      </c>
      <c r="C109" s="7" t="s">
        <v>242</v>
      </c>
      <c r="D109" s="11">
        <f>ID!O65</f>
        <v>0</v>
      </c>
      <c r="E109" s="11">
        <f>SQRT(6)</f>
        <v>2.4494897427831779</v>
      </c>
      <c r="F109" s="7">
        <v>4</v>
      </c>
      <c r="G109" s="12">
        <f t="shared" ref="G109:G114" si="56">D109/E109</f>
        <v>0</v>
      </c>
      <c r="H109" s="11">
        <f>H94</f>
        <v>1</v>
      </c>
      <c r="I109" s="7" t="str">
        <f>'UB Hz'!$B$6</f>
        <v>Hz</v>
      </c>
      <c r="J109" s="12">
        <f t="shared" ref="J109:J114" si="57">G109*H109</f>
        <v>0</v>
      </c>
      <c r="K109" s="8">
        <f t="shared" ref="K109:K114" si="58">J109^2</f>
        <v>0</v>
      </c>
      <c r="L109" s="8">
        <f t="shared" ref="L109:L114" si="59">J109^4/F109</f>
        <v>0</v>
      </c>
      <c r="N109" s="33" t="s">
        <v>241</v>
      </c>
      <c r="O109" s="7" t="str">
        <f>O107</f>
        <v>µv</v>
      </c>
      <c r="P109" s="7" t="s">
        <v>242</v>
      </c>
      <c r="Q109" s="11">
        <f>ID!O66</f>
        <v>0</v>
      </c>
      <c r="R109" s="11">
        <f>SQRT(6)</f>
        <v>2.4494897427831779</v>
      </c>
      <c r="S109" s="7">
        <v>4</v>
      </c>
      <c r="T109" s="12">
        <f t="shared" ref="T109:T114" si="60">Q109/R109</f>
        <v>0</v>
      </c>
      <c r="U109" s="11">
        <f>U94</f>
        <v>1</v>
      </c>
      <c r="V109" s="7" t="str">
        <f>'UB Hz'!$B$6</f>
        <v>Hz</v>
      </c>
      <c r="W109" s="12">
        <f t="shared" ref="W109:W114" si="61">T109*U109</f>
        <v>0</v>
      </c>
      <c r="X109" s="8">
        <f t="shared" ref="X109:X114" si="62">W109^2</f>
        <v>0</v>
      </c>
      <c r="Y109" s="8">
        <f t="shared" ref="Y109:Y114" si="63">W109^4/S109</f>
        <v>0</v>
      </c>
    </row>
    <row r="110" spans="1:25" ht="13" x14ac:dyDescent="0.3">
      <c r="A110" s="33" t="s">
        <v>246</v>
      </c>
      <c r="B110" s="7" t="str">
        <f>B107</f>
        <v>µv</v>
      </c>
      <c r="C110" s="7" t="s">
        <v>247</v>
      </c>
      <c r="D110" s="7">
        <f>C107</f>
        <v>0.01</v>
      </c>
      <c r="E110" s="11">
        <f>SQRT(3)</f>
        <v>1.7320508075688772</v>
      </c>
      <c r="F110" s="160">
        <v>50</v>
      </c>
      <c r="G110" s="12">
        <f t="shared" si="56"/>
        <v>5.773502691896258E-3</v>
      </c>
      <c r="H110" s="11">
        <f>H95</f>
        <v>1</v>
      </c>
      <c r="I110" s="7" t="str">
        <f>'UB Hz'!$B$6</f>
        <v>Hz</v>
      </c>
      <c r="J110" s="12">
        <f t="shared" si="57"/>
        <v>5.773502691896258E-3</v>
      </c>
      <c r="K110" s="8">
        <f t="shared" si="58"/>
        <v>3.3333333333333335E-5</v>
      </c>
      <c r="L110" s="8">
        <f t="shared" si="59"/>
        <v>2.2222222222222225E-11</v>
      </c>
      <c r="N110" s="33" t="s">
        <v>246</v>
      </c>
      <c r="O110" s="7" t="str">
        <f>O107</f>
        <v>µv</v>
      </c>
      <c r="P110" s="7" t="s">
        <v>247</v>
      </c>
      <c r="Q110" s="7">
        <f>P107</f>
        <v>0.01</v>
      </c>
      <c r="R110" s="11">
        <f>SQRT(3)</f>
        <v>1.7320508075688772</v>
      </c>
      <c r="S110" s="160">
        <v>50</v>
      </c>
      <c r="T110" s="12">
        <f t="shared" si="60"/>
        <v>5.773502691896258E-3</v>
      </c>
      <c r="U110" s="11">
        <f>U95</f>
        <v>1</v>
      </c>
      <c r="V110" s="7" t="str">
        <f>'UB Hz'!$B$6</f>
        <v>Hz</v>
      </c>
      <c r="W110" s="12">
        <f t="shared" si="61"/>
        <v>5.773502691896258E-3</v>
      </c>
      <c r="X110" s="8">
        <f t="shared" si="62"/>
        <v>3.3333333333333335E-5</v>
      </c>
      <c r="Y110" s="8">
        <f t="shared" si="63"/>
        <v>2.2222222222222225E-11</v>
      </c>
    </row>
    <row r="111" spans="1:25" ht="13" x14ac:dyDescent="0.3">
      <c r="A111" s="236" t="s">
        <v>253</v>
      </c>
      <c r="B111" s="237" t="str">
        <f>'UB Hz'!$B$6</f>
        <v>Hz</v>
      </c>
      <c r="C111" s="237" t="s">
        <v>247</v>
      </c>
      <c r="D111" s="238">
        <v>0</v>
      </c>
      <c r="E111" s="238">
        <f>SQRT(3)</f>
        <v>1.7320508075688772</v>
      </c>
      <c r="F111" s="239">
        <v>50</v>
      </c>
      <c r="G111" s="240">
        <f t="shared" si="56"/>
        <v>0</v>
      </c>
      <c r="H111" s="238">
        <v>1</v>
      </c>
      <c r="I111" s="237" t="str">
        <f>'UB Hz'!$B$6</f>
        <v>Hz</v>
      </c>
      <c r="J111" s="240">
        <f t="shared" si="57"/>
        <v>0</v>
      </c>
      <c r="K111" s="241">
        <f t="shared" si="58"/>
        <v>0</v>
      </c>
      <c r="L111" s="241">
        <f t="shared" si="59"/>
        <v>0</v>
      </c>
      <c r="N111" s="236" t="s">
        <v>253</v>
      </c>
      <c r="O111" s="237" t="str">
        <f>'UB Hz'!$B$6</f>
        <v>Hz</v>
      </c>
      <c r="P111" s="237" t="s">
        <v>247</v>
      </c>
      <c r="Q111" s="238">
        <v>0</v>
      </c>
      <c r="R111" s="238">
        <f>SQRT(3)</f>
        <v>1.7320508075688772</v>
      </c>
      <c r="S111" s="239">
        <v>50</v>
      </c>
      <c r="T111" s="240">
        <f t="shared" si="60"/>
        <v>0</v>
      </c>
      <c r="U111" s="238">
        <v>1</v>
      </c>
      <c r="V111" s="237" t="str">
        <f>'UB Hz'!$B$6</f>
        <v>Hz</v>
      </c>
      <c r="W111" s="240">
        <f t="shared" si="61"/>
        <v>0</v>
      </c>
      <c r="X111" s="241">
        <f t="shared" si="62"/>
        <v>0</v>
      </c>
      <c r="Y111" s="241">
        <f t="shared" si="63"/>
        <v>0</v>
      </c>
    </row>
    <row r="112" spans="1:25" ht="13" x14ac:dyDescent="0.3">
      <c r="A112" s="249" t="s">
        <v>254</v>
      </c>
      <c r="B112" s="237" t="str">
        <f>'UB Hz'!$B$6</f>
        <v>Hz</v>
      </c>
      <c r="C112" s="237" t="s">
        <v>242</v>
      </c>
      <c r="D112" s="250">
        <v>0</v>
      </c>
      <c r="E112" s="238">
        <v>2</v>
      </c>
      <c r="F112" s="239">
        <v>50</v>
      </c>
      <c r="G112" s="240">
        <f t="shared" si="56"/>
        <v>0</v>
      </c>
      <c r="H112" s="238">
        <v>1</v>
      </c>
      <c r="I112" s="237" t="str">
        <f>'UB Hz'!$B$6</f>
        <v>Hz</v>
      </c>
      <c r="J112" s="240">
        <f t="shared" si="57"/>
        <v>0</v>
      </c>
      <c r="K112" s="241">
        <f t="shared" si="58"/>
        <v>0</v>
      </c>
      <c r="L112" s="241">
        <f t="shared" si="59"/>
        <v>0</v>
      </c>
      <c r="N112" s="249" t="s">
        <v>254</v>
      </c>
      <c r="O112" s="237" t="str">
        <f>'UB Hz'!$B$6</f>
        <v>Hz</v>
      </c>
      <c r="P112" s="237" t="s">
        <v>242</v>
      </c>
      <c r="Q112" s="250">
        <v>0</v>
      </c>
      <c r="R112" s="238">
        <v>2</v>
      </c>
      <c r="S112" s="239">
        <v>50</v>
      </c>
      <c r="T112" s="240">
        <f t="shared" si="60"/>
        <v>0</v>
      </c>
      <c r="U112" s="238">
        <v>1</v>
      </c>
      <c r="V112" s="237" t="str">
        <f>'UB Hz'!$B$6</f>
        <v>Hz</v>
      </c>
      <c r="W112" s="240">
        <f t="shared" si="61"/>
        <v>0</v>
      </c>
      <c r="X112" s="241">
        <f t="shared" si="62"/>
        <v>0</v>
      </c>
      <c r="Y112" s="241">
        <f t="shared" si="63"/>
        <v>0</v>
      </c>
    </row>
    <row r="113" spans="1:25" ht="13" x14ac:dyDescent="0.3">
      <c r="A113" s="33" t="s">
        <v>255</v>
      </c>
      <c r="B113" s="7" t="str">
        <f>B107</f>
        <v>µv</v>
      </c>
      <c r="C113" s="7" t="s">
        <v>247</v>
      </c>
      <c r="D113" s="298">
        <f>'DB EEG'!C210</f>
        <v>2.5315000000000003E-3</v>
      </c>
      <c r="E113" s="11">
        <f>SQRT(3)</f>
        <v>1.7320508075688772</v>
      </c>
      <c r="F113" s="160">
        <v>50</v>
      </c>
      <c r="G113" s="12">
        <f t="shared" si="56"/>
        <v>1.4615622064535379E-3</v>
      </c>
      <c r="H113" s="11">
        <v>1</v>
      </c>
      <c r="I113" s="7" t="str">
        <f>'UB Hz'!$B$6</f>
        <v>Hz</v>
      </c>
      <c r="J113" s="12">
        <f t="shared" si="57"/>
        <v>1.4615622064535379E-3</v>
      </c>
      <c r="K113" s="8">
        <f t="shared" si="58"/>
        <v>2.136164083333334E-6</v>
      </c>
      <c r="L113" s="8">
        <f t="shared" si="59"/>
        <v>9.1263939818466853E-14</v>
      </c>
      <c r="N113" s="33" t="s">
        <v>255</v>
      </c>
      <c r="O113" s="7" t="str">
        <f>O107</f>
        <v>µv</v>
      </c>
      <c r="P113" s="7" t="s">
        <v>247</v>
      </c>
      <c r="Q113" s="298">
        <f>'DB EEG'!C211</f>
        <v>5.1355000000000003E-3</v>
      </c>
      <c r="R113" s="11">
        <f>SQRT(3)</f>
        <v>1.7320508075688772</v>
      </c>
      <c r="S113" s="160">
        <v>50</v>
      </c>
      <c r="T113" s="12">
        <f t="shared" si="60"/>
        <v>2.9649823074233235E-3</v>
      </c>
      <c r="U113" s="11">
        <v>1</v>
      </c>
      <c r="V113" s="7" t="str">
        <f>'UB Hz'!$B$6</f>
        <v>Hz</v>
      </c>
      <c r="W113" s="12">
        <f t="shared" si="61"/>
        <v>2.9649823074233235E-3</v>
      </c>
      <c r="X113" s="8">
        <f t="shared" si="62"/>
        <v>8.7911200833333351E-6</v>
      </c>
      <c r="Y113" s="8">
        <f t="shared" si="63"/>
        <v>1.5456758463917341E-12</v>
      </c>
    </row>
    <row r="114" spans="1:25" ht="13" x14ac:dyDescent="0.3">
      <c r="A114" s="35" t="s">
        <v>256</v>
      </c>
      <c r="B114" s="7" t="str">
        <f>B107</f>
        <v>µv</v>
      </c>
      <c r="C114" s="7" t="s">
        <v>242</v>
      </c>
      <c r="D114" s="299">
        <f>'DB EEG'!D210</f>
        <v>0.50630000000000008</v>
      </c>
      <c r="E114" s="11">
        <v>2</v>
      </c>
      <c r="F114" s="160">
        <v>50</v>
      </c>
      <c r="G114" s="12">
        <f t="shared" si="56"/>
        <v>0.25315000000000004</v>
      </c>
      <c r="H114" s="11">
        <v>1</v>
      </c>
      <c r="I114" s="7" t="str">
        <f>'UB Hz'!$B$6</f>
        <v>Hz</v>
      </c>
      <c r="J114" s="12">
        <f t="shared" si="57"/>
        <v>0.25315000000000004</v>
      </c>
      <c r="K114" s="8">
        <f t="shared" si="58"/>
        <v>6.4084922500000016E-2</v>
      </c>
      <c r="L114" s="8">
        <f t="shared" si="59"/>
        <v>8.2137545836620169E-5</v>
      </c>
      <c r="N114" s="35" t="s">
        <v>256</v>
      </c>
      <c r="O114" s="7" t="str">
        <f>O107</f>
        <v>µv</v>
      </c>
      <c r="P114" s="7" t="s">
        <v>242</v>
      </c>
      <c r="Q114" s="299">
        <f>'DB EEG'!D211</f>
        <v>1.0270999999999999</v>
      </c>
      <c r="R114" s="11">
        <v>2</v>
      </c>
      <c r="S114" s="160">
        <v>50</v>
      </c>
      <c r="T114" s="12">
        <f t="shared" si="60"/>
        <v>0.51354999999999995</v>
      </c>
      <c r="U114" s="11">
        <v>1</v>
      </c>
      <c r="V114" s="7" t="str">
        <f>'UB Hz'!$B$6</f>
        <v>Hz</v>
      </c>
      <c r="W114" s="12">
        <f t="shared" si="61"/>
        <v>0.51354999999999995</v>
      </c>
      <c r="X114" s="8">
        <f t="shared" si="62"/>
        <v>0.26373360249999994</v>
      </c>
      <c r="Y114" s="8">
        <f t="shared" si="63"/>
        <v>1.3911082617525594E-3</v>
      </c>
    </row>
    <row r="115" spans="1:25" ht="14" x14ac:dyDescent="0.3">
      <c r="A115" s="36" t="s">
        <v>257</v>
      </c>
      <c r="B115" s="13"/>
      <c r="C115" s="13"/>
      <c r="D115" s="13"/>
      <c r="E115" s="14"/>
      <c r="F115" s="13"/>
      <c r="G115" s="13"/>
      <c r="H115" s="13"/>
      <c r="I115" s="13"/>
      <c r="J115" s="13"/>
      <c r="K115" s="50">
        <f>SUM(K109:K114)</f>
        <v>6.412039199741669E-2</v>
      </c>
      <c r="L115" s="4">
        <f>SUM(L109:L114)</f>
        <v>8.2137568150106324E-5</v>
      </c>
      <c r="N115" s="36" t="s">
        <v>257</v>
      </c>
      <c r="O115" s="13"/>
      <c r="P115" s="13"/>
      <c r="Q115" s="13"/>
      <c r="R115" s="14"/>
      <c r="S115" s="13"/>
      <c r="T115" s="13"/>
      <c r="U115" s="13"/>
      <c r="V115" s="13"/>
      <c r="W115" s="13"/>
      <c r="X115" s="50">
        <f>SUM(X109:X114)</f>
        <v>0.26377572695341661</v>
      </c>
      <c r="Y115" s="4">
        <f>SUM(Y109:Y114)</f>
        <v>1.3911082855204574E-3</v>
      </c>
    </row>
    <row r="116" spans="1:25" ht="17" x14ac:dyDescent="0.45">
      <c r="A116" s="37" t="s">
        <v>258</v>
      </c>
      <c r="B116" s="16"/>
      <c r="C116" s="16"/>
      <c r="D116" s="16"/>
      <c r="E116" s="17"/>
      <c r="F116" s="16"/>
      <c r="G116" s="51" t="s">
        <v>259</v>
      </c>
      <c r="H116" s="16"/>
      <c r="I116" s="16"/>
      <c r="J116" s="16"/>
      <c r="K116" s="18">
        <f>SQRT(K115)</f>
        <v>0.25322004659468944</v>
      </c>
      <c r="L116" s="19"/>
      <c r="N116" s="37" t="s">
        <v>258</v>
      </c>
      <c r="O116" s="16"/>
      <c r="P116" s="16"/>
      <c r="Q116" s="16"/>
      <c r="R116" s="17"/>
      <c r="S116" s="16"/>
      <c r="T116" s="51" t="s">
        <v>259</v>
      </c>
      <c r="U116" s="16"/>
      <c r="V116" s="16"/>
      <c r="W116" s="16"/>
      <c r="X116" s="18">
        <f>SQRT(X115)</f>
        <v>0.51359101136353291</v>
      </c>
      <c r="Y116" s="19"/>
    </row>
    <row r="117" spans="1:25" ht="17.5" x14ac:dyDescent="0.45">
      <c r="A117" s="36" t="s">
        <v>260</v>
      </c>
      <c r="B117" s="20"/>
      <c r="C117" s="20"/>
      <c r="D117" s="20"/>
      <c r="E117" s="21"/>
      <c r="F117" s="20"/>
      <c r="G117" s="52" t="s">
        <v>261</v>
      </c>
      <c r="H117" s="20"/>
      <c r="I117" s="20"/>
      <c r="J117" s="20"/>
      <c r="K117" s="26">
        <f>K116^4/(L115)</f>
        <v>50.055349366915195</v>
      </c>
      <c r="L117" s="22"/>
      <c r="N117" s="36" t="s">
        <v>260</v>
      </c>
      <c r="O117" s="20"/>
      <c r="P117" s="20"/>
      <c r="Q117" s="20"/>
      <c r="R117" s="21"/>
      <c r="S117" s="20"/>
      <c r="T117" s="52" t="s">
        <v>261</v>
      </c>
      <c r="U117" s="20"/>
      <c r="V117" s="20"/>
      <c r="W117" s="20"/>
      <c r="X117" s="26">
        <f>X116^4/(Y115)</f>
        <v>50.015972770784131</v>
      </c>
      <c r="Y117" s="22"/>
    </row>
    <row r="118" spans="1:25" ht="15.5" x14ac:dyDescent="0.35">
      <c r="A118" s="37" t="s">
        <v>263</v>
      </c>
      <c r="B118" s="16"/>
      <c r="C118" s="16"/>
      <c r="D118" s="16"/>
      <c r="E118" s="17"/>
      <c r="F118" s="16"/>
      <c r="G118" s="54" t="s">
        <v>264</v>
      </c>
      <c r="H118" s="16"/>
      <c r="I118" s="16"/>
      <c r="J118" s="16"/>
      <c r="K118" s="55">
        <f>1.95996+(2.37356/K117)+(2.818745/K117^2)+(2.546662/K117^3)+(1.761829/K117^4)+(0.245458/K117^5)+(1.000764/K117^6)</f>
        <v>2.0085243012566099</v>
      </c>
      <c r="L118" s="19"/>
      <c r="N118" s="37" t="s">
        <v>263</v>
      </c>
      <c r="O118" s="16"/>
      <c r="P118" s="16"/>
      <c r="Q118" s="16"/>
      <c r="R118" s="17"/>
      <c r="S118" s="16"/>
      <c r="T118" s="54" t="s">
        <v>264</v>
      </c>
      <c r="U118" s="16"/>
      <c r="V118" s="16"/>
      <c r="W118" s="16"/>
      <c r="X118" s="55">
        <f>1.95996+(2.37356/X117)+(2.818745/X117^2)+(2.546662/X117^3)+(1.761829/X117^4)+(0.245458/X117^5)+(1.000764/X117^6)</f>
        <v>2.0085634540496478</v>
      </c>
      <c r="Y118" s="19"/>
    </row>
    <row r="119" spans="1:25" ht="14" x14ac:dyDescent="0.3">
      <c r="A119" s="38" t="s">
        <v>265</v>
      </c>
      <c r="B119" s="23"/>
      <c r="C119" s="23"/>
      <c r="D119" s="23"/>
      <c r="E119" s="24"/>
      <c r="F119" s="23"/>
      <c r="G119" s="56" t="s">
        <v>266</v>
      </c>
      <c r="H119" s="23"/>
      <c r="I119" s="23"/>
      <c r="J119" s="23"/>
      <c r="K119" s="43">
        <f>K116*K118</f>
        <v>0.50859861715076482</v>
      </c>
      <c r="L119" s="25" t="str">
        <f>B107</f>
        <v>µv</v>
      </c>
      <c r="N119" s="38" t="s">
        <v>265</v>
      </c>
      <c r="O119" s="23"/>
      <c r="P119" s="23"/>
      <c r="Q119" s="23"/>
      <c r="R119" s="24"/>
      <c r="S119" s="23"/>
      <c r="T119" s="56" t="s">
        <v>266</v>
      </c>
      <c r="U119" s="23"/>
      <c r="V119" s="23"/>
      <c r="W119" s="23"/>
      <c r="X119" s="43">
        <f>X116*X118</f>
        <v>1.0315801357531895</v>
      </c>
      <c r="Y119" s="25" t="str">
        <f>O107</f>
        <v>µv</v>
      </c>
    </row>
    <row r="120" spans="1:25" ht="14" x14ac:dyDescent="0.3">
      <c r="A120" s="38" t="s">
        <v>265</v>
      </c>
      <c r="B120" s="23"/>
      <c r="C120" s="23"/>
      <c r="D120" s="23"/>
      <c r="E120" s="24"/>
      <c r="F120" s="23"/>
      <c r="G120" s="56" t="s">
        <v>266</v>
      </c>
      <c r="H120" s="23"/>
      <c r="I120" s="23"/>
      <c r="J120" s="23"/>
      <c r="K120" s="43">
        <f>K117*K119</f>
        <v>25.458081469011479</v>
      </c>
      <c r="L120" s="256">
        <f>(ABS(K120)/G107)*100</f>
        <v>50.916162938022957</v>
      </c>
      <c r="M120" s="25">
        <f>C107</f>
        <v>0.01</v>
      </c>
      <c r="N120" s="38" t="s">
        <v>265</v>
      </c>
      <c r="O120" s="23"/>
      <c r="P120" s="23"/>
      <c r="Q120" s="23"/>
      <c r="R120" s="24"/>
      <c r="S120" s="23"/>
      <c r="T120" s="56" t="s">
        <v>266</v>
      </c>
      <c r="U120" s="23"/>
      <c r="V120" s="23"/>
      <c r="W120" s="25">
        <f>P107</f>
        <v>0.01</v>
      </c>
      <c r="X120" s="43">
        <f>X117*X119</f>
        <v>51.595483980713325</v>
      </c>
      <c r="Y120" s="256">
        <f>(ABS(X120)/T107)*100</f>
        <v>51.595483980713333</v>
      </c>
    </row>
    <row r="121" spans="1:25" ht="13.5" thickBot="1" x14ac:dyDescent="0.35">
      <c r="K121" s="428">
        <f>K119/G107*100</f>
        <v>1.0171972343015296</v>
      </c>
      <c r="L121" s="41" t="s">
        <v>267</v>
      </c>
      <c r="X121" s="276">
        <f>X119/T107*100</f>
        <v>1.0315801357531895</v>
      </c>
      <c r="Y121" s="41" t="s">
        <v>267</v>
      </c>
    </row>
    <row r="122" spans="1:25" ht="14" x14ac:dyDescent="0.3">
      <c r="A122" s="302">
        <f>ID!$D$51</f>
        <v>10</v>
      </c>
      <c r="B122" s="306" t="s">
        <v>144</v>
      </c>
      <c r="C122" s="306">
        <f>ID!$G$7</f>
        <v>0.01</v>
      </c>
      <c r="D122" s="73"/>
      <c r="E122" s="125" t="s">
        <v>178</v>
      </c>
      <c r="F122" s="308"/>
      <c r="G122" s="309">
        <v>10</v>
      </c>
      <c r="H122" s="73"/>
      <c r="I122" s="310"/>
      <c r="J122" s="310"/>
      <c r="K122" s="73"/>
      <c r="L122" s="311"/>
      <c r="M122" s="73"/>
      <c r="N122" s="312">
        <f>ID!$D$52</f>
        <v>30</v>
      </c>
      <c r="O122" s="306" t="s">
        <v>144</v>
      </c>
      <c r="P122" s="306">
        <f>ID!$G$7</f>
        <v>0.01</v>
      </c>
      <c r="Q122" s="73"/>
      <c r="R122" s="125" t="s">
        <v>178</v>
      </c>
      <c r="S122" s="308"/>
      <c r="T122" s="309">
        <v>30</v>
      </c>
      <c r="U122" s="73"/>
      <c r="V122" s="310"/>
      <c r="W122" s="310"/>
      <c r="X122" s="73"/>
      <c r="Y122" s="311"/>
    </row>
    <row r="123" spans="1:25" ht="14" x14ac:dyDescent="0.3">
      <c r="A123" s="48" t="s">
        <v>227</v>
      </c>
      <c r="B123" s="181" t="s">
        <v>228</v>
      </c>
      <c r="C123" s="181" t="s">
        <v>229</v>
      </c>
      <c r="D123" s="181" t="s">
        <v>230</v>
      </c>
      <c r="E123" s="49" t="s">
        <v>231</v>
      </c>
      <c r="F123" s="181" t="s">
        <v>232</v>
      </c>
      <c r="G123" s="182" t="s">
        <v>233</v>
      </c>
      <c r="H123" s="181" t="s">
        <v>234</v>
      </c>
      <c r="I123" s="181"/>
      <c r="J123" s="182" t="s">
        <v>235</v>
      </c>
      <c r="K123" s="181" t="s">
        <v>236</v>
      </c>
      <c r="L123" s="183" t="s">
        <v>237</v>
      </c>
      <c r="N123" s="48" t="s">
        <v>227</v>
      </c>
      <c r="O123" s="181" t="s">
        <v>228</v>
      </c>
      <c r="P123" s="181" t="s">
        <v>229</v>
      </c>
      <c r="Q123" s="181" t="s">
        <v>230</v>
      </c>
      <c r="R123" s="49" t="s">
        <v>231</v>
      </c>
      <c r="S123" s="181" t="s">
        <v>232</v>
      </c>
      <c r="T123" s="182" t="s">
        <v>233</v>
      </c>
      <c r="U123" s="181" t="s">
        <v>234</v>
      </c>
      <c r="V123" s="181"/>
      <c r="W123" s="182" t="s">
        <v>235</v>
      </c>
      <c r="X123" s="181" t="s">
        <v>236</v>
      </c>
      <c r="Y123" s="183" t="s">
        <v>237</v>
      </c>
    </row>
    <row r="124" spans="1:25" ht="13" x14ac:dyDescent="0.3">
      <c r="A124" s="33" t="s">
        <v>241</v>
      </c>
      <c r="B124" s="7" t="str">
        <f>B122</f>
        <v>µv</v>
      </c>
      <c r="C124" s="7" t="s">
        <v>242</v>
      </c>
      <c r="D124" s="11">
        <f>ID!O67</f>
        <v>0</v>
      </c>
      <c r="E124" s="11">
        <f>SQRT(6)</f>
        <v>2.4494897427831779</v>
      </c>
      <c r="F124" s="7">
        <v>4</v>
      </c>
      <c r="G124" s="12">
        <f t="shared" ref="G124:G129" si="64">D124/E124</f>
        <v>0</v>
      </c>
      <c r="H124" s="11">
        <f>H109</f>
        <v>1</v>
      </c>
      <c r="I124" s="7" t="str">
        <f>'UB Hz'!$B$6</f>
        <v>Hz</v>
      </c>
      <c r="J124" s="12">
        <f t="shared" ref="J124:J129" si="65">G124*H124</f>
        <v>0</v>
      </c>
      <c r="K124" s="8">
        <f t="shared" ref="K124:K129" si="66">J124^2</f>
        <v>0</v>
      </c>
      <c r="L124" s="8">
        <f t="shared" ref="L124:L129" si="67">J124^4/F124</f>
        <v>0</v>
      </c>
      <c r="N124" s="33" t="s">
        <v>241</v>
      </c>
      <c r="O124" s="7" t="str">
        <f>O122</f>
        <v>µv</v>
      </c>
      <c r="P124" s="7" t="s">
        <v>242</v>
      </c>
      <c r="Q124" s="11">
        <f>ID!O68</f>
        <v>0</v>
      </c>
      <c r="R124" s="11">
        <f>SQRT(6)</f>
        <v>2.4494897427831779</v>
      </c>
      <c r="S124" s="7">
        <v>4</v>
      </c>
      <c r="T124" s="12">
        <f t="shared" ref="T124:T129" si="68">Q124/R124</f>
        <v>0</v>
      </c>
      <c r="U124" s="11">
        <f>U109</f>
        <v>1</v>
      </c>
      <c r="V124" s="7" t="str">
        <f>'UB Hz'!$B$6</f>
        <v>Hz</v>
      </c>
      <c r="W124" s="12">
        <f t="shared" ref="W124:W129" si="69">T124*U124</f>
        <v>0</v>
      </c>
      <c r="X124" s="8">
        <f t="shared" ref="X124:X129" si="70">W124^2</f>
        <v>0</v>
      </c>
      <c r="Y124" s="8">
        <f t="shared" ref="Y124:Y129" si="71">W124^4/S124</f>
        <v>0</v>
      </c>
    </row>
    <row r="125" spans="1:25" ht="13" x14ac:dyDescent="0.3">
      <c r="A125" s="33" t="s">
        <v>246</v>
      </c>
      <c r="B125" s="7" t="str">
        <f>B122</f>
        <v>µv</v>
      </c>
      <c r="C125" s="7" t="s">
        <v>247</v>
      </c>
      <c r="D125" s="7">
        <f>C122</f>
        <v>0.01</v>
      </c>
      <c r="E125" s="11">
        <f>SQRT(3)</f>
        <v>1.7320508075688772</v>
      </c>
      <c r="F125" s="160">
        <v>50</v>
      </c>
      <c r="G125" s="12">
        <f t="shared" si="64"/>
        <v>5.773502691896258E-3</v>
      </c>
      <c r="H125" s="11">
        <f>H110</f>
        <v>1</v>
      </c>
      <c r="I125" s="7" t="str">
        <f>'UB Hz'!$B$6</f>
        <v>Hz</v>
      </c>
      <c r="J125" s="12">
        <f t="shared" si="65"/>
        <v>5.773502691896258E-3</v>
      </c>
      <c r="K125" s="8">
        <f t="shared" si="66"/>
        <v>3.3333333333333335E-5</v>
      </c>
      <c r="L125" s="8">
        <f t="shared" si="67"/>
        <v>2.2222222222222225E-11</v>
      </c>
      <c r="N125" s="33" t="s">
        <v>246</v>
      </c>
      <c r="O125" s="7" t="str">
        <f>O122</f>
        <v>µv</v>
      </c>
      <c r="P125" s="7" t="s">
        <v>247</v>
      </c>
      <c r="Q125" s="7">
        <f>P122</f>
        <v>0.01</v>
      </c>
      <c r="R125" s="11">
        <f>SQRT(3)</f>
        <v>1.7320508075688772</v>
      </c>
      <c r="S125" s="160">
        <v>50</v>
      </c>
      <c r="T125" s="12">
        <f t="shared" si="68"/>
        <v>5.773502691896258E-3</v>
      </c>
      <c r="U125" s="11">
        <f>U110</f>
        <v>1</v>
      </c>
      <c r="V125" s="7" t="str">
        <f>'UB Hz'!$B$6</f>
        <v>Hz</v>
      </c>
      <c r="W125" s="12">
        <f t="shared" si="69"/>
        <v>5.773502691896258E-3</v>
      </c>
      <c r="X125" s="8">
        <f t="shared" si="70"/>
        <v>3.3333333333333335E-5</v>
      </c>
      <c r="Y125" s="8">
        <f t="shared" si="71"/>
        <v>2.2222222222222225E-11</v>
      </c>
    </row>
    <row r="126" spans="1:25" ht="13" x14ac:dyDescent="0.3">
      <c r="A126" s="236" t="s">
        <v>253</v>
      </c>
      <c r="B126" s="237" t="str">
        <f>'UB Hz'!$B$6</f>
        <v>Hz</v>
      </c>
      <c r="C126" s="237" t="s">
        <v>247</v>
      </c>
      <c r="D126" s="238">
        <v>0</v>
      </c>
      <c r="E126" s="238">
        <f>SQRT(3)</f>
        <v>1.7320508075688772</v>
      </c>
      <c r="F126" s="239">
        <v>50</v>
      </c>
      <c r="G126" s="240">
        <f t="shared" si="64"/>
        <v>0</v>
      </c>
      <c r="H126" s="238">
        <v>1</v>
      </c>
      <c r="I126" s="237" t="str">
        <f>'UB Hz'!$B$6</f>
        <v>Hz</v>
      </c>
      <c r="J126" s="240">
        <f t="shared" si="65"/>
        <v>0</v>
      </c>
      <c r="K126" s="241">
        <f t="shared" si="66"/>
        <v>0</v>
      </c>
      <c r="L126" s="241">
        <f t="shared" si="67"/>
        <v>0</v>
      </c>
      <c r="N126" s="236" t="s">
        <v>253</v>
      </c>
      <c r="O126" s="237" t="str">
        <f>'UB Hz'!$B$6</f>
        <v>Hz</v>
      </c>
      <c r="P126" s="237" t="s">
        <v>247</v>
      </c>
      <c r="Q126" s="238">
        <v>0</v>
      </c>
      <c r="R126" s="238">
        <f>SQRT(3)</f>
        <v>1.7320508075688772</v>
      </c>
      <c r="S126" s="239">
        <v>50</v>
      </c>
      <c r="T126" s="240">
        <f t="shared" si="68"/>
        <v>0</v>
      </c>
      <c r="U126" s="238">
        <v>1</v>
      </c>
      <c r="V126" s="237" t="str">
        <f>'UB Hz'!$B$6</f>
        <v>Hz</v>
      </c>
      <c r="W126" s="240">
        <f t="shared" si="69"/>
        <v>0</v>
      </c>
      <c r="X126" s="241">
        <f t="shared" si="70"/>
        <v>0</v>
      </c>
      <c r="Y126" s="241">
        <f t="shared" si="71"/>
        <v>0</v>
      </c>
    </row>
    <row r="127" spans="1:25" ht="13" x14ac:dyDescent="0.3">
      <c r="A127" s="249" t="s">
        <v>254</v>
      </c>
      <c r="B127" s="237" t="str">
        <f>'UB Hz'!$B$6</f>
        <v>Hz</v>
      </c>
      <c r="C127" s="237" t="s">
        <v>242</v>
      </c>
      <c r="D127" s="250">
        <v>0</v>
      </c>
      <c r="E127" s="238">
        <v>2</v>
      </c>
      <c r="F127" s="239">
        <v>50</v>
      </c>
      <c r="G127" s="240">
        <f t="shared" si="64"/>
        <v>0</v>
      </c>
      <c r="H127" s="238">
        <v>1</v>
      </c>
      <c r="I127" s="237" t="str">
        <f>'UB Hz'!$B$6</f>
        <v>Hz</v>
      </c>
      <c r="J127" s="240">
        <f t="shared" si="65"/>
        <v>0</v>
      </c>
      <c r="K127" s="241">
        <f t="shared" si="66"/>
        <v>0</v>
      </c>
      <c r="L127" s="241">
        <f t="shared" si="67"/>
        <v>0</v>
      </c>
      <c r="N127" s="249" t="s">
        <v>254</v>
      </c>
      <c r="O127" s="237" t="str">
        <f>'UB Hz'!$B$6</f>
        <v>Hz</v>
      </c>
      <c r="P127" s="237" t="s">
        <v>242</v>
      </c>
      <c r="Q127" s="250">
        <v>0</v>
      </c>
      <c r="R127" s="238">
        <v>2</v>
      </c>
      <c r="S127" s="239">
        <v>50</v>
      </c>
      <c r="T127" s="240">
        <f t="shared" si="68"/>
        <v>0</v>
      </c>
      <c r="U127" s="238">
        <v>1</v>
      </c>
      <c r="V127" s="237" t="str">
        <f>'UB Hz'!$B$6</f>
        <v>Hz</v>
      </c>
      <c r="W127" s="240">
        <f t="shared" si="69"/>
        <v>0</v>
      </c>
      <c r="X127" s="241">
        <f t="shared" si="70"/>
        <v>0</v>
      </c>
      <c r="Y127" s="241">
        <f t="shared" si="71"/>
        <v>0</v>
      </c>
    </row>
    <row r="128" spans="1:25" ht="13" x14ac:dyDescent="0.3">
      <c r="A128" s="33" t="s">
        <v>255</v>
      </c>
      <c r="B128" s="7" t="str">
        <f>B122</f>
        <v>µv</v>
      </c>
      <c r="C128" s="7" t="s">
        <v>247</v>
      </c>
      <c r="D128" s="298">
        <f>'DB EEG'!C215</f>
        <v>5.0500000000000002E-4</v>
      </c>
      <c r="E128" s="11">
        <f>SQRT(3)</f>
        <v>1.7320508075688772</v>
      </c>
      <c r="F128" s="160">
        <v>50</v>
      </c>
      <c r="G128" s="12">
        <f t="shared" si="64"/>
        <v>2.9156188594076104E-4</v>
      </c>
      <c r="H128" s="11">
        <v>1</v>
      </c>
      <c r="I128" s="7" t="str">
        <f>'UB Hz'!$B$6</f>
        <v>Hz</v>
      </c>
      <c r="J128" s="12">
        <f t="shared" si="65"/>
        <v>2.9156188594076104E-4</v>
      </c>
      <c r="K128" s="8">
        <f t="shared" si="66"/>
        <v>8.5008333333333358E-8</v>
      </c>
      <c r="L128" s="8">
        <f t="shared" si="67"/>
        <v>1.4452833472222231E-16</v>
      </c>
      <c r="N128" s="33" t="s">
        <v>255</v>
      </c>
      <c r="O128" s="7" t="str">
        <f>O122</f>
        <v>µv</v>
      </c>
      <c r="P128" s="7" t="s">
        <v>247</v>
      </c>
      <c r="Q128" s="298">
        <f>'DB EEG'!C216</f>
        <v>1.5449999999999999E-3</v>
      </c>
      <c r="R128" s="11">
        <f>SQRT(3)</f>
        <v>1.7320508075688772</v>
      </c>
      <c r="S128" s="160">
        <v>50</v>
      </c>
      <c r="T128" s="12">
        <f t="shared" si="68"/>
        <v>8.9200616589797178E-4</v>
      </c>
      <c r="U128" s="11">
        <v>1</v>
      </c>
      <c r="V128" s="7" t="str">
        <f>'UB Hz'!$B$6</f>
        <v>Hz</v>
      </c>
      <c r="W128" s="12">
        <f t="shared" si="69"/>
        <v>8.9200616589797178E-4</v>
      </c>
      <c r="X128" s="8">
        <f t="shared" si="70"/>
        <v>7.956749999999999E-7</v>
      </c>
      <c r="Y128" s="8">
        <f t="shared" si="71"/>
        <v>1.2661974112499997E-14</v>
      </c>
    </row>
    <row r="129" spans="1:25" ht="13" x14ac:dyDescent="0.3">
      <c r="A129" s="35" t="s">
        <v>256</v>
      </c>
      <c r="B129" s="7" t="str">
        <f>B122</f>
        <v>µv</v>
      </c>
      <c r="C129" s="7" t="s">
        <v>242</v>
      </c>
      <c r="D129" s="299">
        <f>'DB EEG'!D215</f>
        <v>0.10099999999999996</v>
      </c>
      <c r="E129" s="11">
        <v>2</v>
      </c>
      <c r="F129" s="160">
        <v>50</v>
      </c>
      <c r="G129" s="12">
        <f t="shared" si="64"/>
        <v>5.0499999999999982E-2</v>
      </c>
      <c r="H129" s="11">
        <v>1</v>
      </c>
      <c r="I129" s="7" t="str">
        <f>'UB Hz'!$B$6</f>
        <v>Hz</v>
      </c>
      <c r="J129" s="12">
        <f t="shared" si="65"/>
        <v>5.0499999999999982E-2</v>
      </c>
      <c r="K129" s="8">
        <f t="shared" si="66"/>
        <v>2.5502499999999983E-3</v>
      </c>
      <c r="L129" s="8">
        <f t="shared" si="67"/>
        <v>1.3007550124999984E-7</v>
      </c>
      <c r="N129" s="35" t="s">
        <v>256</v>
      </c>
      <c r="O129" s="7" t="str">
        <f>O122</f>
        <v>µv</v>
      </c>
      <c r="P129" s="7" t="s">
        <v>242</v>
      </c>
      <c r="Q129" s="299">
        <f>'DB EEG'!D216</f>
        <v>0.30899999999999994</v>
      </c>
      <c r="R129" s="11">
        <v>2</v>
      </c>
      <c r="S129" s="160">
        <v>50</v>
      </c>
      <c r="T129" s="12">
        <f t="shared" si="68"/>
        <v>0.15449999999999997</v>
      </c>
      <c r="U129" s="11">
        <v>1</v>
      </c>
      <c r="V129" s="7" t="str">
        <f>'UB Hz'!$B$6</f>
        <v>Hz</v>
      </c>
      <c r="W129" s="12">
        <f t="shared" si="69"/>
        <v>0.15449999999999997</v>
      </c>
      <c r="X129" s="8">
        <f t="shared" si="70"/>
        <v>2.3870249999999992E-2</v>
      </c>
      <c r="Y129" s="8">
        <f t="shared" si="71"/>
        <v>1.1395776701249993E-5</v>
      </c>
    </row>
    <row r="130" spans="1:25" ht="14" x14ac:dyDescent="0.3">
      <c r="A130" s="36" t="s">
        <v>257</v>
      </c>
      <c r="B130" s="13"/>
      <c r="C130" s="13"/>
      <c r="D130" s="13"/>
      <c r="E130" s="14"/>
      <c r="F130" s="13"/>
      <c r="G130" s="13"/>
      <c r="H130" s="13"/>
      <c r="I130" s="13"/>
      <c r="J130" s="13"/>
      <c r="K130" s="50">
        <f>SUM(K124:K129)</f>
        <v>2.5836683416666649E-3</v>
      </c>
      <c r="L130" s="4">
        <f>SUM(L124:L129)</f>
        <v>1.300977236167504E-7</v>
      </c>
      <c r="N130" s="36" t="s">
        <v>257</v>
      </c>
      <c r="O130" s="13"/>
      <c r="P130" s="13"/>
      <c r="Q130" s="13"/>
      <c r="R130" s="14"/>
      <c r="S130" s="13"/>
      <c r="T130" s="13"/>
      <c r="U130" s="13"/>
      <c r="V130" s="13"/>
      <c r="W130" s="13"/>
      <c r="X130" s="50">
        <f>SUM(X124:X129)</f>
        <v>2.3904379008333327E-2</v>
      </c>
      <c r="Y130" s="4">
        <f>SUM(Y124:Y129)</f>
        <v>1.1395798936134189E-5</v>
      </c>
    </row>
    <row r="131" spans="1:25" ht="17" x14ac:dyDescent="0.45">
      <c r="A131" s="37" t="s">
        <v>258</v>
      </c>
      <c r="B131" s="16"/>
      <c r="C131" s="16"/>
      <c r="D131" s="16"/>
      <c r="E131" s="17"/>
      <c r="F131" s="16"/>
      <c r="G131" s="51" t="s">
        <v>259</v>
      </c>
      <c r="H131" s="16"/>
      <c r="I131" s="16"/>
      <c r="J131" s="16"/>
      <c r="K131" s="18">
        <f>SQRT(K130)</f>
        <v>5.0829797773222204E-2</v>
      </c>
      <c r="L131" s="19"/>
      <c r="N131" s="37" t="s">
        <v>258</v>
      </c>
      <c r="O131" s="16"/>
      <c r="P131" s="16"/>
      <c r="Q131" s="16"/>
      <c r="R131" s="17"/>
      <c r="S131" s="16"/>
      <c r="T131" s="51" t="s">
        <v>259</v>
      </c>
      <c r="U131" s="16"/>
      <c r="V131" s="16"/>
      <c r="W131" s="16"/>
      <c r="X131" s="18">
        <f>SQRT(X130)</f>
        <v>0.15461041041383122</v>
      </c>
      <c r="Y131" s="19"/>
    </row>
    <row r="132" spans="1:25" ht="17.5" x14ac:dyDescent="0.45">
      <c r="A132" s="36" t="s">
        <v>260</v>
      </c>
      <c r="B132" s="20"/>
      <c r="C132" s="20"/>
      <c r="D132" s="20"/>
      <c r="E132" s="21"/>
      <c r="F132" s="20"/>
      <c r="G132" s="52" t="s">
        <v>261</v>
      </c>
      <c r="H132" s="20"/>
      <c r="I132" s="20"/>
      <c r="J132" s="20"/>
      <c r="K132" s="26">
        <f>K131^4/(L130)</f>
        <v>51.310214461516587</v>
      </c>
      <c r="L132" s="22"/>
      <c r="N132" s="36" t="s">
        <v>260</v>
      </c>
      <c r="O132" s="20"/>
      <c r="P132" s="20"/>
      <c r="Q132" s="20"/>
      <c r="R132" s="21"/>
      <c r="S132" s="20"/>
      <c r="T132" s="52" t="s">
        <v>261</v>
      </c>
      <c r="U132" s="20"/>
      <c r="V132" s="20"/>
      <c r="W132" s="20"/>
      <c r="X132" s="26">
        <f>X131^4/(Y130)</f>
        <v>50.142981547539527</v>
      </c>
      <c r="Y132" s="22"/>
    </row>
    <row r="133" spans="1:25" ht="15.5" x14ac:dyDescent="0.35">
      <c r="A133" s="37" t="s">
        <v>263</v>
      </c>
      <c r="B133" s="16"/>
      <c r="C133" s="16"/>
      <c r="D133" s="16"/>
      <c r="E133" s="17"/>
      <c r="F133" s="16"/>
      <c r="G133" s="54" t="s">
        <v>264</v>
      </c>
      <c r="H133" s="16"/>
      <c r="I133" s="16"/>
      <c r="J133" s="16"/>
      <c r="K133" s="55">
        <f>1.95996+(2.37356/K132)+(2.818745/K132^2)+(2.546662/K132^3)+(1.761829/K132^4)+(0.245458/K132^5)+(1.000764/K132^6)</f>
        <v>2.0073087739124889</v>
      </c>
      <c r="L133" s="19"/>
      <c r="N133" s="37" t="s">
        <v>263</v>
      </c>
      <c r="O133" s="16"/>
      <c r="P133" s="16"/>
      <c r="Q133" s="16"/>
      <c r="R133" s="17"/>
      <c r="S133" s="16"/>
      <c r="T133" s="54" t="s">
        <v>264</v>
      </c>
      <c r="U133" s="16"/>
      <c r="V133" s="16"/>
      <c r="W133" s="16"/>
      <c r="X133" s="55">
        <f>1.95996+(2.37356/X132)+(2.818745/X132^2)+(2.546662/X132^3)+(1.761829/X132^4)+(0.245458/X132^5)+(1.000764/X132^6)</f>
        <v>2.0084373931133306</v>
      </c>
      <c r="Y133" s="19"/>
    </row>
    <row r="134" spans="1:25" ht="14" x14ac:dyDescent="0.3">
      <c r="A134" s="38" t="s">
        <v>265</v>
      </c>
      <c r="B134" s="23"/>
      <c r="C134" s="23"/>
      <c r="D134" s="23"/>
      <c r="E134" s="24"/>
      <c r="F134" s="23"/>
      <c r="G134" s="56" t="s">
        <v>266</v>
      </c>
      <c r="H134" s="23"/>
      <c r="I134" s="23"/>
      <c r="J134" s="23"/>
      <c r="K134" s="43">
        <f>K131*K133</f>
        <v>0.10203109904638642</v>
      </c>
      <c r="L134" s="25" t="str">
        <f>B122</f>
        <v>µv</v>
      </c>
      <c r="N134" s="38" t="s">
        <v>265</v>
      </c>
      <c r="O134" s="23"/>
      <c r="P134" s="23"/>
      <c r="Q134" s="23"/>
      <c r="R134" s="24"/>
      <c r="S134" s="23"/>
      <c r="T134" s="56" t="s">
        <v>266</v>
      </c>
      <c r="U134" s="23"/>
      <c r="V134" s="23"/>
      <c r="W134" s="23"/>
      <c r="X134" s="43">
        <f>X131*X133</f>
        <v>0.31052532963973734</v>
      </c>
      <c r="Y134" s="25" t="str">
        <f>O122</f>
        <v>µv</v>
      </c>
    </row>
    <row r="135" spans="1:25" ht="14" x14ac:dyDescent="0.3">
      <c r="A135" s="38" t="s">
        <v>265</v>
      </c>
      <c r="B135" s="23"/>
      <c r="C135" s="23"/>
      <c r="D135" s="23"/>
      <c r="E135" s="24"/>
      <c r="F135" s="23"/>
      <c r="G135" s="56" t="s">
        <v>266</v>
      </c>
      <c r="H135" s="23"/>
      <c r="I135" s="23"/>
      <c r="J135" s="23"/>
      <c r="K135" s="43">
        <f>K132*K134</f>
        <v>5.2352375738143282</v>
      </c>
      <c r="L135" s="256">
        <f>(ABS(K135)/G122)*100</f>
        <v>52.352375738143287</v>
      </c>
      <c r="M135" s="25">
        <f>C122</f>
        <v>0.01</v>
      </c>
      <c r="N135" s="38" t="s">
        <v>265</v>
      </c>
      <c r="O135" s="23"/>
      <c r="P135" s="23"/>
      <c r="Q135" s="23"/>
      <c r="R135" s="24"/>
      <c r="S135" s="23"/>
      <c r="T135" s="56" t="s">
        <v>266</v>
      </c>
      <c r="U135" s="23"/>
      <c r="V135" s="23"/>
      <c r="W135" s="25">
        <f>P122</f>
        <v>0.01</v>
      </c>
      <c r="X135" s="43">
        <f>X132*X134</f>
        <v>15.570665874168979</v>
      </c>
      <c r="Y135" s="256">
        <f>(ABS(X135)/T122)*100</f>
        <v>51.902219580563255</v>
      </c>
    </row>
    <row r="136" spans="1:25" ht="13" x14ac:dyDescent="0.3">
      <c r="K136" s="428">
        <f>K134/G122*100</f>
        <v>1.0203109904638641</v>
      </c>
      <c r="L136" s="41" t="s">
        <v>267</v>
      </c>
      <c r="X136" s="428">
        <f>X134/T122*100</f>
        <v>1.0350844321324577</v>
      </c>
      <c r="Y136" s="41" t="s">
        <v>267</v>
      </c>
    </row>
    <row r="137" spans="1:25" ht="14" x14ac:dyDescent="0.3">
      <c r="A137" s="300">
        <f>ID!$D$53</f>
        <v>50</v>
      </c>
      <c r="B137" s="65" t="s">
        <v>144</v>
      </c>
      <c r="C137" s="65">
        <f>ID!$G$7</f>
        <v>0.01</v>
      </c>
      <c r="E137" s="125" t="s">
        <v>178</v>
      </c>
      <c r="F137" s="74"/>
      <c r="G137" s="77">
        <v>50</v>
      </c>
      <c r="I137" s="101"/>
      <c r="J137" s="101"/>
      <c r="L137" s="100"/>
      <c r="N137" s="300">
        <f>ID!$D$54</f>
        <v>100</v>
      </c>
      <c r="O137" s="65" t="s">
        <v>144</v>
      </c>
      <c r="P137" s="65">
        <f>ID!$G$7</f>
        <v>0.01</v>
      </c>
      <c r="R137" s="125" t="s">
        <v>178</v>
      </c>
      <c r="S137" s="74"/>
      <c r="T137" s="77">
        <v>100</v>
      </c>
      <c r="V137" s="101"/>
      <c r="W137" s="101"/>
      <c r="Y137" s="100"/>
    </row>
    <row r="138" spans="1:25" ht="14" x14ac:dyDescent="0.3">
      <c r="A138" s="48" t="s">
        <v>227</v>
      </c>
      <c r="B138" s="181" t="s">
        <v>228</v>
      </c>
      <c r="C138" s="181" t="s">
        <v>229</v>
      </c>
      <c r="D138" s="181" t="s">
        <v>230</v>
      </c>
      <c r="E138" s="49" t="s">
        <v>231</v>
      </c>
      <c r="F138" s="181" t="s">
        <v>232</v>
      </c>
      <c r="G138" s="182" t="s">
        <v>233</v>
      </c>
      <c r="H138" s="181" t="s">
        <v>234</v>
      </c>
      <c r="I138" s="181"/>
      <c r="J138" s="182" t="s">
        <v>235</v>
      </c>
      <c r="K138" s="181" t="s">
        <v>236</v>
      </c>
      <c r="L138" s="183" t="s">
        <v>237</v>
      </c>
      <c r="N138" s="48" t="s">
        <v>227</v>
      </c>
      <c r="O138" s="181" t="s">
        <v>228</v>
      </c>
      <c r="P138" s="181" t="s">
        <v>229</v>
      </c>
      <c r="Q138" s="181" t="s">
        <v>230</v>
      </c>
      <c r="R138" s="49" t="s">
        <v>231</v>
      </c>
      <c r="S138" s="181" t="s">
        <v>232</v>
      </c>
      <c r="T138" s="182" t="s">
        <v>233</v>
      </c>
      <c r="U138" s="181" t="s">
        <v>234</v>
      </c>
      <c r="V138" s="181"/>
      <c r="W138" s="182" t="s">
        <v>235</v>
      </c>
      <c r="X138" s="181" t="s">
        <v>236</v>
      </c>
      <c r="Y138" s="183" t="s">
        <v>237</v>
      </c>
    </row>
    <row r="139" spans="1:25" ht="13" x14ac:dyDescent="0.3">
      <c r="A139" s="33" t="s">
        <v>241</v>
      </c>
      <c r="B139" s="7" t="str">
        <f>B137</f>
        <v>µv</v>
      </c>
      <c r="C139" s="7" t="s">
        <v>242</v>
      </c>
      <c r="D139" s="11">
        <f>ID!O69</f>
        <v>0</v>
      </c>
      <c r="E139" s="11">
        <f>SQRT(6)</f>
        <v>2.4494897427831779</v>
      </c>
      <c r="F139" s="7">
        <v>4</v>
      </c>
      <c r="G139" s="12">
        <f t="shared" ref="G139:G144" si="72">D139/E139</f>
        <v>0</v>
      </c>
      <c r="H139" s="11">
        <f>H124</f>
        <v>1</v>
      </c>
      <c r="I139" s="7" t="str">
        <f>'UB Hz'!$B$6</f>
        <v>Hz</v>
      </c>
      <c r="J139" s="12">
        <f t="shared" ref="J139:J144" si="73">G139*H139</f>
        <v>0</v>
      </c>
      <c r="K139" s="8">
        <f t="shared" ref="K139:K144" si="74">J139^2</f>
        <v>0</v>
      </c>
      <c r="L139" s="8">
        <f t="shared" ref="L139:L144" si="75">J139^4/F139</f>
        <v>0</v>
      </c>
      <c r="N139" s="33" t="s">
        <v>241</v>
      </c>
      <c r="O139" s="7" t="str">
        <f>O137</f>
        <v>µv</v>
      </c>
      <c r="P139" s="7" t="s">
        <v>242</v>
      </c>
      <c r="Q139" s="11">
        <f>ID!O70</f>
        <v>0</v>
      </c>
      <c r="R139" s="11">
        <f>SQRT(6)</f>
        <v>2.4494897427831779</v>
      </c>
      <c r="S139" s="7">
        <v>4</v>
      </c>
      <c r="T139" s="12">
        <f t="shared" ref="T139:T144" si="76">Q139/R139</f>
        <v>0</v>
      </c>
      <c r="U139" s="11">
        <f>U124</f>
        <v>1</v>
      </c>
      <c r="V139" s="7" t="str">
        <f>'UB Hz'!$B$6</f>
        <v>Hz</v>
      </c>
      <c r="W139" s="12">
        <f t="shared" ref="W139:W144" si="77">T139*U139</f>
        <v>0</v>
      </c>
      <c r="X139" s="8">
        <f t="shared" ref="X139:X144" si="78">W139^2</f>
        <v>0</v>
      </c>
      <c r="Y139" s="8">
        <f t="shared" ref="Y139:Y144" si="79">W139^4/S139</f>
        <v>0</v>
      </c>
    </row>
    <row r="140" spans="1:25" ht="13" x14ac:dyDescent="0.3">
      <c r="A140" s="33" t="s">
        <v>246</v>
      </c>
      <c r="B140" s="7" t="str">
        <f>B137</f>
        <v>µv</v>
      </c>
      <c r="C140" s="7" t="s">
        <v>247</v>
      </c>
      <c r="D140" s="7">
        <f>C137</f>
        <v>0.01</v>
      </c>
      <c r="E140" s="11">
        <f>SQRT(3)</f>
        <v>1.7320508075688772</v>
      </c>
      <c r="F140" s="160">
        <v>50</v>
      </c>
      <c r="G140" s="12">
        <f t="shared" si="72"/>
        <v>5.773502691896258E-3</v>
      </c>
      <c r="H140" s="11">
        <f>H125</f>
        <v>1</v>
      </c>
      <c r="I140" s="7" t="str">
        <f>'UB Hz'!$B$6</f>
        <v>Hz</v>
      </c>
      <c r="J140" s="12">
        <f t="shared" si="73"/>
        <v>5.773502691896258E-3</v>
      </c>
      <c r="K140" s="8">
        <f t="shared" si="74"/>
        <v>3.3333333333333335E-5</v>
      </c>
      <c r="L140" s="8">
        <f t="shared" si="75"/>
        <v>2.2222222222222225E-11</v>
      </c>
      <c r="N140" s="33" t="s">
        <v>246</v>
      </c>
      <c r="O140" s="7" t="str">
        <f>O137</f>
        <v>µv</v>
      </c>
      <c r="P140" s="7" t="s">
        <v>247</v>
      </c>
      <c r="Q140" s="7">
        <f>P137</f>
        <v>0.01</v>
      </c>
      <c r="R140" s="11">
        <f>SQRT(3)</f>
        <v>1.7320508075688772</v>
      </c>
      <c r="S140" s="160">
        <v>50</v>
      </c>
      <c r="T140" s="12">
        <f t="shared" si="76"/>
        <v>5.773502691896258E-3</v>
      </c>
      <c r="U140" s="11">
        <f>U125</f>
        <v>1</v>
      </c>
      <c r="V140" s="7" t="str">
        <f>'UB Hz'!$B$6</f>
        <v>Hz</v>
      </c>
      <c r="W140" s="12">
        <f t="shared" si="77"/>
        <v>5.773502691896258E-3</v>
      </c>
      <c r="X140" s="8">
        <f t="shared" si="78"/>
        <v>3.3333333333333335E-5</v>
      </c>
      <c r="Y140" s="8">
        <f t="shared" si="79"/>
        <v>2.2222222222222225E-11</v>
      </c>
    </row>
    <row r="141" spans="1:25" ht="13" x14ac:dyDescent="0.3">
      <c r="A141" s="236" t="s">
        <v>253</v>
      </c>
      <c r="B141" s="237" t="str">
        <f>'UB Hz'!$B$6</f>
        <v>Hz</v>
      </c>
      <c r="C141" s="237" t="s">
        <v>247</v>
      </c>
      <c r="D141" s="238">
        <v>0</v>
      </c>
      <c r="E141" s="238">
        <f>SQRT(3)</f>
        <v>1.7320508075688772</v>
      </c>
      <c r="F141" s="239">
        <v>50</v>
      </c>
      <c r="G141" s="240">
        <f t="shared" si="72"/>
        <v>0</v>
      </c>
      <c r="H141" s="238">
        <v>1</v>
      </c>
      <c r="I141" s="237" t="str">
        <f>'UB Hz'!$B$6</f>
        <v>Hz</v>
      </c>
      <c r="J141" s="240">
        <f t="shared" si="73"/>
        <v>0</v>
      </c>
      <c r="K141" s="241">
        <f t="shared" si="74"/>
        <v>0</v>
      </c>
      <c r="L141" s="241">
        <f t="shared" si="75"/>
        <v>0</v>
      </c>
      <c r="N141" s="236" t="s">
        <v>253</v>
      </c>
      <c r="O141" s="237" t="str">
        <f>'UB Hz'!$B$6</f>
        <v>Hz</v>
      </c>
      <c r="P141" s="237" t="s">
        <v>247</v>
      </c>
      <c r="Q141" s="238">
        <v>0</v>
      </c>
      <c r="R141" s="238">
        <f>SQRT(3)</f>
        <v>1.7320508075688772</v>
      </c>
      <c r="S141" s="239">
        <v>50</v>
      </c>
      <c r="T141" s="240">
        <f t="shared" si="76"/>
        <v>0</v>
      </c>
      <c r="U141" s="238">
        <v>1</v>
      </c>
      <c r="V141" s="237" t="str">
        <f>'UB Hz'!$B$6</f>
        <v>Hz</v>
      </c>
      <c r="W141" s="240">
        <f t="shared" si="77"/>
        <v>0</v>
      </c>
      <c r="X141" s="241">
        <f t="shared" si="78"/>
        <v>0</v>
      </c>
      <c r="Y141" s="241">
        <f t="shared" si="79"/>
        <v>0</v>
      </c>
    </row>
    <row r="142" spans="1:25" ht="13" x14ac:dyDescent="0.3">
      <c r="A142" s="249" t="s">
        <v>254</v>
      </c>
      <c r="B142" s="237" t="str">
        <f>'UB Hz'!$B$6</f>
        <v>Hz</v>
      </c>
      <c r="C142" s="237" t="s">
        <v>242</v>
      </c>
      <c r="D142" s="250">
        <v>0</v>
      </c>
      <c r="E142" s="238">
        <v>2</v>
      </c>
      <c r="F142" s="239">
        <v>50</v>
      </c>
      <c r="G142" s="240">
        <f t="shared" si="72"/>
        <v>0</v>
      </c>
      <c r="H142" s="238">
        <v>1</v>
      </c>
      <c r="I142" s="237" t="str">
        <f>'UB Hz'!$B$6</f>
        <v>Hz</v>
      </c>
      <c r="J142" s="240">
        <f t="shared" si="73"/>
        <v>0</v>
      </c>
      <c r="K142" s="241">
        <f t="shared" si="74"/>
        <v>0</v>
      </c>
      <c r="L142" s="241">
        <f t="shared" si="75"/>
        <v>0</v>
      </c>
      <c r="N142" s="249" t="s">
        <v>254</v>
      </c>
      <c r="O142" s="237" t="str">
        <f>'UB Hz'!$B$6</f>
        <v>Hz</v>
      </c>
      <c r="P142" s="237" t="s">
        <v>242</v>
      </c>
      <c r="Q142" s="250">
        <v>0</v>
      </c>
      <c r="R142" s="238">
        <v>2</v>
      </c>
      <c r="S142" s="239">
        <v>50</v>
      </c>
      <c r="T142" s="240">
        <f t="shared" si="76"/>
        <v>0</v>
      </c>
      <c r="U142" s="238">
        <v>1</v>
      </c>
      <c r="V142" s="237" t="str">
        <f>'UB Hz'!$B$6</f>
        <v>Hz</v>
      </c>
      <c r="W142" s="240">
        <f t="shared" si="77"/>
        <v>0</v>
      </c>
      <c r="X142" s="241">
        <f t="shared" si="78"/>
        <v>0</v>
      </c>
      <c r="Y142" s="241">
        <f t="shared" si="79"/>
        <v>0</v>
      </c>
    </row>
    <row r="143" spans="1:25" ht="13" x14ac:dyDescent="0.3">
      <c r="A143" s="33" t="s">
        <v>255</v>
      </c>
      <c r="B143" s="7" t="str">
        <f>B137</f>
        <v>µv</v>
      </c>
      <c r="C143" s="7" t="s">
        <v>247</v>
      </c>
      <c r="D143" s="298">
        <f>'DB EEG'!C217</f>
        <v>2.5315000000000003E-3</v>
      </c>
      <c r="E143" s="11">
        <f>SQRT(3)</f>
        <v>1.7320508075688772</v>
      </c>
      <c r="F143" s="160">
        <v>50</v>
      </c>
      <c r="G143" s="12">
        <f t="shared" si="72"/>
        <v>1.4615622064535379E-3</v>
      </c>
      <c r="H143" s="11">
        <v>1</v>
      </c>
      <c r="I143" s="7" t="str">
        <f>'UB Hz'!$B$6</f>
        <v>Hz</v>
      </c>
      <c r="J143" s="12">
        <f t="shared" si="73"/>
        <v>1.4615622064535379E-3</v>
      </c>
      <c r="K143" s="8">
        <f t="shared" si="74"/>
        <v>2.136164083333334E-6</v>
      </c>
      <c r="L143" s="8">
        <f t="shared" si="75"/>
        <v>9.1263939818466853E-14</v>
      </c>
      <c r="N143" s="33" t="s">
        <v>255</v>
      </c>
      <c r="O143" s="7" t="str">
        <f>O137</f>
        <v>µv</v>
      </c>
      <c r="P143" s="7" t="s">
        <v>247</v>
      </c>
      <c r="Q143" s="298">
        <f>'DB EEG'!C218</f>
        <v>5.1355000000000003E-3</v>
      </c>
      <c r="R143" s="11">
        <f>SQRT(3)</f>
        <v>1.7320508075688772</v>
      </c>
      <c r="S143" s="160">
        <v>50</v>
      </c>
      <c r="T143" s="12">
        <f t="shared" si="76"/>
        <v>2.9649823074233235E-3</v>
      </c>
      <c r="U143" s="11">
        <v>1</v>
      </c>
      <c r="V143" s="7" t="str">
        <f>'UB Hz'!$B$6</f>
        <v>Hz</v>
      </c>
      <c r="W143" s="12">
        <f t="shared" si="77"/>
        <v>2.9649823074233235E-3</v>
      </c>
      <c r="X143" s="8">
        <f t="shared" si="78"/>
        <v>8.7911200833333351E-6</v>
      </c>
      <c r="Y143" s="8">
        <f t="shared" si="79"/>
        <v>1.5456758463917341E-12</v>
      </c>
    </row>
    <row r="144" spans="1:25" ht="13" x14ac:dyDescent="0.3">
      <c r="A144" s="35" t="s">
        <v>256</v>
      </c>
      <c r="B144" s="7" t="str">
        <f>B137</f>
        <v>µv</v>
      </c>
      <c r="C144" s="7" t="s">
        <v>242</v>
      </c>
      <c r="D144" s="299">
        <f>'DB EEG'!D217</f>
        <v>0.50630000000000008</v>
      </c>
      <c r="E144" s="11">
        <v>2</v>
      </c>
      <c r="F144" s="160">
        <v>50</v>
      </c>
      <c r="G144" s="12">
        <f t="shared" si="72"/>
        <v>0.25315000000000004</v>
      </c>
      <c r="H144" s="11">
        <v>1</v>
      </c>
      <c r="I144" s="7" t="str">
        <f>'UB Hz'!$B$6</f>
        <v>Hz</v>
      </c>
      <c r="J144" s="12">
        <f t="shared" si="73"/>
        <v>0.25315000000000004</v>
      </c>
      <c r="K144" s="8">
        <f t="shared" si="74"/>
        <v>6.4084922500000016E-2</v>
      </c>
      <c r="L144" s="8">
        <f t="shared" si="75"/>
        <v>8.2137545836620169E-5</v>
      </c>
      <c r="N144" s="35" t="s">
        <v>256</v>
      </c>
      <c r="O144" s="7" t="str">
        <f>O137</f>
        <v>µv</v>
      </c>
      <c r="P144" s="7" t="s">
        <v>242</v>
      </c>
      <c r="Q144" s="299">
        <f>'DB EEG'!D218</f>
        <v>1.0270999999999999</v>
      </c>
      <c r="R144" s="11">
        <v>2</v>
      </c>
      <c r="S144" s="160">
        <v>50</v>
      </c>
      <c r="T144" s="12">
        <f t="shared" si="76"/>
        <v>0.51354999999999995</v>
      </c>
      <c r="U144" s="11">
        <v>1</v>
      </c>
      <c r="V144" s="7" t="str">
        <f>'UB Hz'!$B$6</f>
        <v>Hz</v>
      </c>
      <c r="W144" s="12">
        <f t="shared" si="77"/>
        <v>0.51354999999999995</v>
      </c>
      <c r="X144" s="8">
        <f t="shared" si="78"/>
        <v>0.26373360249999994</v>
      </c>
      <c r="Y144" s="8">
        <f t="shared" si="79"/>
        <v>1.3911082617525594E-3</v>
      </c>
    </row>
    <row r="145" spans="1:25" ht="14" x14ac:dyDescent="0.3">
      <c r="A145" s="36" t="s">
        <v>257</v>
      </c>
      <c r="B145" s="13"/>
      <c r="C145" s="13"/>
      <c r="D145" s="13"/>
      <c r="E145" s="14"/>
      <c r="F145" s="13"/>
      <c r="G145" s="13"/>
      <c r="H145" s="13"/>
      <c r="I145" s="13"/>
      <c r="J145" s="13"/>
      <c r="K145" s="50">
        <f>SUM(K139:K144)</f>
        <v>6.412039199741669E-2</v>
      </c>
      <c r="L145" s="4">
        <f>SUM(L139:L144)</f>
        <v>8.2137568150106324E-5</v>
      </c>
      <c r="N145" s="36" t="s">
        <v>257</v>
      </c>
      <c r="O145" s="13"/>
      <c r="P145" s="13"/>
      <c r="Q145" s="13"/>
      <c r="R145" s="14"/>
      <c r="S145" s="13"/>
      <c r="T145" s="13"/>
      <c r="U145" s="13"/>
      <c r="V145" s="13"/>
      <c r="W145" s="13"/>
      <c r="X145" s="50">
        <f>SUM(X139:X144)</f>
        <v>0.26377572695341661</v>
      </c>
      <c r="Y145" s="4">
        <f>SUM(Y139:Y144)</f>
        <v>1.3911082855204574E-3</v>
      </c>
    </row>
    <row r="146" spans="1:25" ht="17" x14ac:dyDescent="0.45">
      <c r="A146" s="37" t="s">
        <v>258</v>
      </c>
      <c r="B146" s="16"/>
      <c r="C146" s="16"/>
      <c r="D146" s="16"/>
      <c r="E146" s="17"/>
      <c r="F146" s="16"/>
      <c r="G146" s="51" t="s">
        <v>259</v>
      </c>
      <c r="H146" s="16"/>
      <c r="I146" s="16"/>
      <c r="J146" s="16"/>
      <c r="K146" s="18">
        <f>SQRT(K145)</f>
        <v>0.25322004659468944</v>
      </c>
      <c r="L146" s="19"/>
      <c r="N146" s="37" t="s">
        <v>258</v>
      </c>
      <c r="O146" s="16"/>
      <c r="P146" s="16"/>
      <c r="Q146" s="16"/>
      <c r="R146" s="17"/>
      <c r="S146" s="16"/>
      <c r="T146" s="51" t="s">
        <v>259</v>
      </c>
      <c r="U146" s="16"/>
      <c r="V146" s="16"/>
      <c r="W146" s="16"/>
      <c r="X146" s="18">
        <f>SQRT(X145)</f>
        <v>0.51359101136353291</v>
      </c>
      <c r="Y146" s="19"/>
    </row>
    <row r="147" spans="1:25" ht="17.5" x14ac:dyDescent="0.45">
      <c r="A147" s="36" t="s">
        <v>260</v>
      </c>
      <c r="B147" s="20"/>
      <c r="C147" s="20"/>
      <c r="D147" s="20"/>
      <c r="E147" s="21"/>
      <c r="F147" s="20"/>
      <c r="G147" s="52" t="s">
        <v>261</v>
      </c>
      <c r="H147" s="20"/>
      <c r="I147" s="20"/>
      <c r="J147" s="20"/>
      <c r="K147" s="26">
        <f>K146^4/(L145)</f>
        <v>50.055349366915195</v>
      </c>
      <c r="L147" s="22"/>
      <c r="N147" s="36" t="s">
        <v>260</v>
      </c>
      <c r="O147" s="20"/>
      <c r="P147" s="20"/>
      <c r="Q147" s="20"/>
      <c r="R147" s="21"/>
      <c r="S147" s="20"/>
      <c r="T147" s="52" t="s">
        <v>261</v>
      </c>
      <c r="U147" s="20"/>
      <c r="V147" s="20"/>
      <c r="W147" s="20"/>
      <c r="X147" s="26">
        <f>X146^4/(Y145)</f>
        <v>50.015972770784131</v>
      </c>
      <c r="Y147" s="22"/>
    </row>
    <row r="148" spans="1:25" ht="15.5" x14ac:dyDescent="0.35">
      <c r="A148" s="37" t="s">
        <v>263</v>
      </c>
      <c r="B148" s="16"/>
      <c r="C148" s="16"/>
      <c r="D148" s="16"/>
      <c r="E148" s="17"/>
      <c r="F148" s="16"/>
      <c r="G148" s="54" t="s">
        <v>264</v>
      </c>
      <c r="H148" s="16"/>
      <c r="I148" s="16"/>
      <c r="J148" s="16"/>
      <c r="K148" s="55">
        <f>1.95996+(2.37356/K147)+(2.818745/K147^2)+(2.546662/K147^3)+(1.761829/K147^4)+(0.245458/K147^5)+(1.000764/K147^6)</f>
        <v>2.0085243012566099</v>
      </c>
      <c r="L148" s="19"/>
      <c r="N148" s="37" t="s">
        <v>263</v>
      </c>
      <c r="O148" s="16"/>
      <c r="P148" s="16"/>
      <c r="Q148" s="16"/>
      <c r="R148" s="17"/>
      <c r="S148" s="16"/>
      <c r="T148" s="54" t="s">
        <v>264</v>
      </c>
      <c r="U148" s="16"/>
      <c r="V148" s="16"/>
      <c r="W148" s="16"/>
      <c r="X148" s="55">
        <f>1.95996+(2.37356/X147)+(2.818745/X147^2)+(2.546662/X147^3)+(1.761829/X147^4)+(0.245458/X147^5)+(1.000764/X147^6)</f>
        <v>2.0085634540496478</v>
      </c>
      <c r="Y148" s="19"/>
    </row>
    <row r="149" spans="1:25" ht="14" x14ac:dyDescent="0.3">
      <c r="A149" s="38" t="s">
        <v>265</v>
      </c>
      <c r="B149" s="23"/>
      <c r="C149" s="23"/>
      <c r="D149" s="23"/>
      <c r="E149" s="24"/>
      <c r="F149" s="23"/>
      <c r="G149" s="56" t="s">
        <v>266</v>
      </c>
      <c r="H149" s="23"/>
      <c r="I149" s="23"/>
      <c r="J149" s="23"/>
      <c r="K149" s="43">
        <f>K146*K148</f>
        <v>0.50859861715076482</v>
      </c>
      <c r="L149" s="25" t="str">
        <f>B137</f>
        <v>µv</v>
      </c>
      <c r="N149" s="38" t="s">
        <v>265</v>
      </c>
      <c r="O149" s="23"/>
      <c r="P149" s="23"/>
      <c r="Q149" s="23"/>
      <c r="R149" s="24"/>
      <c r="S149" s="23"/>
      <c r="T149" s="56" t="s">
        <v>266</v>
      </c>
      <c r="U149" s="23"/>
      <c r="V149" s="23"/>
      <c r="W149" s="23"/>
      <c r="X149" s="43">
        <f>X146*X148</f>
        <v>1.0315801357531895</v>
      </c>
      <c r="Y149" s="25" t="str">
        <f>O137</f>
        <v>µv</v>
      </c>
    </row>
    <row r="150" spans="1:25" ht="14" x14ac:dyDescent="0.3">
      <c r="A150" s="38" t="s">
        <v>265</v>
      </c>
      <c r="B150" s="23"/>
      <c r="C150" s="23"/>
      <c r="D150" s="23"/>
      <c r="E150" s="24"/>
      <c r="F150" s="23"/>
      <c r="G150" s="56" t="s">
        <v>266</v>
      </c>
      <c r="H150" s="23"/>
      <c r="I150" s="23"/>
      <c r="J150" s="23"/>
      <c r="K150" s="43">
        <f>K147*K149</f>
        <v>25.458081469011479</v>
      </c>
      <c r="L150" s="256">
        <f>(ABS(K150)/G137)*100</f>
        <v>50.916162938022957</v>
      </c>
      <c r="M150" s="25">
        <f>C137</f>
        <v>0.01</v>
      </c>
      <c r="N150" s="38" t="s">
        <v>265</v>
      </c>
      <c r="O150" s="23"/>
      <c r="P150" s="23"/>
      <c r="Q150" s="23"/>
      <c r="R150" s="24"/>
      <c r="S150" s="23"/>
      <c r="T150" s="56" t="s">
        <v>266</v>
      </c>
      <c r="U150" s="23"/>
      <c r="V150" s="23"/>
      <c r="W150" s="25">
        <f>P137</f>
        <v>0.01</v>
      </c>
      <c r="X150" s="43">
        <f>X147*X149</f>
        <v>51.595483980713325</v>
      </c>
      <c r="Y150" s="256">
        <f>(ABS(X150)/T137)*100</f>
        <v>51.595483980713333</v>
      </c>
    </row>
    <row r="151" spans="1:25" ht="13" x14ac:dyDescent="0.3">
      <c r="K151" s="428">
        <f>K149/G137*100</f>
        <v>1.0171972343015296</v>
      </c>
      <c r="L151" s="41" t="s">
        <v>267</v>
      </c>
      <c r="X151" s="428">
        <f>X149/T137*100</f>
        <v>1.0315801357531895</v>
      </c>
      <c r="Y151" s="41" t="s">
        <v>267</v>
      </c>
    </row>
  </sheetData>
  <pageMargins left="0.7" right="0.7" top="0.75" bottom="0.75" header="0.3" footer="0.3"/>
  <pageSetup paperSize="9" scale="78" orientation="portrait" r:id="rId1"/>
  <rowBreaks count="2" manualBreakCount="2">
    <brk id="61" max="24" man="1"/>
    <brk id="121" max="24" man="1"/>
  </rowBreaks>
  <colBreaks count="2" manualBreakCount="2">
    <brk id="12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S197"/>
  <sheetViews>
    <sheetView showGridLines="0" view="pageBreakPreview" topLeftCell="A3" zoomScale="85" zoomScaleNormal="100" zoomScaleSheetLayoutView="85" workbookViewId="0">
      <selection activeCell="D8" sqref="D8"/>
    </sheetView>
  </sheetViews>
  <sheetFormatPr defaultRowHeight="12.5" x14ac:dyDescent="0.25"/>
  <cols>
    <col min="1" max="1" width="18.7265625" customWidth="1"/>
    <col min="2" max="2" width="7.1796875" customWidth="1"/>
    <col min="3" max="3" width="9.7265625" customWidth="1"/>
    <col min="4" max="4" width="7.453125" customWidth="1"/>
    <col min="5" max="5" width="9.26953125" customWidth="1"/>
    <col min="6" max="6" width="6.81640625" customWidth="1"/>
    <col min="7" max="7" width="8" customWidth="1"/>
    <col min="8" max="9" width="8.81640625" customWidth="1"/>
    <col min="10" max="10" width="8" customWidth="1"/>
    <col min="11" max="11" width="15.54296875" customWidth="1"/>
    <col min="12" max="12" width="10.1796875" customWidth="1"/>
    <col min="14" max="14" width="19.7265625" customWidth="1"/>
    <col min="15" max="15" width="9.1796875" customWidth="1"/>
    <col min="16" max="16" width="9.7265625" bestFit="1" customWidth="1"/>
    <col min="17" max="17" width="7.453125" customWidth="1"/>
    <col min="18" max="18" width="9.26953125" bestFit="1" customWidth="1"/>
    <col min="19" max="19" width="5.453125" customWidth="1"/>
    <col min="20" max="20" width="12.54296875" customWidth="1"/>
    <col min="21" max="22" width="7.1796875" customWidth="1"/>
    <col min="23" max="23" width="9" bestFit="1" customWidth="1"/>
    <col min="24" max="24" width="15.453125" customWidth="1"/>
    <col min="25" max="25" width="12.26953125" customWidth="1"/>
    <col min="26" max="26" width="13.7265625" customWidth="1"/>
    <col min="27" max="31" width="4.54296875" customWidth="1"/>
    <col min="32" max="35" width="3.81640625" customWidth="1"/>
    <col min="36" max="36" width="10" hidden="1" customWidth="1"/>
    <col min="37" max="37" width="16.7265625" customWidth="1"/>
    <col min="38" max="38" width="13.26953125" customWidth="1"/>
    <col min="40" max="40" width="8.54296875" customWidth="1"/>
    <col min="41" max="41" width="10.1796875" customWidth="1"/>
    <col min="42" max="42" width="11" customWidth="1"/>
    <col min="43" max="43" width="13" customWidth="1"/>
    <col min="44" max="44" width="10.7265625" customWidth="1"/>
    <col min="45" max="45" width="10.81640625" customWidth="1"/>
    <col min="46" max="46" width="12.26953125" customWidth="1"/>
    <col min="47" max="47" width="16.7265625" customWidth="1"/>
    <col min="48" max="48" width="17.453125" customWidth="1"/>
    <col min="49" max="49" width="15.453125" customWidth="1"/>
    <col min="50" max="50" width="10.54296875" customWidth="1"/>
    <col min="51" max="51" width="12.26953125" customWidth="1"/>
    <col min="52" max="52" width="13.7265625" customWidth="1"/>
    <col min="57" max="57" width="19" customWidth="1"/>
    <col min="58" max="58" width="14.7265625" customWidth="1"/>
    <col min="59" max="59" width="12.54296875" customWidth="1"/>
    <col min="60" max="60" width="13.54296875" customWidth="1"/>
    <col min="61" max="61" width="13.81640625" customWidth="1"/>
    <col min="62" max="62" width="13.54296875" customWidth="1"/>
    <col min="63" max="63" width="15.7265625" customWidth="1"/>
    <col min="64" max="64" width="11" customWidth="1"/>
    <col min="65" max="65" width="12.7265625" bestFit="1" customWidth="1"/>
    <col min="66" max="66" width="12" bestFit="1" customWidth="1"/>
    <col min="67" max="67" width="9.453125" bestFit="1" customWidth="1"/>
    <col min="68" max="68" width="14.26953125" customWidth="1"/>
    <col min="69" max="69" width="13.54296875" customWidth="1"/>
    <col min="70" max="70" width="12.7265625" bestFit="1" customWidth="1"/>
    <col min="82" max="82" width="4.1796875" customWidth="1"/>
    <col min="83" max="83" width="18" customWidth="1"/>
  </cols>
  <sheetData>
    <row r="1" spans="1:71" ht="14.5" thickBot="1" x14ac:dyDescent="0.35">
      <c r="X1" s="151"/>
      <c r="Y1" s="114" t="s">
        <v>224</v>
      </c>
    </row>
    <row r="2" spans="1:7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192"/>
      <c r="Z2" s="191"/>
      <c r="AA2" s="191"/>
    </row>
    <row r="3" spans="1:71" ht="17.25" customHeight="1" x14ac:dyDescent="0.35">
      <c r="A3" s="1128" t="s">
        <v>225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  <c r="L3" s="1129"/>
      <c r="M3" s="1129"/>
      <c r="N3" s="1129"/>
      <c r="O3" s="1129"/>
      <c r="P3" s="1129"/>
      <c r="Q3" s="1129"/>
      <c r="R3" s="1129"/>
      <c r="S3" s="1129"/>
      <c r="T3" s="1129"/>
      <c r="U3" s="1129"/>
      <c r="V3" s="1129"/>
      <c r="W3" s="1129"/>
      <c r="X3" s="1129"/>
      <c r="Y3" s="1130"/>
      <c r="Z3" s="68"/>
      <c r="AA3" s="68"/>
    </row>
    <row r="4" spans="1:71" ht="6.75" customHeight="1" x14ac:dyDescent="0.25">
      <c r="A4" s="45"/>
      <c r="Y4" s="46"/>
    </row>
    <row r="5" spans="1:71" ht="15.75" customHeight="1" x14ac:dyDescent="0.3">
      <c r="A5" s="47" t="s">
        <v>226</v>
      </c>
      <c r="Y5" s="46"/>
    </row>
    <row r="6" spans="1:71" ht="13.75" customHeight="1" x14ac:dyDescent="0.3">
      <c r="A6" s="47">
        <f>ID!E42</f>
        <v>0.1</v>
      </c>
      <c r="B6" s="65" t="s">
        <v>143</v>
      </c>
      <c r="N6" s="41">
        <f>ID!E45</f>
        <v>50</v>
      </c>
      <c r="O6" s="76" t="str">
        <f>B6</f>
        <v>Hz</v>
      </c>
      <c r="P6" s="65"/>
      <c r="Q6" s="76"/>
      <c r="R6" s="65"/>
      <c r="S6" s="75"/>
      <c r="T6" s="77"/>
      <c r="V6" s="75"/>
      <c r="Y6" s="46"/>
      <c r="AL6" s="232"/>
      <c r="AX6" s="1141"/>
      <c r="AY6" s="1141"/>
      <c r="AZ6" s="1141"/>
      <c r="BQ6" s="196"/>
      <c r="BR6" s="196"/>
      <c r="BS6" s="197"/>
    </row>
    <row r="7" spans="1:71" ht="13.75" customHeight="1" x14ac:dyDescent="0.3">
      <c r="A7" s="48" t="s">
        <v>227</v>
      </c>
      <c r="B7" s="181" t="s">
        <v>228</v>
      </c>
      <c r="C7" s="181" t="s">
        <v>229</v>
      </c>
      <c r="D7" s="181" t="s">
        <v>230</v>
      </c>
      <c r="E7" s="49" t="s">
        <v>231</v>
      </c>
      <c r="F7" s="181" t="s">
        <v>232</v>
      </c>
      <c r="G7" s="182" t="s">
        <v>233</v>
      </c>
      <c r="H7" s="1126" t="s">
        <v>234</v>
      </c>
      <c r="I7" s="1126"/>
      <c r="J7" s="182" t="s">
        <v>235</v>
      </c>
      <c r="K7" s="181" t="s">
        <v>236</v>
      </c>
      <c r="L7" s="183" t="s">
        <v>237</v>
      </c>
      <c r="N7" s="181" t="s">
        <v>227</v>
      </c>
      <c r="O7" s="181" t="s">
        <v>228</v>
      </c>
      <c r="P7" s="181" t="s">
        <v>229</v>
      </c>
      <c r="Q7" s="181" t="s">
        <v>230</v>
      </c>
      <c r="R7" s="190" t="s">
        <v>231</v>
      </c>
      <c r="S7" s="181" t="s">
        <v>232</v>
      </c>
      <c r="T7" s="181" t="s">
        <v>233</v>
      </c>
      <c r="U7" s="1126" t="s">
        <v>234</v>
      </c>
      <c r="V7" s="1126"/>
      <c r="W7" s="181" t="s">
        <v>235</v>
      </c>
      <c r="X7" s="181" t="s">
        <v>236</v>
      </c>
      <c r="Y7" s="193" t="s">
        <v>237</v>
      </c>
      <c r="AA7" s="1134" t="s">
        <v>238</v>
      </c>
      <c r="AB7" s="1134"/>
      <c r="AC7" s="1134"/>
      <c r="AD7" s="1135" t="s">
        <v>239</v>
      </c>
      <c r="AE7" s="1136" t="s">
        <v>240</v>
      </c>
      <c r="BQ7" s="196"/>
      <c r="BR7" s="196"/>
      <c r="BS7" s="197"/>
    </row>
    <row r="8" spans="1:71" ht="13.75" customHeight="1" x14ac:dyDescent="0.3">
      <c r="A8" s="33" t="s">
        <v>241</v>
      </c>
      <c r="B8" s="7" t="str">
        <f t="shared" ref="B8:B13" si="0">$B$6</f>
        <v>Hz</v>
      </c>
      <c r="C8" s="7" t="s">
        <v>242</v>
      </c>
      <c r="D8" s="11">
        <f>ID!O42</f>
        <v>1.5515838457795457E-17</v>
      </c>
      <c r="E8" s="11">
        <f>SQRT(6)</f>
        <v>2.4494897427831779</v>
      </c>
      <c r="F8" s="7">
        <v>4</v>
      </c>
      <c r="G8" s="12">
        <f>D8/E8</f>
        <v>6.3343145255084569E-18</v>
      </c>
      <c r="H8" s="11">
        <v>1</v>
      </c>
      <c r="I8" s="7" t="str">
        <f t="shared" ref="I8:I13" si="1">$B$6</f>
        <v>Hz</v>
      </c>
      <c r="J8" s="12">
        <f t="shared" ref="J8:J13" si="2">G8*H8</f>
        <v>6.3343145255084569E-18</v>
      </c>
      <c r="K8" s="8">
        <f t="shared" ref="K8:K13" si="3">J8^2</f>
        <v>4.0123540508067426E-35</v>
      </c>
      <c r="L8" s="8">
        <f t="shared" ref="L8:L13" si="4">J8^4/F8</f>
        <v>4.024746257256319E-70</v>
      </c>
      <c r="N8" s="27" t="s">
        <v>241</v>
      </c>
      <c r="O8" s="7" t="str">
        <f t="shared" ref="O8:O13" si="5">$B$6</f>
        <v>Hz</v>
      </c>
      <c r="P8" s="7" t="s">
        <v>242</v>
      </c>
      <c r="Q8" s="11">
        <f>ID!O45</f>
        <v>0</v>
      </c>
      <c r="R8" s="11">
        <f>SQRT(6)</f>
        <v>2.4494897427831779</v>
      </c>
      <c r="S8" s="7">
        <v>4</v>
      </c>
      <c r="T8" s="12">
        <f t="shared" ref="T8:T13" si="6">Q8/R8</f>
        <v>0</v>
      </c>
      <c r="U8" s="11">
        <f>H8</f>
        <v>1</v>
      </c>
      <c r="V8" s="7" t="str">
        <f t="shared" ref="V8:V13" si="7">$B$6</f>
        <v>Hz</v>
      </c>
      <c r="W8" s="12">
        <f t="shared" ref="W8:W13" si="8">T8*U8</f>
        <v>0</v>
      </c>
      <c r="X8" s="8">
        <f t="shared" ref="X8:X13" si="9">W8^2</f>
        <v>0</v>
      </c>
      <c r="Y8" s="34">
        <f t="shared" ref="Y8:Y13" si="10">W8^4/S8</f>
        <v>0</v>
      </c>
      <c r="AA8" s="102" t="s">
        <v>243</v>
      </c>
      <c r="AB8" s="102" t="s">
        <v>244</v>
      </c>
      <c r="AC8" s="102"/>
      <c r="AD8" s="1135"/>
      <c r="AE8" s="1136"/>
      <c r="AV8" s="286"/>
      <c r="AW8" s="74"/>
      <c r="AX8" s="1142"/>
      <c r="AY8" s="1142"/>
      <c r="AZ8" s="1142"/>
      <c r="BQ8" s="196"/>
      <c r="BR8" s="196"/>
      <c r="BS8" s="197"/>
    </row>
    <row r="9" spans="1:71" ht="13.75" customHeight="1" x14ac:dyDescent="0.3">
      <c r="A9" s="33" t="s">
        <v>246</v>
      </c>
      <c r="B9" s="7" t="str">
        <f t="shared" si="0"/>
        <v>Hz</v>
      </c>
      <c r="C9" s="7" t="s">
        <v>247</v>
      </c>
      <c r="D9" s="7">
        <f>0.5*ID!E7</f>
        <v>5.0000000000000001E-3</v>
      </c>
      <c r="E9" s="11">
        <f>SQRT(3)</f>
        <v>1.7320508075688772</v>
      </c>
      <c r="F9" s="160">
        <v>50</v>
      </c>
      <c r="G9" s="12">
        <f t="shared" ref="G9:G13" si="11">D9/E9</f>
        <v>2.886751345948129E-3</v>
      </c>
      <c r="H9" s="11">
        <v>1</v>
      </c>
      <c r="I9" s="7" t="str">
        <f t="shared" si="1"/>
        <v>Hz</v>
      </c>
      <c r="J9" s="12">
        <f t="shared" si="2"/>
        <v>2.886751345948129E-3</v>
      </c>
      <c r="K9" s="8">
        <f t="shared" si="3"/>
        <v>8.3333333333333337E-6</v>
      </c>
      <c r="L9" s="8">
        <f t="shared" si="4"/>
        <v>1.3888888888888891E-12</v>
      </c>
      <c r="N9" s="27" t="s">
        <v>246</v>
      </c>
      <c r="O9" s="7" t="str">
        <f t="shared" si="5"/>
        <v>Hz</v>
      </c>
      <c r="P9" s="7" t="s">
        <v>247</v>
      </c>
      <c r="Q9" s="7">
        <f>0.5*ID!E7</f>
        <v>5.0000000000000001E-3</v>
      </c>
      <c r="R9" s="11">
        <f>SQRT(3)</f>
        <v>1.7320508075688772</v>
      </c>
      <c r="S9" s="160">
        <v>50</v>
      </c>
      <c r="T9" s="12">
        <f t="shared" si="6"/>
        <v>2.886751345948129E-3</v>
      </c>
      <c r="U9" s="11">
        <f>H9</f>
        <v>1</v>
      </c>
      <c r="V9" s="7" t="str">
        <f t="shared" si="7"/>
        <v>Hz</v>
      </c>
      <c r="W9" s="12">
        <f t="shared" si="8"/>
        <v>2.886751345948129E-3</v>
      </c>
      <c r="X9" s="8">
        <f t="shared" si="9"/>
        <v>8.3333333333333337E-6</v>
      </c>
      <c r="Y9" s="34">
        <f t="shared" si="10"/>
        <v>1.3888888888888891E-12</v>
      </c>
      <c r="AA9" s="161" t="s">
        <v>248</v>
      </c>
      <c r="AB9" s="164">
        <f>IF(ID!C81=ID!D149,'Input Data Caliper'!B8,IF(ID!C81=ID!D150,'Input Data Caliper'!B19,IF(ID!C81=ID!D151,'Input Data Caliper'!B30,IF(ID!C81=ID!D152,'Input Data Caliper'!B41,IF(ID!C81=ID!D153,'Input Data Caliper'!B52,IF(ID!C81=ID!D154,'Input Data Caliper'!B63,IF(ID!C81=ID!D155,'Input Data Caliper'!B74,IF(ID!C81=ID!D156,'Input Data Caliper'!B85,'Input Data Caliper'!B96))))))))</f>
        <v>2015</v>
      </c>
      <c r="AC9" s="164">
        <f>IF(ID!D81=ID!E149,'Input Data Caliper'!C8,IF(ID!D81=ID!E150,'Input Data Caliper'!C19,IF(ID!D81=ID!E151,'Input Data Caliper'!C30,IF(ID!D81=ID!E152,'Input Data Caliper'!C41,IF(ID!D81=ID!E153,'Input Data Caliper'!C52,IF(ID!D81=ID!E154,'Input Data Caliper'!C63,IF(ID!D81=ID!E155,'Input Data Caliper'!C74,IF(ID!D81=ID!E156,'Input Data Caliper'!C85,'Input Data Caliper'!C96))))))))</f>
        <v>2018</v>
      </c>
      <c r="AD9" s="1135"/>
      <c r="AE9" s="1136"/>
      <c r="AV9" s="286"/>
      <c r="AW9" s="74"/>
      <c r="AX9" s="1142"/>
      <c r="AY9" s="1142"/>
      <c r="AZ9" s="1142"/>
    </row>
    <row r="10" spans="1:71" s="242" customFormat="1" ht="13.75" customHeight="1" x14ac:dyDescent="0.3">
      <c r="A10" s="236" t="s">
        <v>253</v>
      </c>
      <c r="B10" s="237" t="str">
        <f t="shared" si="0"/>
        <v>Hz</v>
      </c>
      <c r="C10" s="237" t="s">
        <v>247</v>
      </c>
      <c r="D10" s="238">
        <v>0</v>
      </c>
      <c r="E10" s="238">
        <f>SQRT(3)</f>
        <v>1.7320508075688772</v>
      </c>
      <c r="F10" s="239">
        <v>50</v>
      </c>
      <c r="G10" s="240">
        <f t="shared" si="11"/>
        <v>0</v>
      </c>
      <c r="H10" s="238">
        <v>1</v>
      </c>
      <c r="I10" s="237" t="str">
        <f t="shared" si="1"/>
        <v>Hz</v>
      </c>
      <c r="J10" s="240">
        <f t="shared" si="2"/>
        <v>0</v>
      </c>
      <c r="K10" s="241">
        <f t="shared" si="3"/>
        <v>0</v>
      </c>
      <c r="L10" s="241">
        <f t="shared" si="4"/>
        <v>0</v>
      </c>
      <c r="N10" s="243" t="s">
        <v>253</v>
      </c>
      <c r="O10" s="237" t="str">
        <f t="shared" si="5"/>
        <v>Hz</v>
      </c>
      <c r="P10" s="237" t="s">
        <v>247</v>
      </c>
      <c r="Q10" s="238">
        <v>0</v>
      </c>
      <c r="R10" s="238">
        <f>SQRT(3)</f>
        <v>1.7320508075688772</v>
      </c>
      <c r="S10" s="239">
        <v>50</v>
      </c>
      <c r="T10" s="240">
        <f t="shared" si="6"/>
        <v>0</v>
      </c>
      <c r="U10" s="238">
        <v>1</v>
      </c>
      <c r="V10" s="237" t="str">
        <f t="shared" si="7"/>
        <v>Hz</v>
      </c>
      <c r="W10" s="240">
        <f t="shared" si="8"/>
        <v>0</v>
      </c>
      <c r="X10" s="241">
        <f t="shared" si="9"/>
        <v>0</v>
      </c>
      <c r="Y10" s="244">
        <f t="shared" si="10"/>
        <v>0</v>
      </c>
      <c r="AA10" s="245"/>
      <c r="AB10" s="245"/>
      <c r="AC10" s="245"/>
      <c r="AD10" s="245"/>
      <c r="AE10" s="245"/>
      <c r="AV10" s="248"/>
      <c r="AW10" s="246"/>
      <c r="AX10" s="1142"/>
      <c r="AY10" s="1142"/>
      <c r="AZ10" s="1142"/>
    </row>
    <row r="11" spans="1:71" s="242" customFormat="1" ht="13.75" customHeight="1" x14ac:dyDescent="0.3">
      <c r="A11" s="249" t="s">
        <v>254</v>
      </c>
      <c r="B11" s="237" t="str">
        <f t="shared" si="0"/>
        <v>Hz</v>
      </c>
      <c r="C11" s="237" t="s">
        <v>242</v>
      </c>
      <c r="D11" s="250">
        <v>0</v>
      </c>
      <c r="E11" s="238">
        <v>2</v>
      </c>
      <c r="F11" s="239">
        <v>50</v>
      </c>
      <c r="G11" s="240">
        <f t="shared" si="11"/>
        <v>0</v>
      </c>
      <c r="H11" s="238">
        <v>1</v>
      </c>
      <c r="I11" s="237" t="str">
        <f t="shared" si="1"/>
        <v>Hz</v>
      </c>
      <c r="J11" s="240">
        <f t="shared" si="2"/>
        <v>0</v>
      </c>
      <c r="K11" s="241">
        <f t="shared" si="3"/>
        <v>0</v>
      </c>
      <c r="L11" s="241">
        <f t="shared" si="4"/>
        <v>0</v>
      </c>
      <c r="N11" s="251" t="s">
        <v>254</v>
      </c>
      <c r="O11" s="237" t="str">
        <f t="shared" si="5"/>
        <v>Hz</v>
      </c>
      <c r="P11" s="237" t="s">
        <v>242</v>
      </c>
      <c r="Q11" s="250">
        <v>0</v>
      </c>
      <c r="R11" s="238">
        <v>2</v>
      </c>
      <c r="S11" s="239">
        <v>50</v>
      </c>
      <c r="T11" s="240">
        <f t="shared" si="6"/>
        <v>0</v>
      </c>
      <c r="U11" s="238">
        <v>1</v>
      </c>
      <c r="V11" s="237" t="str">
        <f t="shared" si="7"/>
        <v>Hz</v>
      </c>
      <c r="W11" s="240">
        <f t="shared" si="8"/>
        <v>0</v>
      </c>
      <c r="X11" s="241">
        <f t="shared" si="9"/>
        <v>0</v>
      </c>
      <c r="Y11" s="244">
        <f t="shared" si="10"/>
        <v>0</v>
      </c>
      <c r="AA11" s="245">
        <f>IF(ID!B82=ID!C151,'Input Data Caliper'!A10,IF(ID!B82=ID!C152,'Input Data Caliper'!A21,IF(ID!B82=ID!C153,'Input Data Caliper'!A32,IF(ID!B82=ID!C154,'Input Data Caliper'!A43,IF(ID!B82=ID!C155,'Input Data Caliper'!A54,IF(ID!B82=ID!C156,'Input Data Caliper'!A65,IF(ID!B82=ID!C157,'Input Data Caliper'!A76,IF(ID!B82=ID!C158,'Input Data Caliper'!A87,'Input Data Caliper'!A98))))))))</f>
        <v>20</v>
      </c>
      <c r="AB11" s="245">
        <f>IF(ID!C82=ID!D151,'Input Data Caliper'!B10,IF(ID!C82=ID!D152,'Input Data Caliper'!B21,IF(ID!C82=ID!D153,'Input Data Caliper'!B32,IF(ID!C82=ID!D154,'Input Data Caliper'!B43,IF(ID!C82=ID!D155,'Input Data Caliper'!B54,IF(ID!C82=ID!D156,'Input Data Caliper'!B65,IF(ID!C82=ID!D157,'Input Data Caliper'!B76,IF(ID!C82=ID!D158,'Input Data Caliper'!B87,'Input Data Caliper'!B98))))))))</f>
        <v>0</v>
      </c>
      <c r="AC11" s="245">
        <f>IF(ID!D82=ID!E151,'Input Data Caliper'!C10,IF(ID!D82=ID!E152,'Input Data Caliper'!C21,IF(ID!D82=ID!E153,'Input Data Caliper'!C32,IF(ID!D82=ID!E154,'Input Data Caliper'!C43,IF(ID!D82=ID!E155,'Input Data Caliper'!C54,IF(ID!D82=ID!E156,'Input Data Caliper'!C65,IF(ID!D82=ID!E157,'Input Data Caliper'!C76,IF(ID!D82=ID!E158,'Input Data Caliper'!C87,'Input Data Caliper'!C98))))))))</f>
        <v>-0.01</v>
      </c>
      <c r="AD11" s="245">
        <f>IF(ID!E82=ID!F151,'Input Data Caliper'!D10,IF(ID!E82=ID!F152,'Input Data Caliper'!D21,IF(ID!E82=ID!F153,'Input Data Caliper'!D32,IF(ID!E82=ID!F154,'Input Data Caliper'!D43,IF(ID!E82=ID!F155,'Input Data Caliper'!D54,IF(ID!E82=ID!F156,'Input Data Caliper'!D65,IF(ID!E82=ID!F157,'Input Data Caliper'!D76,IF(ID!E82=ID!F158,'Input Data Caliper'!D87,'Input Data Caliper'!D98))))))))</f>
        <v>5.0000000000000001E-3</v>
      </c>
      <c r="AE11" s="245">
        <f>IF(ID!F82=ID!G151,'Input Data Caliper'!E10,IF(ID!F82=ID!G152,'Input Data Caliper'!E21,IF(ID!F82=ID!G153,'Input Data Caliper'!E32,IF(ID!F82=ID!G154,'Input Data Caliper'!E43,IF(ID!F82=ID!G155,'Input Data Caliper'!E54,IF(ID!F82=ID!G156,'Input Data Caliper'!E65,IF(ID!F82=ID!G157,'Input Data Caliper'!E76,IF(ID!F82=ID!G158,'Input Data Caliper'!E87,'Input Data Caliper'!E98))))))))</f>
        <v>0.02</v>
      </c>
      <c r="AV11" s="248"/>
      <c r="AW11" s="246"/>
      <c r="AX11" s="247"/>
      <c r="AY11" s="272"/>
      <c r="AZ11" s="273"/>
    </row>
    <row r="12" spans="1:71" ht="13.75" customHeight="1" x14ac:dyDescent="0.3">
      <c r="A12" s="33" t="s">
        <v>255</v>
      </c>
      <c r="B12" s="7" t="str">
        <f t="shared" si="0"/>
        <v>Hz</v>
      </c>
      <c r="C12" s="7" t="s">
        <v>247</v>
      </c>
      <c r="D12" s="804">
        <f>'DB EEG'!C179</f>
        <v>5.5000000000008672E-6</v>
      </c>
      <c r="E12" s="11">
        <f>SQRT(3)</f>
        <v>1.7320508075688772</v>
      </c>
      <c r="F12" s="160">
        <v>50</v>
      </c>
      <c r="G12" s="12">
        <f t="shared" si="11"/>
        <v>3.1754264805434424E-6</v>
      </c>
      <c r="H12" s="11">
        <v>1</v>
      </c>
      <c r="I12" s="7" t="str">
        <f t="shared" si="1"/>
        <v>Hz</v>
      </c>
      <c r="J12" s="12">
        <f t="shared" si="2"/>
        <v>3.1754264805434424E-6</v>
      </c>
      <c r="K12" s="8">
        <f t="shared" si="3"/>
        <v>1.0083333333336514E-11</v>
      </c>
      <c r="L12" s="8">
        <f t="shared" si="4"/>
        <v>2.0334722222235047E-24</v>
      </c>
      <c r="N12" s="33" t="s">
        <v>255</v>
      </c>
      <c r="O12" s="7" t="str">
        <f t="shared" si="5"/>
        <v>Hz</v>
      </c>
      <c r="P12" s="7" t="s">
        <v>247</v>
      </c>
      <c r="Q12" s="12">
        <f>'DB EEG'!C182</f>
        <v>2.5600000000000006E-3</v>
      </c>
      <c r="R12" s="11">
        <f>SQRT(3)</f>
        <v>1.7320508075688772</v>
      </c>
      <c r="S12" s="160">
        <v>50</v>
      </c>
      <c r="T12" s="12">
        <f t="shared" si="6"/>
        <v>1.4780166891254424E-3</v>
      </c>
      <c r="U12" s="11">
        <v>1</v>
      </c>
      <c r="V12" s="7" t="str">
        <f t="shared" si="7"/>
        <v>Hz</v>
      </c>
      <c r="W12" s="12">
        <f t="shared" si="8"/>
        <v>1.4780166891254424E-3</v>
      </c>
      <c r="X12" s="8">
        <f t="shared" si="9"/>
        <v>2.1845333333333347E-6</v>
      </c>
      <c r="Y12" s="34">
        <f t="shared" si="10"/>
        <v>9.5443717688889006E-14</v>
      </c>
      <c r="Z12" s="98"/>
      <c r="AA12" s="163">
        <f>IF(ID!C83=ID!C152,'Input Data Caliper'!A11,IF(ID!C83=ID!C153,'Input Data Caliper'!A22,IF(ID!C83=ID!C154,'Input Data Caliper'!A33,IF(ID!C83=ID!C155,'Input Data Caliper'!A44,IF(ID!C83=ID!C156,'Input Data Caliper'!A55,IF(ID!C83=ID!C157,'Input Data Caliper'!A66,IF(ID!C83=ID!C158,'Input Data Caliper'!A77,IF(ID!C83=ID!C159,'Input Data Caliper'!A88,'Input Data Caliper'!A99))))))))</f>
        <v>50</v>
      </c>
      <c r="AB12" s="163">
        <f>IF(ID!D83=ID!D152,'Input Data Caliper'!B11,IF(ID!D83=ID!D153,'Input Data Caliper'!B22,IF(ID!D83=ID!D154,'Input Data Caliper'!B33,IF(ID!D83=ID!D155,'Input Data Caliper'!B44,IF(ID!D83=ID!D156,'Input Data Caliper'!B55,IF(ID!D83=ID!D157,'Input Data Caliper'!B66,IF(ID!D83=ID!D158,'Input Data Caliper'!B77,IF(ID!D83=ID!D159,'Input Data Caliper'!B88,'Input Data Caliper'!B99))))))))</f>
        <v>0</v>
      </c>
      <c r="AC12" s="163">
        <f>IF(ID!E83=ID!E152,'Input Data Caliper'!C11,IF(ID!E83=ID!E153,'Input Data Caliper'!C22,IF(ID!E83=ID!E154,'Input Data Caliper'!C33,IF(ID!E83=ID!E155,'Input Data Caliper'!C44,IF(ID!E83=ID!E156,'Input Data Caliper'!C55,IF(ID!E83=ID!E157,'Input Data Caliper'!C66,IF(ID!E83=ID!E158,'Input Data Caliper'!C77,IF(ID!E83=ID!E159,'Input Data Caliper'!C88,'Input Data Caliper'!C99))))))))</f>
        <v>-0.01</v>
      </c>
      <c r="AD12" s="163">
        <f>IF(ID!F83=ID!F152,'Input Data Caliper'!D11,IF(ID!F83=ID!F153,'Input Data Caliper'!D22,IF(ID!F83=ID!F154,'Input Data Caliper'!D33,IF(ID!F83=ID!F155,'Input Data Caliper'!D44,IF(ID!F83=ID!F156,'Input Data Caliper'!D55,IF(ID!F83=ID!F157,'Input Data Caliper'!D66,IF(ID!F83=ID!F158,'Input Data Caliper'!D77,IF(ID!F83=ID!F159,'Input Data Caliper'!D88,'Input Data Caliper'!D99))))))))</f>
        <v>5.0000000000000001E-3</v>
      </c>
      <c r="AE12" s="163">
        <f>IF(ID!G83=ID!G152,'Input Data Caliper'!E11,IF(ID!G83=ID!G153,'Input Data Caliper'!E22,IF(ID!G83=ID!G154,'Input Data Caliper'!E33,IF(ID!G83=ID!G155,'Input Data Caliper'!E44,IF(ID!G83=ID!G156,'Input Data Caliper'!E55,IF(ID!G83=ID!G157,'Input Data Caliper'!E66,IF(ID!G83=ID!G158,'Input Data Caliper'!E77,IF(ID!G83=ID!G159,'Input Data Caliper'!E88,'Input Data Caliper'!E99))))))))</f>
        <v>0.02</v>
      </c>
      <c r="AX12" s="234"/>
      <c r="AY12" s="274"/>
      <c r="AZ12" s="275"/>
    </row>
    <row r="13" spans="1:71" ht="13.75" customHeight="1" x14ac:dyDescent="0.3">
      <c r="A13" s="35" t="s">
        <v>256</v>
      </c>
      <c r="B13" s="7" t="str">
        <f t="shared" si="0"/>
        <v>Hz</v>
      </c>
      <c r="C13" s="7" t="s">
        <v>242</v>
      </c>
      <c r="D13" s="299">
        <f>'DB EEG'!D179</f>
        <v>5.0000000000000002E-5</v>
      </c>
      <c r="E13" s="11">
        <v>2</v>
      </c>
      <c r="F13" s="160">
        <v>50</v>
      </c>
      <c r="G13" s="12">
        <f t="shared" si="11"/>
        <v>2.5000000000000001E-5</v>
      </c>
      <c r="H13" s="11">
        <v>1</v>
      </c>
      <c r="I13" s="7" t="str">
        <f t="shared" si="1"/>
        <v>Hz</v>
      </c>
      <c r="J13" s="12">
        <f t="shared" si="2"/>
        <v>2.5000000000000001E-5</v>
      </c>
      <c r="K13" s="8">
        <f t="shared" si="3"/>
        <v>6.2500000000000001E-10</v>
      </c>
      <c r="L13" s="8">
        <f t="shared" si="4"/>
        <v>7.8125000000000006E-21</v>
      </c>
      <c r="N13" s="35" t="s">
        <v>256</v>
      </c>
      <c r="O13" s="7" t="str">
        <f t="shared" si="5"/>
        <v>Hz</v>
      </c>
      <c r="P13" s="7" t="s">
        <v>242</v>
      </c>
      <c r="Q13" s="299">
        <f>'DB EEG'!D182</f>
        <v>5.0000000000000002E-5</v>
      </c>
      <c r="R13" s="11">
        <v>2</v>
      </c>
      <c r="S13" s="160">
        <v>50</v>
      </c>
      <c r="T13" s="12">
        <f t="shared" si="6"/>
        <v>2.5000000000000001E-5</v>
      </c>
      <c r="U13" s="11">
        <v>1</v>
      </c>
      <c r="V13" s="7" t="str">
        <f t="shared" si="7"/>
        <v>Hz</v>
      </c>
      <c r="W13" s="12">
        <f t="shared" si="8"/>
        <v>2.5000000000000001E-5</v>
      </c>
      <c r="X13" s="8">
        <f t="shared" si="9"/>
        <v>6.2500000000000001E-10</v>
      </c>
      <c r="Y13" s="34">
        <f t="shared" si="10"/>
        <v>7.8125000000000006E-21</v>
      </c>
      <c r="Z13" s="65"/>
      <c r="AA13" s="163">
        <f>IF(ID!B84=ID!C153,'Input Data Caliper'!A12,IF(ID!B84=ID!C154,'Input Data Caliper'!A23,IF(ID!B84=ID!C155,'Input Data Caliper'!A34,IF(ID!B84=ID!C156,'Input Data Caliper'!A45,IF(ID!B84=ID!C157,'Input Data Caliper'!A56,IF(ID!B84=ID!C158,'Input Data Caliper'!A67,IF(ID!B84=ID!C159,'Input Data Caliper'!A78,IF(ID!B84=ID!C160,'Input Data Caliper'!A89,'Input Data Caliper'!A100))))))))</f>
        <v>70</v>
      </c>
      <c r="AB13" s="163">
        <f>IF(ID!D84=ID!D153,'Input Data Caliper'!B12,IF(ID!D84=ID!D154,'Input Data Caliper'!B23,IF(ID!D84=ID!D155,'Input Data Caliper'!B34,IF(ID!D84=ID!D156,'Input Data Caliper'!B45,IF(ID!D84=ID!D157,'Input Data Caliper'!B56,IF(ID!D84=ID!D158,'Input Data Caliper'!B67,IF(ID!D84=ID!D159,'Input Data Caliper'!B78,IF(ID!D84=ID!D160,'Input Data Caliper'!B89,'Input Data Caliper'!B100))))))))</f>
        <v>0</v>
      </c>
      <c r="AC13" s="163">
        <f>IF(ID!E84=ID!E153,'Input Data Caliper'!C12,IF(ID!E84=ID!E154,'Input Data Caliper'!C23,IF(ID!E84=ID!E155,'Input Data Caliper'!C34,IF(ID!E84=ID!E156,'Input Data Caliper'!C45,IF(ID!E84=ID!E157,'Input Data Caliper'!C56,IF(ID!E84=ID!E158,'Input Data Caliper'!C67,IF(ID!E84=ID!E159,'Input Data Caliper'!C78,IF(ID!E84=ID!E160,'Input Data Caliper'!C89,'Input Data Caliper'!C100))))))))</f>
        <v>-0.01</v>
      </c>
      <c r="AD13" s="163">
        <f>IF(ID!F84=ID!F153,'Input Data Caliper'!D12,IF(ID!F84=ID!F154,'Input Data Caliper'!D23,IF(ID!F84=ID!F155,'Input Data Caliper'!D34,IF(ID!F84=ID!F156,'Input Data Caliper'!D45,IF(ID!F84=ID!F157,'Input Data Caliper'!D56,IF(ID!F84=ID!F158,'Input Data Caliper'!D67,IF(ID!F84=ID!F159,'Input Data Caliper'!D78,IF(ID!F84=ID!F160,'Input Data Caliper'!D89,'Input Data Caliper'!D100))))))))</f>
        <v>5.0000000000000001E-3</v>
      </c>
      <c r="AE13" s="163">
        <f>IF(ID!G84=ID!G153,'Input Data Caliper'!E12,IF(ID!G84=ID!G154,'Input Data Caliper'!E23,IF(ID!G84=ID!G155,'Input Data Caliper'!E34,IF(ID!G84=ID!G156,'Input Data Caliper'!E45,IF(ID!G84=ID!G157,'Input Data Caliper'!E56,IF(ID!G84=ID!G158,'Input Data Caliper'!E67,IF(ID!G84=ID!G159,'Input Data Caliper'!E78,IF(ID!G84=ID!G160,'Input Data Caliper'!E89,'Input Data Caliper'!E100))))))))</f>
        <v>0.02</v>
      </c>
      <c r="AX13" s="234"/>
      <c r="AY13" s="274"/>
      <c r="AZ13" s="275"/>
    </row>
    <row r="14" spans="1:71" ht="13.75" customHeight="1" x14ac:dyDescent="0.3">
      <c r="A14" s="36" t="s">
        <v>257</v>
      </c>
      <c r="B14" s="13"/>
      <c r="C14" s="13"/>
      <c r="D14" s="13"/>
      <c r="E14" s="14"/>
      <c r="F14" s="13"/>
      <c r="G14" s="13"/>
      <c r="H14" s="13"/>
      <c r="I14" s="13"/>
      <c r="J14" s="13"/>
      <c r="K14" s="50">
        <f>SUM(K8:K13)</f>
        <v>8.3339684166666665E-6</v>
      </c>
      <c r="L14" s="4">
        <f>SUM(L8:L13)</f>
        <v>1.3888888967034224E-12</v>
      </c>
      <c r="N14" s="10"/>
      <c r="O14" s="7"/>
      <c r="P14" s="7"/>
      <c r="Q14" s="7"/>
      <c r="R14" s="11"/>
      <c r="S14" s="7"/>
      <c r="T14" s="12"/>
      <c r="U14" s="7"/>
      <c r="V14" s="12"/>
      <c r="W14" s="8"/>
      <c r="X14" s="8"/>
      <c r="Y14" s="194"/>
      <c r="Z14" s="98"/>
      <c r="AA14" s="163">
        <f>IF(ID!B85=ID!C154,'Input Data Caliper'!A13,IF(ID!B85=ID!C155,'Input Data Caliper'!A24,IF(ID!B85=ID!C156,'Input Data Caliper'!A35,IF(ID!B85=ID!C157,'Input Data Caliper'!A46,IF(ID!B85=ID!C158,'Input Data Caliper'!A57,IF(ID!B85=ID!C159,'Input Data Caliper'!A68,IF(ID!B85=ID!C160,'Input Data Caliper'!A79,IF(ID!B85=ID!C161,'Input Data Caliper'!A90,'Input Data Caliper'!A101))))))))</f>
        <v>100</v>
      </c>
      <c r="AB14" s="163">
        <f>IF(ID!D85=ID!D154,'Input Data Caliper'!B13,IF(ID!D85=ID!D155,'Input Data Caliper'!B24,IF(ID!D85=ID!D156,'Input Data Caliper'!B35,IF(ID!D85=ID!D157,'Input Data Caliper'!B46,IF(ID!D85=ID!D158,'Input Data Caliper'!B57,IF(ID!D85=ID!D159,'Input Data Caliper'!B68,IF(ID!D85=ID!D160,'Input Data Caliper'!B79,IF(ID!D85=ID!D161,'Input Data Caliper'!B90,'Input Data Caliper'!B101))))))))</f>
        <v>0</v>
      </c>
      <c r="AC14" s="163">
        <f>IF(ID!E85=ID!E154,'Input Data Caliper'!C13,IF(ID!E85=ID!E155,'Input Data Caliper'!C24,IF(ID!E85=ID!E156,'Input Data Caliper'!C35,IF(ID!E85=ID!E157,'Input Data Caliper'!C46,IF(ID!E85=ID!E158,'Input Data Caliper'!C57,IF(ID!E85=ID!E159,'Input Data Caliper'!C68,IF(ID!E85=ID!E160,'Input Data Caliper'!C79,IF(ID!E85=ID!E161,'Input Data Caliper'!C90,'Input Data Caliper'!C101))))))))</f>
        <v>-0.01</v>
      </c>
      <c r="AD14" s="163">
        <f>IF(ID!F85=ID!F154,'Input Data Caliper'!D13,IF(ID!F85=ID!F155,'Input Data Caliper'!D24,IF(ID!F85=ID!F156,'Input Data Caliper'!D35,IF(ID!F85=ID!F157,'Input Data Caliper'!D46,IF(ID!F85=ID!F158,'Input Data Caliper'!D57,IF(ID!F85=ID!F159,'Input Data Caliper'!D68,IF(ID!F85=ID!F160,'Input Data Caliper'!D79,IF(ID!F85=ID!F161,'Input Data Caliper'!D90,'Input Data Caliper'!D101))))))))</f>
        <v>5.0000000000000001E-3</v>
      </c>
      <c r="AE14" s="163">
        <f>IF(ID!G85=ID!G154,'Input Data Caliper'!E13,IF(ID!G85=ID!G155,'Input Data Caliper'!E24,IF(ID!G85=ID!G156,'Input Data Caliper'!E35,IF(ID!G85=ID!G157,'Input Data Caliper'!E46,IF(ID!G85=ID!G158,'Input Data Caliper'!E57,IF(ID!G85=ID!G159,'Input Data Caliper'!E68,IF(ID!G85=ID!G160,'Input Data Caliper'!E79,IF(ID!G85=ID!G161,'Input Data Caliper'!E90,'Input Data Caliper'!E101))))))))</f>
        <v>0.02</v>
      </c>
      <c r="AX14" s="234"/>
      <c r="AY14" s="274"/>
      <c r="AZ14" s="275"/>
    </row>
    <row r="15" spans="1:71" ht="13.75" customHeight="1" x14ac:dyDescent="0.45">
      <c r="A15" s="37" t="s">
        <v>258</v>
      </c>
      <c r="B15" s="16"/>
      <c r="C15" s="16"/>
      <c r="D15" s="16"/>
      <c r="E15" s="17"/>
      <c r="F15" s="16"/>
      <c r="G15" s="51" t="s">
        <v>259</v>
      </c>
      <c r="H15" s="16"/>
      <c r="I15" s="16"/>
      <c r="J15" s="16"/>
      <c r="K15" s="18">
        <f>SQRT(K14)</f>
        <v>2.8868613435124777E-3</v>
      </c>
      <c r="L15" s="19"/>
      <c r="N15" s="184" t="s">
        <v>257</v>
      </c>
      <c r="O15" s="187"/>
      <c r="P15" s="187"/>
      <c r="Q15" s="187"/>
      <c r="R15" s="188"/>
      <c r="S15" s="187"/>
      <c r="T15" s="187"/>
      <c r="U15" s="187"/>
      <c r="V15" s="187"/>
      <c r="W15" s="189"/>
      <c r="X15" s="50">
        <f>SUM(X8:X13)</f>
        <v>1.0518491666666668E-5</v>
      </c>
      <c r="Y15" s="53">
        <f>SUM(Y8:Y13)</f>
        <v>1.484332614390278E-12</v>
      </c>
      <c r="Z15" s="65"/>
      <c r="AA15" s="163">
        <f>IF(ID!C86=ID!C155,'Input Data Caliper'!A14,IF(ID!C86=ID!C156,'Input Data Caliper'!A25,IF(ID!C86=ID!C157,'Input Data Caliper'!A36,IF(ID!C86=ID!C158,'Input Data Caliper'!A47,IF(ID!C86=ID!C159,'Input Data Caliper'!A58,IF(ID!C86=ID!C160,'Input Data Caliper'!A69,IF(ID!C86=ID!C161,'Input Data Caliper'!A80,IF(ID!C86=ID!C162,'Input Data Caliper'!A91,'Input Data Caliper'!A102))))))))</f>
        <v>120</v>
      </c>
      <c r="AB15" s="163">
        <f>IF(ID!D86=ID!D155,'Input Data Caliper'!B14,IF(ID!D86=ID!D156,'Input Data Caliper'!B25,IF(ID!D86=ID!D157,'Input Data Caliper'!B36,IF(ID!D86=ID!D158,'Input Data Caliper'!B47,IF(ID!D86=ID!D159,'Input Data Caliper'!B58,IF(ID!D86=ID!D160,'Input Data Caliper'!B69,IF(ID!D86=ID!D161,'Input Data Caliper'!B80,IF(ID!D86=ID!D162,'Input Data Caliper'!B91,'Input Data Caliper'!B102))))))))</f>
        <v>0</v>
      </c>
      <c r="AC15" s="163">
        <f>IF(ID!E86=ID!E155,'Input Data Caliper'!C14,IF(ID!E86=ID!E156,'Input Data Caliper'!C25,IF(ID!E86=ID!E157,'Input Data Caliper'!C36,IF(ID!E86=ID!E158,'Input Data Caliper'!C47,IF(ID!E86=ID!E159,'Input Data Caliper'!C58,IF(ID!E86=ID!E160,'Input Data Caliper'!C69,IF(ID!E86=ID!E161,'Input Data Caliper'!C80,IF(ID!E86=ID!E162,'Input Data Caliper'!C91,'Input Data Caliper'!C102))))))))</f>
        <v>-0.01</v>
      </c>
      <c r="AD15" s="163">
        <f>IF(ID!F86=ID!F155,'Input Data Caliper'!D14,IF(ID!F86=ID!F156,'Input Data Caliper'!D25,IF(ID!F86=ID!F157,'Input Data Caliper'!D36,IF(ID!F86=ID!F158,'Input Data Caliper'!D47,IF(ID!F86=ID!F159,'Input Data Caliper'!D58,IF(ID!F86=ID!F160,'Input Data Caliper'!D69,IF(ID!F86=ID!F161,'Input Data Caliper'!D80,IF(ID!F86=ID!F162,'Input Data Caliper'!D91,'Input Data Caliper'!D102))))))))</f>
        <v>5.0000000000000001E-3</v>
      </c>
      <c r="AE15" s="163">
        <f>IF(ID!G86=ID!G155,'Input Data Caliper'!E14,IF(ID!G86=ID!G156,'Input Data Caliper'!E25,IF(ID!G86=ID!G157,'Input Data Caliper'!E36,IF(ID!G86=ID!G158,'Input Data Caliper'!E47,IF(ID!G86=ID!G159,'Input Data Caliper'!E58,IF(ID!G86=ID!G160,'Input Data Caliper'!E69,IF(ID!G86=ID!G161,'Input Data Caliper'!E80,IF(ID!G86=ID!G162,'Input Data Caliper'!E91,'Input Data Caliper'!E102))))))))</f>
        <v>0.02</v>
      </c>
    </row>
    <row r="16" spans="1:71" ht="13.75" customHeight="1" x14ac:dyDescent="0.45">
      <c r="A16" s="36" t="s">
        <v>260</v>
      </c>
      <c r="B16" s="20"/>
      <c r="C16" s="20"/>
      <c r="D16" s="20"/>
      <c r="E16" s="21"/>
      <c r="F16" s="20"/>
      <c r="G16" s="52" t="s">
        <v>261</v>
      </c>
      <c r="H16" s="20"/>
      <c r="I16" s="20"/>
      <c r="J16" s="20"/>
      <c r="K16" s="26">
        <f>K15^4/(L14)</f>
        <v>50.007621009032142</v>
      </c>
      <c r="L16" s="22"/>
      <c r="N16" s="15" t="s">
        <v>258</v>
      </c>
      <c r="O16" s="16"/>
      <c r="P16" s="16"/>
      <c r="Q16" s="16"/>
      <c r="R16" s="17"/>
      <c r="S16" s="16"/>
      <c r="T16" s="51" t="s">
        <v>259</v>
      </c>
      <c r="U16" s="16"/>
      <c r="V16" s="16"/>
      <c r="W16" s="185"/>
      <c r="X16" s="18">
        <f>SQRT(X15)</f>
        <v>3.2432224201658861E-3</v>
      </c>
      <c r="Y16" s="39"/>
      <c r="Z16" s="65"/>
      <c r="AA16" s="163">
        <f>IF(ID!C87=ID!C156,'Input Data Caliper'!A15,IF(ID!C87=ID!C157,'Input Data Caliper'!A26,IF(ID!C87=ID!C158,'Input Data Caliper'!A37,IF(ID!C87=ID!C159,'Input Data Caliper'!A48,IF(ID!C87=ID!C160,'Input Data Caliper'!A59,IF(ID!C87=ID!C161,'Input Data Caliper'!A70,IF(ID!C87=ID!C162,'Input Data Caliper'!A81,IF(ID!C87=ID!C163,'Input Data Caliper'!A92,'Input Data Caliper'!A103))))))))</f>
        <v>150</v>
      </c>
      <c r="AB16" s="163">
        <f>IF(ID!D87=ID!D156,'Input Data Caliper'!B15,IF(ID!D87=ID!D157,'Input Data Caliper'!B26,IF(ID!D87=ID!D158,'Input Data Caliper'!B37,IF(ID!D87=ID!D159,'Input Data Caliper'!B48,IF(ID!D87=ID!D160,'Input Data Caliper'!B59,IF(ID!D87=ID!D161,'Input Data Caliper'!B70,IF(ID!D87=ID!D162,'Input Data Caliper'!B81,IF(ID!D87=ID!D163,'Input Data Caliper'!B92,'Input Data Caliper'!B103))))))))</f>
        <v>0</v>
      </c>
      <c r="AC16" s="163">
        <f>IF(ID!E87=ID!E156,'Input Data Caliper'!C15,IF(ID!E87=ID!E157,'Input Data Caliper'!C26,IF(ID!E87=ID!E158,'Input Data Caliper'!C37,IF(ID!E87=ID!E159,'Input Data Caliper'!C48,IF(ID!E87=ID!E160,'Input Data Caliper'!C59,IF(ID!E87=ID!E161,'Input Data Caliper'!C70,IF(ID!E87=ID!E162,'Input Data Caliper'!C81,IF(ID!E87=ID!E163,'Input Data Caliper'!C92,'Input Data Caliper'!C103))))))))</f>
        <v>-0.01</v>
      </c>
      <c r="AD16" s="163">
        <f>IF(ID!F87=ID!F156,'Input Data Caliper'!D15,IF(ID!F87=ID!F157,'Input Data Caliper'!D26,IF(ID!F87=ID!F158,'Input Data Caliper'!D37,IF(ID!F87=ID!F159,'Input Data Caliper'!D48,IF(ID!F87=ID!F160,'Input Data Caliper'!D59,IF(ID!F87=ID!F161,'Input Data Caliper'!D70,IF(ID!F87=ID!F162,'Input Data Caliper'!D81,IF(ID!F87=ID!F163,'Input Data Caliper'!D92,'Input Data Caliper'!D103))))))))</f>
        <v>5.0000000000000001E-3</v>
      </c>
      <c r="AE16" s="163">
        <f>IF(ID!G87=ID!G156,'Input Data Caliper'!E15,IF(ID!G87=ID!G157,'Input Data Caliper'!E26,IF(ID!G87=ID!G158,'Input Data Caliper'!E37,IF(ID!G87=ID!G159,'Input Data Caliper'!E48,IF(ID!G87=ID!G160,'Input Data Caliper'!E59,IF(ID!G87=ID!G161,'Input Data Caliper'!E70,IF(ID!G87=ID!G162,'Input Data Caliper'!E81,IF(ID!G87=ID!G163,'Input Data Caliper'!E92,'Input Data Caliper'!E103))))))))</f>
        <v>0.02</v>
      </c>
      <c r="AV16" s="1132"/>
      <c r="AW16" s="1132"/>
      <c r="AX16" s="1140"/>
      <c r="AY16" s="1140"/>
      <c r="AZ16" s="1142"/>
    </row>
    <row r="17" spans="1:53" ht="13.75" customHeight="1" x14ac:dyDescent="0.45">
      <c r="A17" s="37" t="s">
        <v>263</v>
      </c>
      <c r="B17" s="16"/>
      <c r="C17" s="16"/>
      <c r="D17" s="16"/>
      <c r="E17" s="17"/>
      <c r="F17" s="16"/>
      <c r="G17" s="54" t="s">
        <v>264</v>
      </c>
      <c r="H17" s="16"/>
      <c r="I17" s="16"/>
      <c r="J17" s="16"/>
      <c r="K17" s="55">
        <f>1.95996+(2.37356/K16)+(2.818745/K16^2)+(2.546662/K16^3)+(1.761829/K16^4)+(0.245458/K16^5)+(1.000764/K16^6)</f>
        <v>2.0085717664581004</v>
      </c>
      <c r="L17" s="19"/>
      <c r="N17" s="15" t="s">
        <v>260</v>
      </c>
      <c r="O17" s="16"/>
      <c r="P17" s="16"/>
      <c r="Q17" s="16"/>
      <c r="R17" s="17"/>
      <c r="S17" s="16"/>
      <c r="T17" s="186" t="s">
        <v>261</v>
      </c>
      <c r="U17" s="16"/>
      <c r="V17" s="16"/>
      <c r="W17" s="185"/>
      <c r="X17" s="26">
        <f>X16^4/(Y15)</f>
        <v>74.537651378888128</v>
      </c>
      <c r="Y17" s="40"/>
      <c r="AV17" s="1132"/>
      <c r="AW17" s="1132"/>
      <c r="AX17" s="1140"/>
      <c r="AY17" s="1140"/>
      <c r="AZ17" s="1142"/>
    </row>
    <row r="18" spans="1:53" ht="13.75" customHeight="1" x14ac:dyDescent="0.35">
      <c r="A18" s="38" t="s">
        <v>265</v>
      </c>
      <c r="B18" s="23"/>
      <c r="C18" s="23"/>
      <c r="D18" s="23"/>
      <c r="E18" s="24"/>
      <c r="F18" s="23"/>
      <c r="G18" s="56" t="s">
        <v>266</v>
      </c>
      <c r="H18" s="23"/>
      <c r="I18" s="23"/>
      <c r="J18" s="23"/>
      <c r="K18" s="43">
        <f>K15*K17</f>
        <v>5.798468188258462E-3</v>
      </c>
      <c r="L18" s="25" t="str">
        <f>B6</f>
        <v>Hz</v>
      </c>
      <c r="N18" s="15" t="s">
        <v>263</v>
      </c>
      <c r="O18" s="16"/>
      <c r="P18" s="16"/>
      <c r="Q18" s="16"/>
      <c r="R18" s="17"/>
      <c r="S18" s="16"/>
      <c r="T18" s="54" t="s">
        <v>264</v>
      </c>
      <c r="U18" s="16"/>
      <c r="V18" s="16"/>
      <c r="W18" s="185"/>
      <c r="X18" s="55">
        <f>1.95996+(2.37356/X17)+(2.818745/X17^2)+(2.546662/X17^3)+(1.761829/X17^4)+(0.245458/X17^5)+(1.000764/X17^6)</f>
        <v>1.9923173252375403</v>
      </c>
      <c r="Y18" s="39"/>
      <c r="Z18" s="65"/>
      <c r="AA18" s="281"/>
      <c r="AB18" s="281"/>
      <c r="AC18" s="281"/>
      <c r="AD18" s="1131"/>
      <c r="AE18" s="1132"/>
      <c r="AV18" s="1132"/>
      <c r="AW18" s="1132"/>
      <c r="AX18" s="1140"/>
      <c r="AY18" s="1140"/>
      <c r="AZ18" s="1142"/>
    </row>
    <row r="19" spans="1:53" ht="13.75" customHeight="1" x14ac:dyDescent="0.3">
      <c r="A19" s="45"/>
      <c r="K19" s="57">
        <f>(ABS(K18)/0.1)*100</f>
        <v>5.7984681882584619</v>
      </c>
      <c r="L19" s="41" t="s">
        <v>267</v>
      </c>
      <c r="N19" s="15" t="s">
        <v>265</v>
      </c>
      <c r="O19" s="16"/>
      <c r="P19" s="16"/>
      <c r="Q19" s="16"/>
      <c r="R19" s="17"/>
      <c r="S19" s="16"/>
      <c r="T19" s="54" t="s">
        <v>266</v>
      </c>
      <c r="U19" s="16"/>
      <c r="V19" s="16"/>
      <c r="W19" s="185"/>
      <c r="X19" s="44">
        <f>X16*X18</f>
        <v>6.46152821729532E-3</v>
      </c>
      <c r="Y19" s="42" t="str">
        <f>B6</f>
        <v>Hz</v>
      </c>
      <c r="AA19" s="232"/>
      <c r="AB19" s="1131"/>
      <c r="AC19" s="1131"/>
      <c r="AD19" s="1131"/>
      <c r="AE19" s="1132"/>
      <c r="AV19" s="276"/>
      <c r="AW19" s="277"/>
      <c r="AX19" s="276"/>
      <c r="AY19" s="97"/>
      <c r="AZ19" s="97"/>
    </row>
    <row r="20" spans="1:53" ht="13.75" customHeight="1" x14ac:dyDescent="0.3">
      <c r="A20" s="47">
        <f>ID!E43</f>
        <v>2</v>
      </c>
      <c r="B20" t="str">
        <f>B6</f>
        <v>Hz</v>
      </c>
      <c r="W20" s="99"/>
      <c r="X20" s="257">
        <f>ABS(X19)/50*100</f>
        <v>1.2923056434590642E-2</v>
      </c>
      <c r="Y20" s="41" t="s">
        <v>267</v>
      </c>
      <c r="AA20" s="295"/>
      <c r="AB20" s="296"/>
      <c r="AC20" s="296"/>
      <c r="AD20" s="1131"/>
      <c r="AE20" s="1132"/>
      <c r="AV20" s="276"/>
      <c r="AW20" s="277"/>
      <c r="AX20" s="276"/>
      <c r="AY20" s="97"/>
      <c r="AZ20" s="97"/>
    </row>
    <row r="21" spans="1:53" ht="13.75" customHeight="1" x14ac:dyDescent="0.3">
      <c r="A21" s="48" t="s">
        <v>227</v>
      </c>
      <c r="B21" s="181" t="s">
        <v>228</v>
      </c>
      <c r="C21" s="181" t="s">
        <v>229</v>
      </c>
      <c r="D21" s="181" t="s">
        <v>230</v>
      </c>
      <c r="E21" s="49" t="s">
        <v>231</v>
      </c>
      <c r="F21" s="181" t="s">
        <v>232</v>
      </c>
      <c r="G21" s="182" t="s">
        <v>233</v>
      </c>
      <c r="H21" s="1137" t="s">
        <v>234</v>
      </c>
      <c r="I21" s="1138"/>
      <c r="J21" s="182" t="s">
        <v>235</v>
      </c>
      <c r="K21" s="181" t="s">
        <v>236</v>
      </c>
      <c r="L21" s="183" t="s">
        <v>237</v>
      </c>
      <c r="N21" s="41">
        <f>ID!E46</f>
        <v>60</v>
      </c>
      <c r="O21" s="76" t="str">
        <f>O6</f>
        <v>Hz</v>
      </c>
      <c r="P21" s="65"/>
      <c r="Q21" s="76"/>
      <c r="R21" s="65"/>
      <c r="S21" s="75"/>
      <c r="T21" s="77"/>
      <c r="V21" s="75"/>
      <c r="Y21" s="46"/>
      <c r="AA21" s="282"/>
      <c r="AB21" s="283"/>
      <c r="AC21" s="283"/>
      <c r="AD21" s="283"/>
      <c r="AE21" s="283"/>
      <c r="AV21" s="276"/>
      <c r="AW21" s="277"/>
      <c r="AX21" s="276"/>
      <c r="AY21" s="97"/>
      <c r="AZ21" s="97"/>
    </row>
    <row r="22" spans="1:53" ht="13.75" customHeight="1" x14ac:dyDescent="0.3">
      <c r="A22" s="31" t="s">
        <v>241</v>
      </c>
      <c r="B22" s="7" t="str">
        <f t="shared" ref="B22:B27" si="12">$B$6</f>
        <v>Hz</v>
      </c>
      <c r="C22" s="1" t="s">
        <v>242</v>
      </c>
      <c r="D22" s="29">
        <f>ID!O43</f>
        <v>2.4825341532472731E-16</v>
      </c>
      <c r="E22" s="2">
        <f>SQRT(6)</f>
        <v>2.4494897427831779</v>
      </c>
      <c r="F22" s="7">
        <v>4</v>
      </c>
      <c r="G22" s="3">
        <f t="shared" ref="G22:G27" si="13">D22/E22</f>
        <v>1.0134903240813531E-16</v>
      </c>
      <c r="H22" s="11">
        <f>H8</f>
        <v>1</v>
      </c>
      <c r="I22" s="7" t="str">
        <f t="shared" ref="I22:I27" si="14">$B$6</f>
        <v>Hz</v>
      </c>
      <c r="J22" s="3">
        <f t="shared" ref="J22:J27" si="15">G22*H22</f>
        <v>1.0134903240813531E-16</v>
      </c>
      <c r="K22" s="4">
        <f t="shared" ref="K22:K27" si="16">J22^2</f>
        <v>1.0271626370065261E-32</v>
      </c>
      <c r="L22" s="5">
        <f t="shared" ref="L22:L27" si="17">J22^4/F22</f>
        <v>2.6376577071555012E-65</v>
      </c>
      <c r="N22" s="181" t="s">
        <v>227</v>
      </c>
      <c r="O22" s="181" t="s">
        <v>228</v>
      </c>
      <c r="P22" s="181" t="s">
        <v>229</v>
      </c>
      <c r="Q22" s="181" t="s">
        <v>230</v>
      </c>
      <c r="R22" s="190" t="s">
        <v>231</v>
      </c>
      <c r="S22" s="181" t="s">
        <v>232</v>
      </c>
      <c r="T22" s="181" t="s">
        <v>233</v>
      </c>
      <c r="U22" s="1126" t="s">
        <v>234</v>
      </c>
      <c r="V22" s="1126"/>
      <c r="W22" s="181" t="s">
        <v>235</v>
      </c>
      <c r="X22" s="181" t="s">
        <v>236</v>
      </c>
      <c r="Y22" s="193" t="s">
        <v>237</v>
      </c>
      <c r="Z22" s="65"/>
      <c r="AA22" s="282"/>
      <c r="AB22" s="283"/>
      <c r="AC22" s="283"/>
      <c r="AD22" s="283"/>
      <c r="AV22" s="276"/>
      <c r="AW22" s="277"/>
      <c r="AX22" s="276"/>
      <c r="AY22" s="97"/>
      <c r="AZ22" s="97"/>
    </row>
    <row r="23" spans="1:53" ht="13.75" customHeight="1" x14ac:dyDescent="0.3">
      <c r="A23" s="32" t="s">
        <v>246</v>
      </c>
      <c r="B23" s="7" t="str">
        <f t="shared" si="12"/>
        <v>Hz</v>
      </c>
      <c r="C23" s="7" t="s">
        <v>247</v>
      </c>
      <c r="D23" s="30">
        <f>0.5*ID!E7</f>
        <v>5.0000000000000001E-3</v>
      </c>
      <c r="E23" s="28">
        <f>SQRT(3)</f>
        <v>1.7320508075688772</v>
      </c>
      <c r="F23" s="160">
        <v>50</v>
      </c>
      <c r="G23" s="6">
        <f t="shared" si="13"/>
        <v>2.886751345948129E-3</v>
      </c>
      <c r="H23" s="11">
        <f>H9</f>
        <v>1</v>
      </c>
      <c r="I23" s="7" t="str">
        <f t="shared" si="14"/>
        <v>Hz</v>
      </c>
      <c r="J23" s="6">
        <f t="shared" si="15"/>
        <v>2.886751345948129E-3</v>
      </c>
      <c r="K23" s="8">
        <f t="shared" si="16"/>
        <v>8.3333333333333337E-6</v>
      </c>
      <c r="L23" s="9">
        <f t="shared" si="17"/>
        <v>1.3888888888888891E-12</v>
      </c>
      <c r="N23" s="27" t="s">
        <v>241</v>
      </c>
      <c r="O23" s="7" t="str">
        <f t="shared" ref="O23:O28" si="18">$B$6</f>
        <v>Hz</v>
      </c>
      <c r="P23" s="7" t="s">
        <v>242</v>
      </c>
      <c r="Q23" s="11">
        <f>ID!O46</f>
        <v>0</v>
      </c>
      <c r="R23" s="11">
        <f>SQRT(6)</f>
        <v>2.4494897427831779</v>
      </c>
      <c r="S23" s="7">
        <v>4</v>
      </c>
      <c r="T23" s="12">
        <f t="shared" ref="T23:T28" si="19">Q23/R23</f>
        <v>0</v>
      </c>
      <c r="U23" s="11">
        <f>U8</f>
        <v>1</v>
      </c>
      <c r="V23" s="7" t="str">
        <f t="shared" ref="V23:V28" si="20">$B$6</f>
        <v>Hz</v>
      </c>
      <c r="W23" s="12">
        <f t="shared" ref="W23:W28" si="21">T23*U23</f>
        <v>0</v>
      </c>
      <c r="X23" s="8">
        <f t="shared" ref="X23:X28" si="22">W23^2</f>
        <v>0</v>
      </c>
      <c r="Y23" s="34">
        <f t="shared" ref="Y23:Y28" si="23">W23^4/S23</f>
        <v>0</v>
      </c>
      <c r="Z23" s="65"/>
      <c r="AA23" s="282"/>
      <c r="AB23" s="283"/>
      <c r="AC23" s="283"/>
      <c r="AD23" s="283"/>
    </row>
    <row r="24" spans="1:53" ht="13.75" customHeight="1" x14ac:dyDescent="0.3">
      <c r="A24" s="236" t="s">
        <v>253</v>
      </c>
      <c r="B24" s="237" t="str">
        <f t="shared" si="12"/>
        <v>Hz</v>
      </c>
      <c r="C24" s="237" t="s">
        <v>247</v>
      </c>
      <c r="D24" s="238">
        <v>0</v>
      </c>
      <c r="E24" s="238">
        <f>SQRT(3)</f>
        <v>1.7320508075688772</v>
      </c>
      <c r="F24" s="239">
        <v>50</v>
      </c>
      <c r="G24" s="240">
        <f t="shared" si="13"/>
        <v>0</v>
      </c>
      <c r="H24" s="238">
        <v>1</v>
      </c>
      <c r="I24" s="237" t="str">
        <f t="shared" si="14"/>
        <v>Hz</v>
      </c>
      <c r="J24" s="240">
        <f t="shared" si="15"/>
        <v>0</v>
      </c>
      <c r="K24" s="241">
        <f t="shared" si="16"/>
        <v>0</v>
      </c>
      <c r="L24" s="241">
        <f t="shared" si="17"/>
        <v>0</v>
      </c>
      <c r="N24" s="27" t="s">
        <v>246</v>
      </c>
      <c r="O24" s="7" t="str">
        <f t="shared" si="18"/>
        <v>Hz</v>
      </c>
      <c r="P24" s="7" t="s">
        <v>247</v>
      </c>
      <c r="Q24" s="7">
        <f>0.5*ID!E7</f>
        <v>5.0000000000000001E-3</v>
      </c>
      <c r="R24" s="11">
        <f>SQRT(3)</f>
        <v>1.7320508075688772</v>
      </c>
      <c r="S24" s="160">
        <v>50</v>
      </c>
      <c r="T24" s="12">
        <f t="shared" si="19"/>
        <v>2.886751345948129E-3</v>
      </c>
      <c r="U24" s="11">
        <f>U9</f>
        <v>1</v>
      </c>
      <c r="V24" s="7" t="str">
        <f t="shared" si="20"/>
        <v>Hz</v>
      </c>
      <c r="W24" s="12">
        <f t="shared" si="21"/>
        <v>2.886751345948129E-3</v>
      </c>
      <c r="X24" s="8">
        <f t="shared" si="22"/>
        <v>8.3333333333333337E-6</v>
      </c>
      <c r="Y24" s="34">
        <f t="shared" si="23"/>
        <v>1.3888888888888891E-12</v>
      </c>
      <c r="Z24" s="65"/>
      <c r="AA24" s="282"/>
      <c r="AB24" s="283"/>
      <c r="AC24" s="283"/>
      <c r="AD24" s="283"/>
      <c r="AV24" s="1132"/>
      <c r="AW24" s="1132"/>
      <c r="AX24" s="1140"/>
      <c r="AY24" s="1140"/>
      <c r="AZ24" s="1142"/>
      <c r="BA24" s="13"/>
    </row>
    <row r="25" spans="1:53" ht="13.75" customHeight="1" x14ac:dyDescent="0.3">
      <c r="A25" s="252" t="s">
        <v>254</v>
      </c>
      <c r="B25" s="237" t="str">
        <f t="shared" si="12"/>
        <v>Hz</v>
      </c>
      <c r="C25" s="237" t="s">
        <v>242</v>
      </c>
      <c r="D25" s="253">
        <v>0</v>
      </c>
      <c r="E25" s="254">
        <v>2</v>
      </c>
      <c r="F25" s="239">
        <v>50</v>
      </c>
      <c r="G25" s="255">
        <f t="shared" si="13"/>
        <v>0</v>
      </c>
      <c r="H25" s="238">
        <v>1</v>
      </c>
      <c r="I25" s="237" t="str">
        <f t="shared" si="14"/>
        <v>Hz</v>
      </c>
      <c r="J25" s="255">
        <f t="shared" si="15"/>
        <v>0</v>
      </c>
      <c r="K25" s="241">
        <f t="shared" si="16"/>
        <v>0</v>
      </c>
      <c r="L25" s="241">
        <f t="shared" si="17"/>
        <v>0</v>
      </c>
      <c r="N25" s="243" t="s">
        <v>253</v>
      </c>
      <c r="O25" s="237" t="str">
        <f t="shared" si="18"/>
        <v>Hz</v>
      </c>
      <c r="P25" s="237" t="s">
        <v>247</v>
      </c>
      <c r="Q25" s="238">
        <v>0</v>
      </c>
      <c r="R25" s="238">
        <f>SQRT(3)</f>
        <v>1.7320508075688772</v>
      </c>
      <c r="S25" s="239">
        <v>50</v>
      </c>
      <c r="T25" s="240">
        <f t="shared" si="19"/>
        <v>0</v>
      </c>
      <c r="U25" s="238">
        <v>1</v>
      </c>
      <c r="V25" s="237" t="str">
        <f t="shared" si="20"/>
        <v>Hz</v>
      </c>
      <c r="W25" s="240">
        <f t="shared" si="21"/>
        <v>0</v>
      </c>
      <c r="X25" s="241">
        <f t="shared" si="22"/>
        <v>0</v>
      </c>
      <c r="Y25" s="244">
        <f t="shared" si="23"/>
        <v>0</v>
      </c>
      <c r="AA25" s="282"/>
      <c r="AB25" s="283"/>
      <c r="AC25" s="283"/>
      <c r="AD25" s="283"/>
      <c r="AV25" s="1132"/>
      <c r="AW25" s="1132"/>
      <c r="AX25" s="1140"/>
      <c r="AY25" s="1140"/>
      <c r="AZ25" s="1142"/>
      <c r="BA25" s="94"/>
    </row>
    <row r="26" spans="1:53" ht="13.75" customHeight="1" x14ac:dyDescent="0.3">
      <c r="A26" s="33" t="s">
        <v>255</v>
      </c>
      <c r="B26" s="7" t="str">
        <f t="shared" si="12"/>
        <v>Hz</v>
      </c>
      <c r="C26" s="7" t="s">
        <v>247</v>
      </c>
      <c r="D26" s="12">
        <f>'DB EEG'!C180</f>
        <v>9.9500000000000846E-5</v>
      </c>
      <c r="E26" s="11">
        <f>SQRT(3)</f>
        <v>1.7320508075688772</v>
      </c>
      <c r="F26" s="160">
        <v>50</v>
      </c>
      <c r="G26" s="12">
        <f t="shared" si="13"/>
        <v>5.7446351784368256E-5</v>
      </c>
      <c r="H26" s="11">
        <v>1</v>
      </c>
      <c r="I26" s="7" t="str">
        <f t="shared" si="14"/>
        <v>Hz</v>
      </c>
      <c r="J26" s="12">
        <f t="shared" si="15"/>
        <v>5.7446351784368256E-5</v>
      </c>
      <c r="K26" s="8">
        <f t="shared" si="16"/>
        <v>3.30008333333339E-9</v>
      </c>
      <c r="L26" s="8">
        <f t="shared" si="17"/>
        <v>2.1781100013889636E-19</v>
      </c>
      <c r="N26" s="251" t="s">
        <v>254</v>
      </c>
      <c r="O26" s="237" t="str">
        <f t="shared" si="18"/>
        <v>Hz</v>
      </c>
      <c r="P26" s="237" t="s">
        <v>242</v>
      </c>
      <c r="Q26" s="250">
        <v>0</v>
      </c>
      <c r="R26" s="238">
        <v>2</v>
      </c>
      <c r="S26" s="239">
        <v>50</v>
      </c>
      <c r="T26" s="240">
        <f t="shared" si="19"/>
        <v>0</v>
      </c>
      <c r="U26" s="238">
        <v>1</v>
      </c>
      <c r="V26" s="237" t="str">
        <f t="shared" si="20"/>
        <v>Hz</v>
      </c>
      <c r="W26" s="240">
        <f t="shared" si="21"/>
        <v>0</v>
      </c>
      <c r="X26" s="241">
        <f t="shared" si="22"/>
        <v>0</v>
      </c>
      <c r="Y26" s="244">
        <f t="shared" si="23"/>
        <v>0</v>
      </c>
      <c r="AA26" s="282"/>
      <c r="AB26" s="283"/>
      <c r="AC26" s="283"/>
      <c r="AD26" s="283"/>
      <c r="AV26" s="1132"/>
      <c r="AW26" s="1132"/>
      <c r="AX26" s="1140"/>
      <c r="AY26" s="1140"/>
      <c r="AZ26" s="1142"/>
      <c r="BA26" s="95"/>
    </row>
    <row r="27" spans="1:53" ht="13.75" customHeight="1" x14ac:dyDescent="0.3">
      <c r="A27" s="35" t="s">
        <v>256</v>
      </c>
      <c r="B27" s="7" t="str">
        <f t="shared" si="12"/>
        <v>Hz</v>
      </c>
      <c r="C27" s="7" t="s">
        <v>242</v>
      </c>
      <c r="D27" s="299">
        <f>'DB EEG'!D180</f>
        <v>5.0000000000000002E-5</v>
      </c>
      <c r="E27" s="11">
        <v>2</v>
      </c>
      <c r="F27" s="160">
        <v>50</v>
      </c>
      <c r="G27" s="12">
        <f t="shared" si="13"/>
        <v>2.5000000000000001E-5</v>
      </c>
      <c r="H27" s="11">
        <v>1</v>
      </c>
      <c r="I27" s="7" t="str">
        <f t="shared" si="14"/>
        <v>Hz</v>
      </c>
      <c r="J27" s="12">
        <f t="shared" si="15"/>
        <v>2.5000000000000001E-5</v>
      </c>
      <c r="K27" s="8">
        <f t="shared" si="16"/>
        <v>6.2500000000000001E-10</v>
      </c>
      <c r="L27" s="8">
        <f t="shared" si="17"/>
        <v>7.8125000000000006E-21</v>
      </c>
      <c r="N27" s="33" t="s">
        <v>255</v>
      </c>
      <c r="O27" s="7" t="str">
        <f t="shared" si="18"/>
        <v>Hz</v>
      </c>
      <c r="P27" s="7" t="s">
        <v>247</v>
      </c>
      <c r="Q27" s="12">
        <f>'DB EEG'!C183</f>
        <v>2.8445000000000007E-3</v>
      </c>
      <c r="R27" s="11">
        <f>SQRT(3)</f>
        <v>1.7320508075688772</v>
      </c>
      <c r="S27" s="160">
        <v>50</v>
      </c>
      <c r="T27" s="12">
        <f t="shared" si="19"/>
        <v>1.642272840709891E-3</v>
      </c>
      <c r="U27" s="11">
        <v>1</v>
      </c>
      <c r="V27" s="7" t="str">
        <f t="shared" si="20"/>
        <v>Hz</v>
      </c>
      <c r="W27" s="12">
        <f t="shared" si="21"/>
        <v>1.642272840709891E-3</v>
      </c>
      <c r="X27" s="8">
        <f t="shared" si="22"/>
        <v>2.6970600833333351E-6</v>
      </c>
      <c r="Y27" s="34">
        <f t="shared" si="23"/>
        <v>1.4548266186220033E-13</v>
      </c>
      <c r="AA27" s="282"/>
      <c r="AB27" s="283"/>
      <c r="AC27" s="283"/>
      <c r="AD27" s="283"/>
      <c r="AV27" s="97"/>
      <c r="AW27" s="277"/>
      <c r="AX27" s="233"/>
      <c r="AY27" s="277"/>
      <c r="AZ27" s="277"/>
      <c r="BA27" s="94"/>
    </row>
    <row r="28" spans="1:53" ht="13.75" customHeight="1" x14ac:dyDescent="0.3">
      <c r="A28" s="36" t="s">
        <v>257</v>
      </c>
      <c r="B28" s="13"/>
      <c r="C28" s="13"/>
      <c r="D28" s="13"/>
      <c r="E28" s="14"/>
      <c r="F28" s="13"/>
      <c r="G28" s="13"/>
      <c r="H28" s="13"/>
      <c r="I28" s="13"/>
      <c r="J28" s="13"/>
      <c r="K28" s="50">
        <f>SUM(K22:K27)</f>
        <v>8.3372584166666663E-6</v>
      </c>
      <c r="L28" s="4">
        <f>SUM(L22:L27)</f>
        <v>1.3888891145123891E-12</v>
      </c>
      <c r="N28" s="35" t="s">
        <v>256</v>
      </c>
      <c r="O28" s="7" t="str">
        <f t="shared" si="18"/>
        <v>Hz</v>
      </c>
      <c r="P28" s="7" t="s">
        <v>242</v>
      </c>
      <c r="Q28" s="299">
        <f>'DB EEG'!D183</f>
        <v>5.0000000000000002E-5</v>
      </c>
      <c r="R28" s="11">
        <v>2</v>
      </c>
      <c r="S28" s="160">
        <v>50</v>
      </c>
      <c r="T28" s="12">
        <f t="shared" si="19"/>
        <v>2.5000000000000001E-5</v>
      </c>
      <c r="U28" s="11">
        <v>1</v>
      </c>
      <c r="V28" s="7" t="str">
        <f t="shared" si="20"/>
        <v>Hz</v>
      </c>
      <c r="W28" s="12">
        <f t="shared" si="21"/>
        <v>2.5000000000000001E-5</v>
      </c>
      <c r="X28" s="8">
        <f t="shared" si="22"/>
        <v>6.2500000000000001E-10</v>
      </c>
      <c r="Y28" s="34">
        <f t="shared" si="23"/>
        <v>7.8125000000000006E-21</v>
      </c>
      <c r="AA28" s="1133"/>
      <c r="AB28" s="1133"/>
      <c r="AC28" s="1133"/>
      <c r="AD28" s="1133"/>
      <c r="AE28" s="1132"/>
      <c r="AV28" s="97"/>
      <c r="AW28" s="277"/>
      <c r="AX28" s="233"/>
      <c r="AY28" s="277"/>
      <c r="AZ28" s="277"/>
      <c r="BA28" s="13"/>
    </row>
    <row r="29" spans="1:53" ht="13.75" customHeight="1" x14ac:dyDescent="0.45">
      <c r="A29" s="37" t="s">
        <v>258</v>
      </c>
      <c r="B29" s="16"/>
      <c r="C29" s="16"/>
      <c r="D29" s="16"/>
      <c r="E29" s="17"/>
      <c r="F29" s="16"/>
      <c r="G29" s="51" t="s">
        <v>259</v>
      </c>
      <c r="H29" s="16"/>
      <c r="I29" s="16"/>
      <c r="J29" s="16"/>
      <c r="K29" s="18">
        <f>SQRT(K28)</f>
        <v>2.8874311102893287E-3</v>
      </c>
      <c r="L29" s="19"/>
      <c r="N29" s="10"/>
      <c r="O29" s="7"/>
      <c r="P29" s="7"/>
      <c r="Q29" s="7"/>
      <c r="R29" s="11"/>
      <c r="S29" s="7"/>
      <c r="T29" s="12"/>
      <c r="U29" s="7"/>
      <c r="V29" s="12"/>
      <c r="W29" s="8"/>
      <c r="X29" s="8"/>
      <c r="Y29" s="194"/>
      <c r="AA29" s="296"/>
      <c r="AB29" s="1133"/>
      <c r="AC29" s="1133"/>
      <c r="AD29" s="1133"/>
      <c r="AE29" s="1132"/>
      <c r="AV29" s="97"/>
      <c r="AW29" s="277"/>
      <c r="AX29" s="233"/>
      <c r="AY29" s="277"/>
      <c r="AZ29" s="277"/>
      <c r="BA29" s="94"/>
    </row>
    <row r="30" spans="1:53" ht="13.75" customHeight="1" x14ac:dyDescent="0.45">
      <c r="A30" s="36" t="s">
        <v>260</v>
      </c>
      <c r="B30" s="20"/>
      <c r="C30" s="20"/>
      <c r="D30" s="20"/>
      <c r="E30" s="21"/>
      <c r="F30" s="20"/>
      <c r="G30" s="52" t="s">
        <v>261</v>
      </c>
      <c r="H30" s="20"/>
      <c r="I30" s="20"/>
      <c r="J30" s="20"/>
      <c r="K30" s="26">
        <f>K29^4/(L28)</f>
        <v>50.047103962422987</v>
      </c>
      <c r="L30" s="22"/>
      <c r="N30" s="184" t="s">
        <v>257</v>
      </c>
      <c r="O30" s="187"/>
      <c r="P30" s="187"/>
      <c r="Q30" s="187"/>
      <c r="R30" s="188"/>
      <c r="S30" s="187"/>
      <c r="T30" s="187"/>
      <c r="U30" s="187"/>
      <c r="V30" s="187"/>
      <c r="W30" s="189"/>
      <c r="X30" s="50">
        <f>SUM(X23:X28)</f>
        <v>1.1031018416666668E-5</v>
      </c>
      <c r="Y30" s="53">
        <f>SUM(Y23:Y28)</f>
        <v>1.5343715585635894E-12</v>
      </c>
      <c r="AA30" s="296"/>
      <c r="AB30" s="296"/>
      <c r="AC30" s="296"/>
      <c r="AD30" s="1133"/>
      <c r="AE30" s="1132"/>
      <c r="AV30" s="97"/>
      <c r="AW30" s="277"/>
      <c r="AX30" s="233"/>
      <c r="AY30" s="277"/>
      <c r="AZ30" s="277"/>
      <c r="BA30" s="95"/>
    </row>
    <row r="31" spans="1:53" ht="13.75" customHeight="1" x14ac:dyDescent="0.45">
      <c r="A31" s="37" t="s">
        <v>263</v>
      </c>
      <c r="B31" s="16"/>
      <c r="C31" s="16"/>
      <c r="D31" s="16"/>
      <c r="E31" s="17"/>
      <c r="F31" s="16"/>
      <c r="G31" s="54" t="s">
        <v>264</v>
      </c>
      <c r="H31" s="16"/>
      <c r="I31" s="16"/>
      <c r="J31" s="16"/>
      <c r="K31" s="55">
        <f>1.95996+(2.37356/K30)+(2.818745/K30^2)+(2.546662/K30^3)+(1.761829/K30^4)+(0.245458/K30^5)+(1.000764/K30^6)</f>
        <v>2.0085324945754355</v>
      </c>
      <c r="L31" s="19"/>
      <c r="N31" s="15" t="s">
        <v>258</v>
      </c>
      <c r="O31" s="16"/>
      <c r="P31" s="16"/>
      <c r="Q31" s="16"/>
      <c r="R31" s="17"/>
      <c r="S31" s="16"/>
      <c r="T31" s="51" t="s">
        <v>259</v>
      </c>
      <c r="U31" s="16"/>
      <c r="V31" s="16"/>
      <c r="W31" s="185"/>
      <c r="X31" s="18">
        <f>SQRT(X30)</f>
        <v>3.3212977006987295E-3</v>
      </c>
      <c r="Y31" s="39"/>
      <c r="AA31" s="282"/>
      <c r="AB31" s="283"/>
      <c r="AC31" s="283"/>
      <c r="AD31" s="283"/>
      <c r="AE31" s="283"/>
      <c r="BA31" s="94"/>
    </row>
    <row r="32" spans="1:53" ht="13.75" customHeight="1" x14ac:dyDescent="0.45">
      <c r="A32" s="38" t="s">
        <v>265</v>
      </c>
      <c r="B32" s="23"/>
      <c r="C32" s="23"/>
      <c r="D32" s="23"/>
      <c r="E32" s="24"/>
      <c r="F32" s="23"/>
      <c r="G32" s="56" t="s">
        <v>266</v>
      </c>
      <c r="H32" s="23"/>
      <c r="I32" s="23"/>
      <c r="J32" s="23"/>
      <c r="K32" s="43">
        <f>K29*K31</f>
        <v>5.7994992108641443E-3</v>
      </c>
      <c r="L32" s="25" t="str">
        <f>B6</f>
        <v>Hz</v>
      </c>
      <c r="N32" s="15" t="s">
        <v>260</v>
      </c>
      <c r="O32" s="16"/>
      <c r="P32" s="16"/>
      <c r="Q32" s="16"/>
      <c r="R32" s="17"/>
      <c r="S32" s="16"/>
      <c r="T32" s="186" t="s">
        <v>261</v>
      </c>
      <c r="U32" s="16"/>
      <c r="V32" s="16"/>
      <c r="W32" s="185"/>
      <c r="X32" s="26">
        <f>X31^4/(Y30)</f>
        <v>79.305020110483369</v>
      </c>
      <c r="Y32" s="40"/>
      <c r="AA32" s="282"/>
      <c r="AB32" s="283"/>
      <c r="AC32" s="283"/>
      <c r="AD32" s="283"/>
      <c r="AE32" s="284"/>
      <c r="AV32" s="1132"/>
      <c r="AW32" s="1132"/>
      <c r="AX32" s="1140"/>
      <c r="AY32" s="1140"/>
      <c r="AZ32" s="1142"/>
      <c r="BA32" s="13"/>
    </row>
    <row r="33" spans="1:68" ht="13.75" customHeight="1" x14ac:dyDescent="0.35">
      <c r="A33" s="45"/>
      <c r="K33" s="256">
        <f>(ABS(K32)/4)*100</f>
        <v>0.1449874802716036</v>
      </c>
      <c r="L33" s="41" t="s">
        <v>267</v>
      </c>
      <c r="N33" s="15" t="s">
        <v>263</v>
      </c>
      <c r="O33" s="16"/>
      <c r="P33" s="16"/>
      <c r="Q33" s="16"/>
      <c r="R33" s="17"/>
      <c r="S33" s="16"/>
      <c r="T33" s="54" t="s">
        <v>264</v>
      </c>
      <c r="U33" s="16"/>
      <c r="V33" s="16"/>
      <c r="W33" s="185"/>
      <c r="X33" s="55">
        <f>1.95996+(2.37356/X32)+(2.818745/X32^2)+(2.546662/X32^3)+(1.761829/X32^4)+(0.245458/X32^5)+(1.000764/X32^6)</f>
        <v>1.990342837559105</v>
      </c>
      <c r="Y33" s="39"/>
      <c r="AA33" s="282"/>
      <c r="AB33" s="283"/>
      <c r="AC33" s="283"/>
      <c r="AD33" s="283"/>
      <c r="AE33" s="284"/>
      <c r="AV33" s="1132"/>
      <c r="AW33" s="1132"/>
      <c r="AX33" s="1140"/>
      <c r="AY33" s="1140"/>
      <c r="AZ33" s="1142"/>
      <c r="BA33" s="94"/>
    </row>
    <row r="34" spans="1:68" ht="13.75" customHeight="1" x14ac:dyDescent="0.3">
      <c r="A34" s="47">
        <f>ID!E44</f>
        <v>5</v>
      </c>
      <c r="B34" t="str">
        <f>B20</f>
        <v>Hz</v>
      </c>
      <c r="N34" s="15" t="s">
        <v>265</v>
      </c>
      <c r="O34" s="16"/>
      <c r="P34" s="16"/>
      <c r="Q34" s="16"/>
      <c r="R34" s="17"/>
      <c r="S34" s="16"/>
      <c r="T34" s="54" t="s">
        <v>266</v>
      </c>
      <c r="U34" s="16"/>
      <c r="V34" s="16"/>
      <c r="W34" s="185"/>
      <c r="X34" s="44">
        <f>X31*X33</f>
        <v>6.6105210899872402E-3</v>
      </c>
      <c r="Y34" s="42" t="str">
        <f>B6</f>
        <v>Hz</v>
      </c>
      <c r="AA34" s="282"/>
      <c r="AB34" s="283"/>
      <c r="AC34" s="283"/>
      <c r="AD34" s="283"/>
      <c r="AE34" s="284"/>
      <c r="AV34" s="1132"/>
      <c r="AW34" s="1132"/>
      <c r="AX34" s="1140"/>
      <c r="AY34" s="1140"/>
      <c r="AZ34" s="1142"/>
      <c r="BA34" s="95"/>
    </row>
    <row r="35" spans="1:68" ht="13.75" customHeight="1" x14ac:dyDescent="0.3">
      <c r="A35" s="48" t="s">
        <v>227</v>
      </c>
      <c r="B35" s="181" t="s">
        <v>228</v>
      </c>
      <c r="C35" s="181" t="s">
        <v>229</v>
      </c>
      <c r="D35" s="181" t="s">
        <v>230</v>
      </c>
      <c r="E35" s="49" t="s">
        <v>231</v>
      </c>
      <c r="F35" s="181" t="s">
        <v>232</v>
      </c>
      <c r="G35" s="182" t="s">
        <v>233</v>
      </c>
      <c r="H35" s="1137" t="s">
        <v>234</v>
      </c>
      <c r="I35" s="1138"/>
      <c r="J35" s="182" t="s">
        <v>235</v>
      </c>
      <c r="K35" s="181" t="s">
        <v>236</v>
      </c>
      <c r="L35" s="183" t="s">
        <v>237</v>
      </c>
      <c r="W35" s="99"/>
      <c r="X35" s="258">
        <f>ABS(X34)/60*100</f>
        <v>1.1017535149978733E-2</v>
      </c>
      <c r="Y35" s="41" t="s">
        <v>267</v>
      </c>
      <c r="AA35" s="282"/>
      <c r="AB35" s="283"/>
      <c r="AC35" s="283"/>
      <c r="AD35" s="283"/>
      <c r="AE35" s="284"/>
      <c r="AV35" s="275"/>
      <c r="AW35" s="275"/>
      <c r="AX35" s="233"/>
      <c r="AY35" s="274"/>
      <c r="AZ35" s="274"/>
      <c r="BA35" s="94"/>
    </row>
    <row r="36" spans="1:68" ht="13.75" customHeight="1" x14ac:dyDescent="0.3">
      <c r="A36" s="31" t="s">
        <v>241</v>
      </c>
      <c r="B36" s="7" t="str">
        <f t="shared" ref="B36:B41" si="24">$B$6</f>
        <v>Hz</v>
      </c>
      <c r="C36" s="1" t="s">
        <v>242</v>
      </c>
      <c r="D36" s="29">
        <f>ID!O44</f>
        <v>0</v>
      </c>
      <c r="E36" s="2">
        <f>SQRT(6)</f>
        <v>2.4494897427831779</v>
      </c>
      <c r="F36" s="7">
        <v>4</v>
      </c>
      <c r="G36" s="3">
        <f t="shared" ref="G36:G41" si="25">D36/E36</f>
        <v>0</v>
      </c>
      <c r="H36" s="11">
        <f>H22</f>
        <v>1</v>
      </c>
      <c r="I36" s="7" t="str">
        <f t="shared" ref="I36:I41" si="26">$B$6</f>
        <v>Hz</v>
      </c>
      <c r="J36" s="3">
        <f t="shared" ref="J36:J41" si="27">G36*H36</f>
        <v>0</v>
      </c>
      <c r="K36" s="4">
        <f t="shared" ref="K36:K41" si="28">J36^2</f>
        <v>0</v>
      </c>
      <c r="L36" s="5">
        <f t="shared" ref="L36:L41" si="29">J36^4/F36</f>
        <v>0</v>
      </c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195"/>
      <c r="AA36" s="282"/>
      <c r="AB36" s="283"/>
      <c r="AC36" s="283"/>
      <c r="AD36" s="283"/>
      <c r="AE36" s="284"/>
      <c r="AV36" s="275"/>
      <c r="AW36" s="275"/>
      <c r="AX36" s="233"/>
      <c r="AY36" s="274"/>
      <c r="AZ36" s="274"/>
      <c r="BA36" s="13"/>
    </row>
    <row r="37" spans="1:68" ht="13.75" customHeight="1" x14ac:dyDescent="0.3">
      <c r="A37" s="32" t="s">
        <v>246</v>
      </c>
      <c r="B37" s="7" t="str">
        <f t="shared" si="24"/>
        <v>Hz</v>
      </c>
      <c r="C37" s="7" t="s">
        <v>247</v>
      </c>
      <c r="D37" s="30">
        <f>0.5*ID!E7</f>
        <v>5.0000000000000001E-3</v>
      </c>
      <c r="E37" s="28">
        <f>SQRT(3)</f>
        <v>1.7320508075688772</v>
      </c>
      <c r="F37" s="160">
        <v>50</v>
      </c>
      <c r="G37" s="6">
        <f t="shared" si="25"/>
        <v>2.886751345948129E-3</v>
      </c>
      <c r="H37" s="11">
        <f>H23</f>
        <v>1</v>
      </c>
      <c r="I37" s="7" t="str">
        <f t="shared" si="26"/>
        <v>Hz</v>
      </c>
      <c r="J37" s="6">
        <f t="shared" si="27"/>
        <v>2.886751345948129E-3</v>
      </c>
      <c r="K37" s="8">
        <f t="shared" si="28"/>
        <v>8.3333333333333337E-6</v>
      </c>
      <c r="L37" s="9">
        <f t="shared" si="29"/>
        <v>1.3888888888888891E-12</v>
      </c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195"/>
      <c r="AA37" s="282"/>
      <c r="AB37" s="283"/>
      <c r="AC37" s="283"/>
      <c r="AD37" s="283"/>
      <c r="AE37" s="284"/>
      <c r="AV37" s="275"/>
      <c r="AW37" s="275"/>
      <c r="AX37" s="233"/>
      <c r="AY37" s="274"/>
      <c r="AZ37" s="274"/>
      <c r="BA37" s="94"/>
    </row>
    <row r="38" spans="1:68" ht="13.75" customHeight="1" x14ac:dyDescent="0.3">
      <c r="A38" s="236" t="s">
        <v>253</v>
      </c>
      <c r="B38" s="237" t="str">
        <f t="shared" si="24"/>
        <v>Hz</v>
      </c>
      <c r="C38" s="237" t="s">
        <v>247</v>
      </c>
      <c r="D38" s="238">
        <v>0</v>
      </c>
      <c r="E38" s="238">
        <f>SQRT(3)</f>
        <v>1.7320508075688772</v>
      </c>
      <c r="F38" s="239">
        <v>50</v>
      </c>
      <c r="G38" s="240">
        <f t="shared" si="25"/>
        <v>0</v>
      </c>
      <c r="H38" s="238">
        <v>1</v>
      </c>
      <c r="I38" s="237" t="str">
        <f t="shared" si="26"/>
        <v>Hz</v>
      </c>
      <c r="J38" s="240">
        <f t="shared" si="27"/>
        <v>0</v>
      </c>
      <c r="K38" s="241">
        <f t="shared" si="28"/>
        <v>0</v>
      </c>
      <c r="L38" s="241">
        <f t="shared" si="29"/>
        <v>0</v>
      </c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195"/>
      <c r="AA38" s="282"/>
      <c r="AB38" s="283"/>
      <c r="AC38" s="283"/>
      <c r="AD38" s="283"/>
      <c r="AE38" s="284"/>
      <c r="AV38" s="275"/>
      <c r="AW38" s="275"/>
      <c r="AX38" s="233"/>
      <c r="AY38" s="274"/>
      <c r="AZ38" s="274"/>
      <c r="BA38" s="94"/>
    </row>
    <row r="39" spans="1:68" ht="13.75" customHeight="1" x14ac:dyDescent="0.3">
      <c r="A39" s="252" t="s">
        <v>254</v>
      </c>
      <c r="B39" s="237" t="str">
        <f t="shared" si="24"/>
        <v>Hz</v>
      </c>
      <c r="C39" s="237" t="s">
        <v>242</v>
      </c>
      <c r="D39" s="253">
        <v>0</v>
      </c>
      <c r="E39" s="254">
        <v>2</v>
      </c>
      <c r="F39" s="239">
        <v>50</v>
      </c>
      <c r="G39" s="255">
        <f t="shared" si="25"/>
        <v>0</v>
      </c>
      <c r="H39" s="238">
        <v>1</v>
      </c>
      <c r="I39" s="237" t="str">
        <f t="shared" si="26"/>
        <v>Hz</v>
      </c>
      <c r="J39" s="255">
        <f t="shared" si="27"/>
        <v>0</v>
      </c>
      <c r="K39" s="241">
        <f t="shared" si="28"/>
        <v>0</v>
      </c>
      <c r="L39" s="241">
        <f t="shared" si="29"/>
        <v>0</v>
      </c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195"/>
      <c r="AA39" s="282"/>
      <c r="AB39" s="283"/>
      <c r="AC39" s="283"/>
      <c r="AD39" s="283"/>
      <c r="AE39" s="284"/>
      <c r="AV39" s="275"/>
      <c r="AW39" s="275"/>
      <c r="AX39" s="233"/>
      <c r="AY39" s="274"/>
      <c r="AZ39" s="274"/>
      <c r="BA39" s="94"/>
    </row>
    <row r="40" spans="1:68" ht="13.75" customHeight="1" x14ac:dyDescent="0.3">
      <c r="A40" s="33" t="s">
        <v>255</v>
      </c>
      <c r="B40" s="7" t="str">
        <f t="shared" si="24"/>
        <v>Hz</v>
      </c>
      <c r="C40" s="7" t="s">
        <v>247</v>
      </c>
      <c r="D40" s="12">
        <f>'DB EEG'!C181</f>
        <v>2.5100000000000084E-4</v>
      </c>
      <c r="E40" s="11">
        <f>SQRT(3)</f>
        <v>1.7320508075688772</v>
      </c>
      <c r="F40" s="160">
        <v>50</v>
      </c>
      <c r="G40" s="12">
        <f t="shared" si="25"/>
        <v>1.4491491756659657E-4</v>
      </c>
      <c r="H40" s="11">
        <v>1</v>
      </c>
      <c r="I40" s="7" t="str">
        <f t="shared" si="26"/>
        <v>Hz</v>
      </c>
      <c r="J40" s="12">
        <f t="shared" si="27"/>
        <v>1.4491491756659657E-4</v>
      </c>
      <c r="K40" s="8">
        <f t="shared" si="28"/>
        <v>2.1000333333333481E-8</v>
      </c>
      <c r="L40" s="8">
        <f t="shared" si="29"/>
        <v>8.8202800022223472E-18</v>
      </c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195"/>
      <c r="AA40" s="282"/>
      <c r="AB40" s="283"/>
      <c r="AC40" s="283"/>
      <c r="AD40" s="283"/>
      <c r="AE40" s="284"/>
      <c r="AV40" s="275"/>
      <c r="AW40" s="275"/>
      <c r="AX40" s="233"/>
      <c r="AY40" s="274"/>
      <c r="AZ40" s="274"/>
      <c r="BA40" s="94"/>
    </row>
    <row r="41" spans="1:68" ht="13.75" customHeight="1" x14ac:dyDescent="0.3">
      <c r="A41" s="35" t="s">
        <v>256</v>
      </c>
      <c r="B41" s="7" t="str">
        <f t="shared" si="24"/>
        <v>Hz</v>
      </c>
      <c r="C41" s="7" t="s">
        <v>242</v>
      </c>
      <c r="D41" s="299">
        <f>'DB EEG'!D181</f>
        <v>5.0000000000000002E-5</v>
      </c>
      <c r="E41" s="11">
        <v>2</v>
      </c>
      <c r="F41" s="160">
        <v>50</v>
      </c>
      <c r="G41" s="12">
        <f t="shared" si="25"/>
        <v>2.5000000000000001E-5</v>
      </c>
      <c r="H41" s="11">
        <v>1</v>
      </c>
      <c r="I41" s="7" t="str">
        <f t="shared" si="26"/>
        <v>Hz</v>
      </c>
      <c r="J41" s="12">
        <f t="shared" si="27"/>
        <v>2.5000000000000001E-5</v>
      </c>
      <c r="K41" s="8">
        <f t="shared" si="28"/>
        <v>6.2500000000000001E-10</v>
      </c>
      <c r="L41" s="8">
        <f t="shared" si="29"/>
        <v>7.8125000000000006E-21</v>
      </c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195"/>
      <c r="AA41" s="282"/>
      <c r="AB41" s="283"/>
      <c r="AC41" s="283"/>
      <c r="AD41" s="283"/>
      <c r="AE41" s="284"/>
      <c r="AV41" s="275"/>
      <c r="AW41" s="275"/>
      <c r="AX41" s="233"/>
      <c r="AY41" s="274"/>
      <c r="AZ41" s="274"/>
      <c r="BA41" s="94"/>
    </row>
    <row r="42" spans="1:68" ht="13.75" customHeight="1" x14ac:dyDescent="0.3">
      <c r="A42" s="36" t="s">
        <v>257</v>
      </c>
      <c r="B42" s="13"/>
      <c r="C42" s="13"/>
      <c r="D42" s="13"/>
      <c r="E42" s="14"/>
      <c r="F42" s="13"/>
      <c r="G42" s="13"/>
      <c r="H42" s="13"/>
      <c r="I42" s="13"/>
      <c r="J42" s="13"/>
      <c r="K42" s="50">
        <f>SUM(K36:K41)</f>
        <v>8.3549586666666668E-6</v>
      </c>
      <c r="L42" s="4">
        <f>SUM(L36:L41)</f>
        <v>1.3888977169813913E-12</v>
      </c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195"/>
      <c r="Z42" s="65"/>
      <c r="AV42" s="275"/>
      <c r="AW42" s="275"/>
      <c r="AX42" s="280"/>
      <c r="AY42" s="274"/>
      <c r="AZ42" s="274"/>
      <c r="BA42" s="95"/>
    </row>
    <row r="43" spans="1:68" ht="13.75" customHeight="1" x14ac:dyDescent="0.45">
      <c r="A43" s="37" t="s">
        <v>258</v>
      </c>
      <c r="B43" s="16"/>
      <c r="C43" s="16"/>
      <c r="D43" s="16"/>
      <c r="E43" s="17"/>
      <c r="F43" s="16"/>
      <c r="G43" s="51" t="s">
        <v>259</v>
      </c>
      <c r="H43" s="16"/>
      <c r="I43" s="16"/>
      <c r="J43" s="16"/>
      <c r="K43" s="18">
        <f>SQRT(K42)</f>
        <v>2.8904945366955231E-3</v>
      </c>
      <c r="L43" s="19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195"/>
      <c r="Z43" s="65"/>
      <c r="AV43" s="94"/>
      <c r="AW43" s="94"/>
      <c r="AX43" s="94"/>
      <c r="AY43" s="94"/>
      <c r="AZ43" s="94"/>
      <c r="BA43" s="94"/>
    </row>
    <row r="44" spans="1:68" ht="13.75" customHeight="1" x14ac:dyDescent="0.45">
      <c r="A44" s="36" t="s">
        <v>260</v>
      </c>
      <c r="B44" s="20"/>
      <c r="C44" s="20"/>
      <c r="D44" s="20"/>
      <c r="E44" s="21"/>
      <c r="F44" s="20"/>
      <c r="G44" s="52" t="s">
        <v>261</v>
      </c>
      <c r="H44" s="20"/>
      <c r="I44" s="20"/>
      <c r="J44" s="20"/>
      <c r="K44" s="26">
        <f>K43^4/(L42)</f>
        <v>50.25952125072412</v>
      </c>
      <c r="L44" s="22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195"/>
      <c r="Z44" s="65"/>
      <c r="AC44" s="1127"/>
      <c r="AD44" s="1127"/>
      <c r="AE44" s="1127"/>
      <c r="AF44" s="1127"/>
      <c r="AV44" s="13"/>
      <c r="AW44" s="13"/>
      <c r="AX44" s="13"/>
      <c r="AY44" s="13"/>
      <c r="AZ44" s="13"/>
      <c r="BA44" s="13"/>
      <c r="BP44" s="95"/>
    </row>
    <row r="45" spans="1:68" ht="13.75" customHeight="1" x14ac:dyDescent="0.35">
      <c r="A45" s="37" t="s">
        <v>263</v>
      </c>
      <c r="B45" s="16"/>
      <c r="C45" s="16"/>
      <c r="D45" s="16"/>
      <c r="E45" s="17"/>
      <c r="F45" s="16"/>
      <c r="G45" s="54" t="s">
        <v>264</v>
      </c>
      <c r="H45" s="16"/>
      <c r="I45" s="16"/>
      <c r="J45" s="16"/>
      <c r="K45" s="55">
        <f>1.95996+(2.37356/K44)+(2.818745/K44^2)+(2.546662/K44^3)+(1.761829/K44^4)+(0.245458/K44^5)+(1.000764/K44^6)</f>
        <v>2.0083222969680778</v>
      </c>
      <c r="L45" s="19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195"/>
      <c r="AC45" s="94"/>
      <c r="AD45" s="94"/>
      <c r="AE45" s="94"/>
      <c r="AF45" s="94"/>
      <c r="AV45" s="94"/>
      <c r="AW45" s="94"/>
      <c r="AX45" s="94"/>
      <c r="AY45" s="94"/>
      <c r="AZ45" s="94"/>
      <c r="BA45" s="94"/>
      <c r="BP45" s="96"/>
    </row>
    <row r="46" spans="1:68" ht="13.75" customHeight="1" x14ac:dyDescent="0.3">
      <c r="A46" s="38" t="s">
        <v>265</v>
      </c>
      <c r="B46" s="23"/>
      <c r="C46" s="23"/>
      <c r="D46" s="23"/>
      <c r="E46" s="24"/>
      <c r="F46" s="23"/>
      <c r="G46" s="56" t="s">
        <v>266</v>
      </c>
      <c r="H46" s="23"/>
      <c r="I46" s="23"/>
      <c r="J46" s="23"/>
      <c r="K46" s="43">
        <f>K43*K45</f>
        <v>5.8050446273100326E-3</v>
      </c>
      <c r="L46" s="25" t="str">
        <f>B20</f>
        <v>Hz</v>
      </c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195"/>
      <c r="AC46" s="95"/>
      <c r="AD46" s="94"/>
      <c r="AE46" s="95"/>
      <c r="AF46" s="95"/>
      <c r="AV46" s="95"/>
      <c r="AW46" s="95"/>
      <c r="AX46" s="95"/>
      <c r="AY46" s="94"/>
      <c r="AZ46" s="95"/>
      <c r="BA46" s="95"/>
      <c r="BM46" s="94"/>
      <c r="BN46" s="94"/>
      <c r="BO46" s="94"/>
      <c r="BP46" s="96"/>
    </row>
    <row r="47" spans="1:68" ht="13.75" customHeight="1" x14ac:dyDescent="0.3">
      <c r="A47" s="45"/>
      <c r="K47" s="256">
        <f>(ABS(K46)/4)*100</f>
        <v>0.1451261156827508</v>
      </c>
      <c r="L47" s="41" t="s">
        <v>267</v>
      </c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195"/>
      <c r="AC47" s="94"/>
      <c r="AD47" s="94"/>
      <c r="AE47" s="94"/>
      <c r="AF47" s="94"/>
      <c r="AV47" s="94"/>
      <c r="AW47" s="94"/>
      <c r="AX47" s="94"/>
      <c r="AY47" s="94"/>
      <c r="AZ47" s="94"/>
      <c r="BA47" s="94"/>
      <c r="BM47" s="95"/>
      <c r="BN47" s="94"/>
      <c r="BO47" s="95"/>
      <c r="BP47" s="95"/>
    </row>
    <row r="48" spans="1:68" ht="13.75" customHeight="1" x14ac:dyDescent="0.25">
      <c r="AC48" s="94"/>
      <c r="AD48" s="94"/>
      <c r="AE48" s="94"/>
      <c r="AF48" s="94"/>
      <c r="BA48" s="46"/>
      <c r="BM48" s="94"/>
      <c r="BN48" s="94"/>
      <c r="BO48" s="94"/>
      <c r="BP48" s="96"/>
    </row>
    <row r="49" spans="26:61" ht="13.75" customHeight="1" x14ac:dyDescent="0.25">
      <c r="AC49" s="95"/>
      <c r="AD49" s="94"/>
      <c r="AE49" s="95"/>
      <c r="AF49" s="95"/>
      <c r="BA49" s="46"/>
      <c r="BI49" s="97"/>
    </row>
    <row r="50" spans="26:61" ht="13.75" customHeight="1" x14ac:dyDescent="0.25">
      <c r="AC50" s="94"/>
      <c r="AD50" s="94"/>
      <c r="AE50" s="94"/>
      <c r="AF50" s="94"/>
      <c r="AH50" s="94"/>
      <c r="AI50" s="94"/>
      <c r="AJ50" s="94"/>
      <c r="AK50" s="94"/>
      <c r="AM50" s="94"/>
      <c r="AN50" s="94"/>
      <c r="AO50" s="94"/>
      <c r="AP50" s="94"/>
      <c r="BA50" s="46"/>
      <c r="BI50" s="97"/>
    </row>
    <row r="51" spans="26:61" ht="13.75" customHeight="1" x14ac:dyDescent="0.25">
      <c r="AC51" s="94"/>
      <c r="AD51" s="94"/>
      <c r="AE51" s="94"/>
      <c r="AF51" s="94"/>
      <c r="AH51" s="94"/>
      <c r="AI51" s="94"/>
      <c r="AJ51" s="94"/>
      <c r="AK51" s="94"/>
      <c r="AM51" s="94"/>
      <c r="AN51" s="94"/>
      <c r="AO51" s="94"/>
      <c r="AP51" s="94"/>
      <c r="BI51" s="97"/>
    </row>
    <row r="52" spans="26:61" ht="13.75" customHeight="1" x14ac:dyDescent="0.25">
      <c r="AC52" s="95"/>
      <c r="AD52" s="94"/>
      <c r="AE52" s="95"/>
      <c r="AF52" s="95"/>
      <c r="AH52" s="95"/>
      <c r="AI52" s="94"/>
      <c r="AJ52" s="95"/>
      <c r="AK52" s="95"/>
      <c r="AM52" s="95"/>
      <c r="AN52" s="94"/>
      <c r="AO52" s="95"/>
      <c r="AP52" s="95"/>
      <c r="BI52" s="97"/>
    </row>
    <row r="53" spans="26:61" ht="13.75" customHeight="1" x14ac:dyDescent="0.25">
      <c r="Z53" s="65"/>
      <c r="AC53" s="94"/>
      <c r="AD53" s="94"/>
      <c r="AE53" s="94"/>
      <c r="AF53" s="94"/>
      <c r="AH53" s="94"/>
      <c r="AI53" s="94"/>
      <c r="AJ53" s="94"/>
      <c r="AK53" s="94"/>
      <c r="AM53" s="94"/>
      <c r="AN53" s="94"/>
      <c r="AO53" s="94"/>
      <c r="AP53" s="94"/>
    </row>
    <row r="54" spans="26:61" ht="13.75" customHeight="1" x14ac:dyDescent="0.3">
      <c r="AR54" s="13"/>
      <c r="AS54" s="13"/>
      <c r="AT54" s="13"/>
    </row>
    <row r="55" spans="26:61" ht="13.75" customHeight="1" x14ac:dyDescent="0.3">
      <c r="AR55" s="13"/>
      <c r="AS55" s="13"/>
      <c r="AT55" s="13"/>
    </row>
    <row r="56" spans="26:61" ht="13.75" customHeight="1" x14ac:dyDescent="0.3">
      <c r="AR56" s="13"/>
      <c r="AS56" s="13"/>
      <c r="AT56" s="13"/>
    </row>
    <row r="57" spans="26:61" ht="13.75" customHeight="1" x14ac:dyDescent="0.3">
      <c r="Z57" s="65"/>
      <c r="AR57" s="13"/>
      <c r="AS57" s="13"/>
      <c r="AT57" s="13"/>
    </row>
    <row r="58" spans="26:61" ht="13.75" customHeight="1" x14ac:dyDescent="0.3">
      <c r="Z58" s="65"/>
      <c r="AC58" s="1127"/>
      <c r="AD58" s="1127"/>
      <c r="AE58" s="1127"/>
      <c r="AF58" s="1127"/>
      <c r="AH58" s="1127"/>
      <c r="AI58" s="1127"/>
      <c r="AJ58" s="1127"/>
      <c r="AK58" s="1127"/>
      <c r="AM58" s="1127"/>
      <c r="AN58" s="1127"/>
      <c r="AO58" s="1127"/>
      <c r="AP58" s="1127"/>
      <c r="AR58" s="13"/>
      <c r="AS58" s="13"/>
      <c r="AT58" s="13"/>
    </row>
    <row r="59" spans="26:61" ht="13.75" customHeight="1" x14ac:dyDescent="0.3">
      <c r="AC59" s="94"/>
      <c r="AD59" s="94"/>
      <c r="AE59" s="94"/>
      <c r="AF59" s="94"/>
      <c r="AH59" s="94"/>
      <c r="AI59" s="94"/>
      <c r="AJ59" s="94"/>
      <c r="AK59" s="94"/>
      <c r="AM59" s="94"/>
      <c r="AN59" s="94"/>
      <c r="AO59" s="94"/>
      <c r="AP59" s="94"/>
      <c r="AR59" s="13"/>
      <c r="AS59" s="13"/>
      <c r="AT59" s="13"/>
    </row>
    <row r="60" spans="26:61" ht="13.75" customHeight="1" x14ac:dyDescent="0.3">
      <c r="AC60" s="95"/>
      <c r="AD60" s="94"/>
      <c r="AE60" s="95"/>
      <c r="AF60" s="95"/>
      <c r="AH60" s="95"/>
      <c r="AI60" s="94"/>
      <c r="AJ60" s="95"/>
      <c r="AK60" s="95"/>
      <c r="AM60" s="95"/>
      <c r="AN60" s="94"/>
      <c r="AO60" s="95"/>
      <c r="AP60" s="95"/>
      <c r="AR60" s="13"/>
      <c r="AS60" s="13"/>
      <c r="AT60" s="13"/>
    </row>
    <row r="61" spans="26:61" ht="13.75" customHeight="1" x14ac:dyDescent="0.3">
      <c r="AC61" s="94"/>
      <c r="AD61" s="94"/>
      <c r="AE61" s="94"/>
      <c r="AF61" s="94"/>
      <c r="AH61" s="95"/>
      <c r="AI61" s="94"/>
      <c r="AJ61" s="94"/>
      <c r="AK61" s="94"/>
      <c r="AM61" s="94"/>
      <c r="AN61" s="94"/>
      <c r="AO61" s="94"/>
      <c r="AP61" s="94"/>
      <c r="AR61" s="13"/>
      <c r="AS61" s="13"/>
      <c r="AT61" s="13"/>
    </row>
    <row r="62" spans="26:61" ht="13.75" hidden="1" customHeight="1" x14ac:dyDescent="0.3">
      <c r="AC62" s="94"/>
      <c r="AD62" s="94"/>
      <c r="AE62" s="94"/>
      <c r="AF62" s="94"/>
      <c r="AH62" s="95"/>
      <c r="AI62" s="94"/>
      <c r="AJ62" s="94"/>
      <c r="AK62" s="94"/>
      <c r="AM62" s="1127"/>
      <c r="AN62" s="1127"/>
      <c r="AO62" s="1127"/>
      <c r="AP62" s="112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spans="26:61" ht="13.75" customHeight="1" x14ac:dyDescent="0.3">
      <c r="AC63" s="95"/>
      <c r="AD63" s="94"/>
      <c r="AE63" s="95"/>
      <c r="AF63" s="95"/>
      <c r="AH63" s="95"/>
      <c r="AI63" s="94"/>
      <c r="AJ63" s="95"/>
      <c r="AK63" s="95"/>
      <c r="AM63" s="94"/>
      <c r="AN63" s="94"/>
      <c r="AO63" s="94"/>
      <c r="AP63" s="94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</row>
    <row r="64" spans="26:61" ht="13.75" customHeight="1" x14ac:dyDescent="0.3">
      <c r="AC64" s="94"/>
      <c r="AD64" s="94"/>
      <c r="AE64" s="94"/>
      <c r="AF64" s="94"/>
      <c r="AH64" s="95"/>
      <c r="AI64" s="94"/>
      <c r="AJ64" s="94"/>
      <c r="AK64" s="94"/>
      <c r="AM64" s="95"/>
      <c r="AN64" s="94"/>
      <c r="AO64" s="95"/>
      <c r="AP64" s="95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spans="27:60" ht="13.75" customHeight="1" x14ac:dyDescent="0.3">
      <c r="AC65" s="94"/>
      <c r="AD65" s="94"/>
      <c r="AE65" s="94"/>
      <c r="AF65" s="94"/>
      <c r="AH65" s="95"/>
      <c r="AI65" s="94"/>
      <c r="AJ65" s="94"/>
      <c r="AK65" s="94"/>
      <c r="AM65" s="94"/>
      <c r="AN65" s="94"/>
      <c r="AO65" s="94"/>
      <c r="AP65" s="94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</row>
    <row r="66" spans="27:60" ht="13.75" customHeight="1" x14ac:dyDescent="0.3">
      <c r="AC66" s="95"/>
      <c r="AD66" s="94"/>
      <c r="AE66" s="95"/>
      <c r="AF66" s="95"/>
      <c r="AH66" s="95"/>
      <c r="AI66" s="94"/>
      <c r="AJ66" s="95"/>
      <c r="AK66" s="95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</row>
    <row r="67" spans="27:60" ht="13.75" customHeight="1" x14ac:dyDescent="0.3">
      <c r="AC67" s="94"/>
      <c r="AD67" s="94"/>
      <c r="AE67" s="94"/>
      <c r="AF67" s="94"/>
      <c r="AH67" s="95"/>
      <c r="AI67" s="94"/>
      <c r="AJ67" s="94"/>
      <c r="AK67" s="94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</row>
    <row r="68" spans="27:60" ht="13.75" customHeight="1" x14ac:dyDescent="0.3">
      <c r="AC68" s="94"/>
      <c r="AD68" s="94"/>
      <c r="AE68" s="94"/>
      <c r="AF68" s="94"/>
      <c r="AH68" s="95"/>
      <c r="AI68" s="94"/>
      <c r="AJ68" s="94"/>
      <c r="AK68" s="94"/>
      <c r="AR68" s="13"/>
      <c r="AS68" s="13"/>
      <c r="AT68" s="13"/>
      <c r="AU68" s="94"/>
      <c r="AV68" s="94"/>
      <c r="AW68" s="94"/>
      <c r="AX68" s="94"/>
      <c r="AZ68" s="94"/>
      <c r="BA68" s="94"/>
      <c r="BB68" s="94"/>
      <c r="BC68" s="94"/>
      <c r="BE68" s="94"/>
      <c r="BF68" s="94"/>
      <c r="BG68" s="94"/>
      <c r="BH68" s="94"/>
    </row>
    <row r="69" spans="27:60" ht="13.75" customHeight="1" x14ac:dyDescent="0.3">
      <c r="AC69" s="95"/>
      <c r="AD69" s="94"/>
      <c r="AE69" s="95"/>
      <c r="AF69" s="95"/>
      <c r="AH69" s="95"/>
      <c r="AI69" s="94"/>
      <c r="AJ69" s="95"/>
      <c r="AK69" s="95"/>
      <c r="AR69" s="13"/>
      <c r="AS69" s="13"/>
      <c r="AT69" s="13"/>
      <c r="AU69" s="95"/>
      <c r="AV69" s="94"/>
      <c r="AW69" s="95"/>
      <c r="AX69" s="95"/>
      <c r="AZ69" s="95"/>
      <c r="BA69" s="94"/>
      <c r="BB69" s="95"/>
      <c r="BC69" s="95"/>
      <c r="BE69" s="95"/>
      <c r="BF69" s="94"/>
      <c r="BG69" s="95"/>
      <c r="BH69" s="95"/>
    </row>
    <row r="70" spans="27:60" ht="13.75" customHeight="1" x14ac:dyDescent="0.3">
      <c r="AC70" s="94"/>
      <c r="AD70" s="94"/>
      <c r="AE70" s="94"/>
      <c r="AF70" s="94"/>
      <c r="AH70" s="95"/>
      <c r="AI70" s="94"/>
      <c r="AJ70" s="94"/>
      <c r="AK70" s="94"/>
      <c r="AR70" s="13"/>
      <c r="AS70" s="13"/>
      <c r="AT70" s="13"/>
      <c r="AU70" s="94"/>
      <c r="AV70" s="94"/>
      <c r="AW70" s="94"/>
      <c r="AX70" s="94"/>
      <c r="AZ70" s="94"/>
      <c r="BA70" s="94"/>
      <c r="BB70" s="94"/>
      <c r="BC70" s="94"/>
      <c r="BE70" s="94"/>
      <c r="BF70" s="94"/>
      <c r="BG70" s="94"/>
      <c r="BH70" s="94"/>
    </row>
    <row r="71" spans="27:60" ht="13.75" customHeight="1" x14ac:dyDescent="0.3">
      <c r="AA71" s="69"/>
      <c r="AC71" s="94"/>
      <c r="AD71" s="94"/>
      <c r="AE71" s="94"/>
      <c r="AF71" s="94"/>
      <c r="AH71" s="95"/>
      <c r="AI71" s="94"/>
      <c r="AJ71" s="94"/>
      <c r="AK71" s="94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spans="27:60" ht="13.75" customHeight="1" x14ac:dyDescent="0.3">
      <c r="AA72" s="70"/>
      <c r="AC72" s="95"/>
      <c r="AD72" s="94"/>
      <c r="AE72" s="95"/>
      <c r="AF72" s="95"/>
      <c r="AH72" s="95"/>
      <c r="AI72" s="94"/>
      <c r="AJ72" s="95"/>
      <c r="AK72" s="95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</row>
    <row r="73" spans="27:60" ht="13.75" customHeight="1" x14ac:dyDescent="0.3">
      <c r="AA73" s="70"/>
      <c r="AC73" s="94"/>
      <c r="AD73" s="94"/>
      <c r="AE73" s="94"/>
      <c r="AF73" s="94"/>
      <c r="AH73" s="95"/>
      <c r="AI73" s="94"/>
      <c r="AJ73" s="94"/>
      <c r="AK73" s="94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</row>
    <row r="74" spans="27:60" ht="13.75" customHeight="1" x14ac:dyDescent="0.3">
      <c r="AA74" s="70"/>
      <c r="AC74" s="94"/>
      <c r="AD74" s="94"/>
      <c r="AE74" s="94"/>
      <c r="AF74" s="94"/>
      <c r="AG74" s="13"/>
      <c r="AH74" s="95"/>
      <c r="AI74" s="94"/>
      <c r="AJ74" s="94"/>
      <c r="AK74" s="94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</row>
    <row r="75" spans="27:60" ht="13.75" customHeight="1" x14ac:dyDescent="0.3">
      <c r="AA75" s="70"/>
      <c r="AC75" s="95"/>
      <c r="AD75" s="94"/>
      <c r="AE75" s="95"/>
      <c r="AF75" s="95"/>
      <c r="AG75" s="13"/>
      <c r="AH75" s="95"/>
      <c r="AI75" s="94"/>
      <c r="AJ75" s="95"/>
      <c r="AK75" s="95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</row>
    <row r="76" spans="27:60" ht="13.75" customHeight="1" x14ac:dyDescent="0.3">
      <c r="AA76" s="70"/>
      <c r="AC76" s="94"/>
      <c r="AD76" s="94"/>
      <c r="AE76" s="94"/>
      <c r="AF76" s="94"/>
      <c r="AG76" s="13"/>
      <c r="AH76" s="95"/>
      <c r="AI76" s="94"/>
      <c r="AJ76" s="94"/>
      <c r="AK76" s="94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spans="27:60" ht="13.75" hidden="1" customHeight="1" x14ac:dyDescent="0.3">
      <c r="AA77" s="70"/>
      <c r="AC77" s="94"/>
      <c r="AD77" s="94"/>
      <c r="AE77" s="94"/>
      <c r="AF77" s="94"/>
      <c r="AG77" s="13"/>
      <c r="AH77" s="95"/>
      <c r="AI77" s="94"/>
      <c r="AJ77" s="94"/>
      <c r="AK77" s="94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</row>
    <row r="78" spans="27:60" ht="13.75" customHeight="1" x14ac:dyDescent="0.3">
      <c r="AA78" s="64"/>
      <c r="AC78" s="95"/>
      <c r="AD78" s="94"/>
      <c r="AE78" s="95"/>
      <c r="AF78" s="95"/>
      <c r="AG78" s="13"/>
      <c r="AH78" s="95"/>
      <c r="AI78" s="94"/>
      <c r="AJ78" s="95"/>
      <c r="AK78" s="95"/>
      <c r="AL78" s="13"/>
      <c r="AM78" s="13"/>
      <c r="AN78" s="13"/>
      <c r="AO78" s="13"/>
      <c r="AP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</row>
    <row r="79" spans="27:60" ht="13.75" customHeight="1" x14ac:dyDescent="0.3">
      <c r="AA79" s="64"/>
      <c r="AC79" s="94"/>
      <c r="AD79" s="94"/>
      <c r="AE79" s="94"/>
      <c r="AF79" s="94"/>
      <c r="AG79" s="13"/>
      <c r="AH79" s="95"/>
      <c r="AI79" s="94"/>
      <c r="AJ79" s="94"/>
      <c r="AK79" s="94"/>
      <c r="AL79" s="13"/>
      <c r="AM79" s="13"/>
      <c r="AN79" s="13"/>
      <c r="AO79" s="13"/>
      <c r="AP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</row>
    <row r="80" spans="27:60" ht="13.75" customHeight="1" x14ac:dyDescent="0.3">
      <c r="AA80" s="64"/>
      <c r="AC80" s="94"/>
      <c r="AD80" s="94"/>
      <c r="AE80" s="94"/>
      <c r="AF80" s="94"/>
      <c r="AG80" s="13"/>
      <c r="AH80" s="95"/>
      <c r="AI80" s="94"/>
      <c r="AJ80" s="94"/>
      <c r="AK80" s="94"/>
      <c r="AL80" s="13"/>
      <c r="AM80" s="13"/>
      <c r="AN80" s="13"/>
      <c r="AO80" s="13"/>
      <c r="AP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</row>
    <row r="81" spans="27:57" ht="13.75" customHeight="1" x14ac:dyDescent="0.3">
      <c r="AA81" s="71"/>
      <c r="AC81" s="95"/>
      <c r="AD81" s="94"/>
      <c r="AE81" s="95"/>
      <c r="AF81" s="95"/>
      <c r="AG81" s="13"/>
      <c r="AH81" s="95"/>
      <c r="AI81" s="94"/>
      <c r="AJ81" s="95"/>
      <c r="AK81" s="95"/>
      <c r="AL81" s="13"/>
      <c r="AM81" s="13"/>
      <c r="AN81" s="13"/>
      <c r="AO81" s="13"/>
      <c r="AP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</row>
    <row r="82" spans="27:57" ht="13.75" customHeight="1" x14ac:dyDescent="0.3">
      <c r="AA82" s="41"/>
      <c r="AC82" s="94"/>
      <c r="AD82" s="94"/>
      <c r="AE82" s="94"/>
      <c r="AF82" s="94"/>
      <c r="AG82" s="13"/>
      <c r="AH82" s="95"/>
      <c r="AI82" s="94"/>
      <c r="AJ82" s="94"/>
      <c r="AK82" s="94"/>
      <c r="AL82" s="13"/>
      <c r="AM82" s="13"/>
      <c r="AN82" s="13"/>
      <c r="AO82" s="13"/>
      <c r="AP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</row>
    <row r="83" spans="27:57" ht="13.75" customHeight="1" x14ac:dyDescent="0.3">
      <c r="AC83" s="13"/>
      <c r="AD83" s="13"/>
      <c r="AE83" s="13"/>
      <c r="AF83" s="13"/>
      <c r="AG83" s="13"/>
      <c r="AH83" s="94"/>
      <c r="AI83" s="94"/>
      <c r="AJ83" s="94"/>
      <c r="AK83" s="94"/>
      <c r="AL83" s="13"/>
      <c r="AM83" s="13"/>
      <c r="AN83" s="13"/>
      <c r="AO83" s="13"/>
      <c r="AP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</row>
    <row r="84" spans="27:57" ht="13.75" customHeight="1" x14ac:dyDescent="0.3">
      <c r="AC84" s="1127"/>
      <c r="AD84" s="1127"/>
      <c r="AE84" s="1127"/>
      <c r="AF84" s="1127"/>
      <c r="AH84" s="1127"/>
      <c r="AI84" s="1127"/>
      <c r="AJ84" s="1127"/>
      <c r="AK84" s="1127"/>
      <c r="AL84" s="13"/>
      <c r="AM84" s="1127"/>
      <c r="AN84" s="1127"/>
      <c r="AO84" s="1127"/>
      <c r="AP84" s="112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</row>
    <row r="85" spans="27:57" ht="13.75" customHeight="1" x14ac:dyDescent="0.3">
      <c r="AA85" s="69"/>
      <c r="AC85" s="94"/>
      <c r="AD85" s="94"/>
      <c r="AE85" s="94"/>
      <c r="AF85" s="94"/>
      <c r="AH85" s="94"/>
      <c r="AI85" s="94"/>
      <c r="AJ85" s="94"/>
      <c r="AK85" s="94"/>
      <c r="AL85" s="13"/>
      <c r="AM85" s="94"/>
      <c r="AN85" s="94"/>
      <c r="AO85" s="94"/>
      <c r="AP85" s="94"/>
      <c r="AU85" s="1139"/>
      <c r="AV85" s="1139"/>
      <c r="AW85" s="1139"/>
      <c r="AX85" s="1139"/>
    </row>
    <row r="86" spans="27:57" ht="13.75" customHeight="1" x14ac:dyDescent="0.3">
      <c r="AA86" s="70"/>
      <c r="AC86" s="95"/>
      <c r="AD86" s="94"/>
      <c r="AE86" s="95"/>
      <c r="AF86" s="95"/>
      <c r="AH86" s="95"/>
      <c r="AI86" s="94"/>
      <c r="AJ86" s="95"/>
      <c r="AK86" s="95"/>
      <c r="AL86" s="13"/>
      <c r="AM86" s="95"/>
      <c r="AN86" s="94"/>
      <c r="AO86" s="95"/>
      <c r="AP86" s="95"/>
      <c r="AU86" s="94"/>
      <c r="AV86" s="94"/>
      <c r="AW86" s="94"/>
      <c r="AX86" s="301"/>
    </row>
    <row r="87" spans="27:57" ht="13.75" customHeight="1" x14ac:dyDescent="0.3">
      <c r="AA87" s="70"/>
      <c r="AC87" s="94"/>
      <c r="AD87" s="94"/>
      <c r="AE87" s="94"/>
      <c r="AF87" s="94"/>
      <c r="AH87" s="95"/>
      <c r="AI87" s="94"/>
      <c r="AJ87" s="94"/>
      <c r="AK87" s="94"/>
      <c r="AM87" s="94"/>
      <c r="AN87" s="94"/>
      <c r="AO87" s="94"/>
      <c r="AP87" s="94"/>
      <c r="AU87" s="95"/>
      <c r="AV87" s="94"/>
      <c r="AW87" s="95"/>
      <c r="AX87" s="95"/>
    </row>
    <row r="88" spans="27:57" ht="13" customHeight="1" x14ac:dyDescent="0.3">
      <c r="AA88" s="70"/>
      <c r="AC88" s="94"/>
      <c r="AD88" s="94"/>
      <c r="AE88" s="94"/>
      <c r="AF88" s="94"/>
      <c r="AH88" s="95"/>
      <c r="AI88" s="94"/>
      <c r="AJ88" s="94"/>
      <c r="AK88" s="94"/>
      <c r="AM88" s="1127"/>
      <c r="AN88" s="1127"/>
      <c r="AO88" s="1127"/>
      <c r="AP88" s="1127"/>
      <c r="AU88" s="94"/>
      <c r="AV88" s="94"/>
      <c r="AW88" s="94"/>
      <c r="AX88" s="94"/>
    </row>
    <row r="89" spans="27:57" ht="13.5" customHeight="1" x14ac:dyDescent="0.3">
      <c r="AA89" s="70"/>
      <c r="AC89" s="95"/>
      <c r="AD89" s="94"/>
      <c r="AE89" s="95"/>
      <c r="AF89" s="95"/>
      <c r="AH89" s="95"/>
      <c r="AI89" s="94"/>
      <c r="AJ89" s="95"/>
      <c r="AK89" s="95"/>
      <c r="AM89" s="94"/>
      <c r="AN89" s="94"/>
      <c r="AO89" s="94"/>
      <c r="AP89" s="94"/>
      <c r="AU89" s="1139"/>
      <c r="AV89" s="1139"/>
      <c r="AW89" s="1139"/>
      <c r="AX89" s="1139"/>
    </row>
    <row r="90" spans="27:57" ht="15.75" customHeight="1" x14ac:dyDescent="0.3">
      <c r="AA90" s="70"/>
      <c r="AC90" s="94"/>
      <c r="AD90" s="94"/>
      <c r="AE90" s="94"/>
      <c r="AF90" s="94"/>
      <c r="AH90" s="95"/>
      <c r="AI90" s="94"/>
      <c r="AJ90" s="94"/>
      <c r="AK90" s="94"/>
      <c r="AM90" s="95"/>
      <c r="AN90" s="94"/>
      <c r="AO90" s="95"/>
      <c r="AP90" s="95"/>
      <c r="AU90" s="94"/>
      <c r="AV90" s="94"/>
      <c r="AW90" s="94"/>
      <c r="AX90" s="94"/>
    </row>
    <row r="91" spans="27:57" ht="14" x14ac:dyDescent="0.3">
      <c r="AA91" s="64"/>
      <c r="AC91" s="94"/>
      <c r="AD91" s="94"/>
      <c r="AE91" s="94"/>
      <c r="AF91" s="94"/>
      <c r="AH91" s="95"/>
      <c r="AI91" s="94"/>
      <c r="AJ91" s="94"/>
      <c r="AK91" s="94"/>
      <c r="AM91" s="94"/>
      <c r="AN91" s="94"/>
      <c r="AO91" s="94"/>
      <c r="AP91" s="94"/>
      <c r="AU91" s="95"/>
      <c r="AV91" s="94"/>
      <c r="AW91" s="95"/>
      <c r="AX91" s="95"/>
    </row>
    <row r="92" spans="27:57" ht="14" hidden="1" x14ac:dyDescent="0.3">
      <c r="AA92" s="64"/>
      <c r="AC92" s="95"/>
      <c r="AD92" s="94"/>
      <c r="AE92" s="95"/>
      <c r="AF92" s="95"/>
      <c r="AH92" s="95"/>
      <c r="AI92" s="94"/>
      <c r="AJ92" s="95"/>
      <c r="AK92" s="95"/>
      <c r="AU92" s="94"/>
      <c r="AV92" s="94"/>
      <c r="AW92" s="94"/>
      <c r="AX92" s="94"/>
    </row>
    <row r="93" spans="27:57" ht="14" x14ac:dyDescent="0.3">
      <c r="AA93" s="64"/>
      <c r="AC93" s="94"/>
      <c r="AD93" s="94"/>
      <c r="AE93" s="94"/>
      <c r="AF93" s="94"/>
      <c r="AH93" s="95"/>
      <c r="AI93" s="94"/>
      <c r="AJ93" s="94"/>
      <c r="AK93" s="94"/>
    </row>
    <row r="94" spans="27:57" ht="14" x14ac:dyDescent="0.3">
      <c r="AA94" s="71"/>
      <c r="AC94" s="94"/>
      <c r="AD94" s="94"/>
      <c r="AE94" s="94"/>
      <c r="AF94" s="94"/>
      <c r="AH94" s="95"/>
      <c r="AI94" s="94"/>
      <c r="AJ94" s="94"/>
      <c r="AK94" s="94"/>
    </row>
    <row r="95" spans="27:57" ht="13" x14ac:dyDescent="0.3">
      <c r="AA95" s="41"/>
      <c r="AC95" s="95"/>
      <c r="AD95" s="94"/>
      <c r="AE95" s="95"/>
      <c r="AF95" s="95"/>
      <c r="AH95" s="95"/>
      <c r="AI95" s="94"/>
      <c r="AJ95" s="95"/>
      <c r="AK95" s="95"/>
    </row>
    <row r="96" spans="27:57" x14ac:dyDescent="0.25">
      <c r="AC96" s="94"/>
      <c r="AD96" s="94"/>
      <c r="AE96" s="94"/>
      <c r="AF96" s="94"/>
      <c r="AH96" s="95"/>
      <c r="AI96" s="94"/>
      <c r="AJ96" s="94"/>
      <c r="AK96" s="94"/>
    </row>
    <row r="98" spans="29:42" ht="15.75" customHeight="1" x14ac:dyDescent="0.25"/>
    <row r="99" spans="29:42" ht="13" x14ac:dyDescent="0.3">
      <c r="AC99" s="1127"/>
      <c r="AD99" s="1127"/>
      <c r="AE99" s="1127"/>
      <c r="AF99" s="1127"/>
      <c r="AH99" s="1127"/>
      <c r="AI99" s="1127"/>
      <c r="AJ99" s="1127"/>
      <c r="AK99" s="1127"/>
      <c r="AM99" s="1127"/>
      <c r="AN99" s="1127"/>
      <c r="AO99" s="1127"/>
      <c r="AP99" s="1127"/>
    </row>
    <row r="100" spans="29:42" x14ac:dyDescent="0.25">
      <c r="AC100" s="94"/>
      <c r="AD100" s="94"/>
      <c r="AE100" s="94"/>
      <c r="AF100" s="94"/>
      <c r="AH100" s="94"/>
      <c r="AI100" s="94"/>
      <c r="AJ100" s="94"/>
      <c r="AK100" s="94"/>
      <c r="AM100" s="94"/>
      <c r="AN100" s="94"/>
      <c r="AO100" s="94"/>
      <c r="AP100" s="94"/>
    </row>
    <row r="101" spans="29:42" x14ac:dyDescent="0.25">
      <c r="AC101" s="95"/>
      <c r="AD101" s="94"/>
      <c r="AE101" s="95"/>
      <c r="AF101" s="95"/>
      <c r="AH101" s="95"/>
      <c r="AI101" s="94"/>
      <c r="AJ101" s="95"/>
      <c r="AK101" s="95"/>
      <c r="AM101" s="95"/>
      <c r="AN101" s="94"/>
      <c r="AO101" s="95"/>
      <c r="AP101" s="95"/>
    </row>
    <row r="102" spans="29:42" x14ac:dyDescent="0.25">
      <c r="AC102" s="94"/>
      <c r="AD102" s="94"/>
      <c r="AE102" s="94"/>
      <c r="AF102" s="94"/>
      <c r="AH102" s="94"/>
      <c r="AI102" s="94"/>
      <c r="AJ102" s="94"/>
      <c r="AK102" s="94"/>
      <c r="AM102" s="94"/>
      <c r="AN102" s="94"/>
      <c r="AO102" s="94"/>
      <c r="AP102" s="94"/>
    </row>
    <row r="103" spans="29:42" x14ac:dyDescent="0.25">
      <c r="AC103" s="94"/>
      <c r="AD103" s="94"/>
      <c r="AE103" s="94"/>
      <c r="AF103" s="94"/>
      <c r="AH103" s="94"/>
      <c r="AI103" s="94"/>
      <c r="AJ103" s="94"/>
      <c r="AK103" s="94"/>
      <c r="AM103" s="94"/>
      <c r="AN103" s="94"/>
      <c r="AO103" s="94"/>
      <c r="AP103" s="94"/>
    </row>
    <row r="104" spans="29:42" x14ac:dyDescent="0.25">
      <c r="AC104" s="95"/>
      <c r="AD104" s="94"/>
      <c r="AE104" s="95"/>
      <c r="AF104" s="95"/>
      <c r="AH104" s="95"/>
      <c r="AI104" s="94"/>
      <c r="AJ104" s="95"/>
      <c r="AK104" s="95"/>
      <c r="AM104" s="95"/>
      <c r="AN104" s="94"/>
      <c r="AO104" s="95"/>
      <c r="AP104" s="95"/>
    </row>
    <row r="105" spans="29:42" x14ac:dyDescent="0.25">
      <c r="AC105" s="94"/>
      <c r="AD105" s="94"/>
      <c r="AE105" s="94"/>
      <c r="AF105" s="94"/>
      <c r="AH105" s="94"/>
      <c r="AI105" s="94"/>
      <c r="AJ105" s="94"/>
      <c r="AK105" s="94"/>
      <c r="AM105" s="94"/>
      <c r="AN105" s="94"/>
      <c r="AO105" s="94"/>
      <c r="AP105" s="94"/>
    </row>
    <row r="106" spans="29:42" ht="13" x14ac:dyDescent="0.3">
      <c r="AC106" s="1127"/>
      <c r="AD106" s="1127"/>
      <c r="AE106" s="1127"/>
      <c r="AF106" s="1127"/>
      <c r="AH106" s="1127"/>
      <c r="AI106" s="1127"/>
      <c r="AJ106" s="1127"/>
      <c r="AK106" s="1127"/>
      <c r="AM106" s="1127"/>
      <c r="AN106" s="1127"/>
      <c r="AO106" s="1127"/>
      <c r="AP106" s="1127"/>
    </row>
    <row r="107" spans="29:42" hidden="1" x14ac:dyDescent="0.25">
      <c r="AC107" s="94"/>
      <c r="AD107" s="94"/>
      <c r="AE107" s="94"/>
      <c r="AF107" s="94"/>
      <c r="AH107" s="94"/>
      <c r="AI107" s="94"/>
      <c r="AJ107" s="94"/>
      <c r="AK107" s="94"/>
      <c r="AM107" s="94"/>
      <c r="AN107" s="94"/>
      <c r="AO107" s="94"/>
      <c r="AP107" s="94"/>
    </row>
    <row r="108" spans="29:42" x14ac:dyDescent="0.25">
      <c r="AC108" s="95"/>
      <c r="AD108" s="94"/>
      <c r="AE108" s="95"/>
      <c r="AF108" s="95"/>
      <c r="AH108" s="95"/>
      <c r="AI108" s="94"/>
      <c r="AJ108" s="95"/>
      <c r="AK108" s="95"/>
      <c r="AM108" s="95"/>
      <c r="AN108" s="94"/>
      <c r="AO108" s="95"/>
      <c r="AP108" s="95"/>
    </row>
    <row r="109" spans="29:42" x14ac:dyDescent="0.25">
      <c r="AC109" s="94"/>
      <c r="AD109" s="94"/>
      <c r="AE109" s="94"/>
      <c r="AF109" s="94"/>
      <c r="AH109" s="94"/>
      <c r="AI109" s="94"/>
      <c r="AJ109" s="94"/>
      <c r="AK109" s="94"/>
      <c r="AM109" s="94"/>
      <c r="AN109" s="94"/>
      <c r="AO109" s="94"/>
      <c r="AP109" s="94"/>
    </row>
    <row r="122" hidden="1" x14ac:dyDescent="0.25"/>
    <row r="137" hidden="1" x14ac:dyDescent="0.25"/>
    <row r="152" hidden="1" x14ac:dyDescent="0.25"/>
    <row r="167" hidden="1" x14ac:dyDescent="0.25"/>
    <row r="182" hidden="1" x14ac:dyDescent="0.25"/>
    <row r="197" hidden="1" x14ac:dyDescent="0.25"/>
  </sheetData>
  <mergeCells count="52">
    <mergeCell ref="AX6:AZ6"/>
    <mergeCell ref="AM62:AP62"/>
    <mergeCell ref="AZ16:AZ18"/>
    <mergeCell ref="AZ32:AZ34"/>
    <mergeCell ref="AV16:AV18"/>
    <mergeCell ref="AV24:AV26"/>
    <mergeCell ref="AY32:AY34"/>
    <mergeCell ref="AX8:AX10"/>
    <mergeCell ref="AZ8:AZ10"/>
    <mergeCell ref="AY8:AY10"/>
    <mergeCell ref="AY24:AY26"/>
    <mergeCell ref="AZ24:AZ26"/>
    <mergeCell ref="AY16:AY18"/>
    <mergeCell ref="AU85:AX85"/>
    <mergeCell ref="AU89:AX89"/>
    <mergeCell ref="AM99:AP99"/>
    <mergeCell ref="AV32:AV34"/>
    <mergeCell ref="AD18:AD20"/>
    <mergeCell ref="AX32:AX34"/>
    <mergeCell ref="AW24:AW26"/>
    <mergeCell ref="AW32:AW34"/>
    <mergeCell ref="AX24:AX26"/>
    <mergeCell ref="AW16:AW18"/>
    <mergeCell ref="AX16:AX18"/>
    <mergeCell ref="A3:Y3"/>
    <mergeCell ref="AC58:AF58"/>
    <mergeCell ref="AH58:AK58"/>
    <mergeCell ref="H7:I7"/>
    <mergeCell ref="AB19:AC19"/>
    <mergeCell ref="AE18:AE20"/>
    <mergeCell ref="AE28:AE30"/>
    <mergeCell ref="AB29:AC29"/>
    <mergeCell ref="AA7:AC7"/>
    <mergeCell ref="AD7:AD9"/>
    <mergeCell ref="AE7:AE9"/>
    <mergeCell ref="H21:I21"/>
    <mergeCell ref="AC44:AF44"/>
    <mergeCell ref="H35:I35"/>
    <mergeCell ref="AD28:AD30"/>
    <mergeCell ref="AA28:AC28"/>
    <mergeCell ref="U7:V7"/>
    <mergeCell ref="U22:V22"/>
    <mergeCell ref="AC106:AF106"/>
    <mergeCell ref="AH106:AK106"/>
    <mergeCell ref="AM106:AP106"/>
    <mergeCell ref="AM58:AP58"/>
    <mergeCell ref="AC84:AF84"/>
    <mergeCell ref="AH84:AK84"/>
    <mergeCell ref="AM84:AP84"/>
    <mergeCell ref="AM88:AP88"/>
    <mergeCell ref="AC99:AF99"/>
    <mergeCell ref="AH99:AK99"/>
  </mergeCells>
  <printOptions horizontalCentered="1"/>
  <pageMargins left="0.7" right="0.7" top="0.5" bottom="0.25" header="0.48" footer="0.2"/>
  <pageSetup paperSize="9" scale="51" fitToHeight="3" orientation="landscape" horizontalDpi="4294967293" verticalDpi="4294967293" r:id="rId1"/>
  <headerFooter>
    <oddFooter>Page &amp;P of &amp;N</oddFooter>
  </headerFooter>
  <rowBreaks count="2" manualBreakCount="2">
    <brk id="78" max="24" man="1"/>
    <brk id="153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E103"/>
  <sheetViews>
    <sheetView zoomScale="70" zoomScaleNormal="70" workbookViewId="0">
      <selection activeCell="A93" sqref="A93"/>
    </sheetView>
  </sheetViews>
  <sheetFormatPr defaultRowHeight="12.5" x14ac:dyDescent="0.25"/>
  <cols>
    <col min="1" max="1" width="14.81640625" customWidth="1"/>
    <col min="5" max="5" width="11.26953125" customWidth="1"/>
  </cols>
  <sheetData>
    <row r="1" spans="1:5" ht="12.75" customHeight="1" x14ac:dyDescent="0.25">
      <c r="A1" s="1143" t="s">
        <v>433</v>
      </c>
      <c r="B1" s="1143"/>
      <c r="C1" s="1143"/>
      <c r="D1" s="1143"/>
      <c r="E1" s="1143"/>
    </row>
    <row r="2" spans="1:5" ht="12.75" customHeight="1" x14ac:dyDescent="0.25">
      <c r="A2" s="1143"/>
      <c r="B2" s="1143"/>
      <c r="C2" s="1143"/>
      <c r="D2" s="1143"/>
      <c r="E2" s="1143"/>
    </row>
    <row r="3" spans="1:5" x14ac:dyDescent="0.25">
      <c r="A3" s="1143"/>
      <c r="B3" s="1143"/>
      <c r="C3" s="1143"/>
      <c r="D3" s="1143"/>
      <c r="E3" s="1143"/>
    </row>
    <row r="4" spans="1:5" ht="13" x14ac:dyDescent="0.3">
      <c r="A4" s="108"/>
      <c r="B4" s="108"/>
      <c r="C4" s="108"/>
      <c r="D4" s="108"/>
      <c r="E4" s="108"/>
    </row>
    <row r="5" spans="1:5" ht="35.5" thickBot="1" x14ac:dyDescent="0.75">
      <c r="A5" s="219" t="s">
        <v>434</v>
      </c>
    </row>
    <row r="6" spans="1:5" ht="15.75" customHeight="1" thickBot="1" x14ac:dyDescent="0.35">
      <c r="A6" s="174" t="s">
        <v>238</v>
      </c>
      <c r="B6" s="175"/>
      <c r="C6" s="176"/>
      <c r="D6" s="166" t="s">
        <v>239</v>
      </c>
      <c r="E6" s="169" t="s">
        <v>240</v>
      </c>
    </row>
    <row r="7" spans="1:5" ht="13" x14ac:dyDescent="0.25">
      <c r="A7" s="104" t="s">
        <v>243</v>
      </c>
      <c r="B7" s="172" t="s">
        <v>244</v>
      </c>
      <c r="C7" s="173"/>
      <c r="D7" s="167"/>
      <c r="E7" s="170"/>
    </row>
    <row r="8" spans="1:5" ht="14" x14ac:dyDescent="0.25">
      <c r="A8" s="162" t="s">
        <v>248</v>
      </c>
      <c r="B8" s="102">
        <v>2015</v>
      </c>
      <c r="C8" s="105">
        <v>2018</v>
      </c>
      <c r="D8" s="168"/>
      <c r="E8" s="171"/>
    </row>
    <row r="9" spans="1:5" x14ac:dyDescent="0.25">
      <c r="A9" s="103">
        <v>1</v>
      </c>
      <c r="B9" s="59">
        <v>0</v>
      </c>
      <c r="C9" s="59">
        <v>-0.01</v>
      </c>
      <c r="D9" s="60">
        <f t="shared" ref="D9:D15" si="0">0.5*(MAX(B9:C9)-MIN(B9:C9))</f>
        <v>5.0000000000000001E-3</v>
      </c>
      <c r="E9" s="61">
        <v>0.02</v>
      </c>
    </row>
    <row r="10" spans="1:5" x14ac:dyDescent="0.25">
      <c r="A10" s="103">
        <v>20</v>
      </c>
      <c r="B10" s="59">
        <v>0</v>
      </c>
      <c r="C10" s="59">
        <v>-0.01</v>
      </c>
      <c r="D10" s="60">
        <f t="shared" si="0"/>
        <v>5.0000000000000001E-3</v>
      </c>
      <c r="E10" s="61">
        <v>0.02</v>
      </c>
    </row>
    <row r="11" spans="1:5" x14ac:dyDescent="0.25">
      <c r="A11" s="106">
        <v>50</v>
      </c>
      <c r="B11" s="59">
        <v>0</v>
      </c>
      <c r="C11" s="59">
        <v>-0.01</v>
      </c>
      <c r="D11" s="60">
        <f t="shared" si="0"/>
        <v>5.0000000000000001E-3</v>
      </c>
      <c r="E11" s="61">
        <v>0.02</v>
      </c>
    </row>
    <row r="12" spans="1:5" x14ac:dyDescent="0.25">
      <c r="A12" s="106">
        <v>70</v>
      </c>
      <c r="B12" s="59">
        <v>0</v>
      </c>
      <c r="C12" s="59">
        <v>-0.01</v>
      </c>
      <c r="D12" s="60">
        <f t="shared" si="0"/>
        <v>5.0000000000000001E-3</v>
      </c>
      <c r="E12" s="61">
        <v>0.02</v>
      </c>
    </row>
    <row r="13" spans="1:5" x14ac:dyDescent="0.25">
      <c r="A13" s="106">
        <v>100</v>
      </c>
      <c r="B13" s="59">
        <v>0</v>
      </c>
      <c r="C13" s="59">
        <v>-0.01</v>
      </c>
      <c r="D13" s="60">
        <f t="shared" si="0"/>
        <v>5.0000000000000001E-3</v>
      </c>
      <c r="E13" s="61">
        <v>0.02</v>
      </c>
    </row>
    <row r="14" spans="1:5" ht="15.75" customHeight="1" x14ac:dyDescent="0.25">
      <c r="A14" s="106">
        <v>120</v>
      </c>
      <c r="B14" s="59">
        <v>0</v>
      </c>
      <c r="C14" s="59">
        <v>-0.01</v>
      </c>
      <c r="D14" s="60">
        <f t="shared" si="0"/>
        <v>5.0000000000000001E-3</v>
      </c>
      <c r="E14" s="61">
        <v>0.02</v>
      </c>
    </row>
    <row r="15" spans="1:5" ht="13" thickBot="1" x14ac:dyDescent="0.3">
      <c r="A15" s="107">
        <v>150</v>
      </c>
      <c r="B15" s="62">
        <v>0</v>
      </c>
      <c r="C15" s="59">
        <v>-0.01</v>
      </c>
      <c r="D15" s="63">
        <f t="shared" si="0"/>
        <v>5.0000000000000001E-3</v>
      </c>
      <c r="E15" s="61">
        <v>0.02</v>
      </c>
    </row>
    <row r="16" spans="1:5" ht="35.5" thickBot="1" x14ac:dyDescent="0.75">
      <c r="A16" s="219" t="s">
        <v>435</v>
      </c>
    </row>
    <row r="17" spans="1:5" ht="15.75" customHeight="1" thickBot="1" x14ac:dyDescent="0.35">
      <c r="A17" s="174" t="s">
        <v>238</v>
      </c>
      <c r="B17" s="175"/>
      <c r="C17" s="176"/>
      <c r="D17" s="166" t="s">
        <v>239</v>
      </c>
      <c r="E17" s="169" t="s">
        <v>240</v>
      </c>
    </row>
    <row r="18" spans="1:5" ht="13" x14ac:dyDescent="0.25">
      <c r="A18" s="104" t="s">
        <v>243</v>
      </c>
      <c r="B18" s="172" t="s">
        <v>244</v>
      </c>
      <c r="C18" s="173"/>
      <c r="D18" s="167"/>
      <c r="E18" s="170"/>
    </row>
    <row r="19" spans="1:5" ht="14" x14ac:dyDescent="0.25">
      <c r="A19" s="162" t="s">
        <v>248</v>
      </c>
      <c r="B19" s="102">
        <v>2015</v>
      </c>
      <c r="C19" s="105">
        <v>2016</v>
      </c>
      <c r="D19" s="168"/>
      <c r="E19" s="171"/>
    </row>
    <row r="20" spans="1:5" x14ac:dyDescent="0.25">
      <c r="A20" s="103">
        <v>0</v>
      </c>
      <c r="B20" s="59">
        <v>0</v>
      </c>
      <c r="C20" s="59">
        <v>-0.01</v>
      </c>
      <c r="D20" s="60">
        <f t="shared" ref="D20:D26" si="1">0.5*(MAX(B20:C20)-MIN(B20:C20))</f>
        <v>5.0000000000000001E-3</v>
      </c>
      <c r="E20" s="61">
        <v>0.02</v>
      </c>
    </row>
    <row r="21" spans="1:5" x14ac:dyDescent="0.25">
      <c r="A21" s="103">
        <v>20</v>
      </c>
      <c r="B21" s="59">
        <v>0</v>
      </c>
      <c r="C21" s="59">
        <v>-0.01</v>
      </c>
      <c r="D21" s="60">
        <f t="shared" si="1"/>
        <v>5.0000000000000001E-3</v>
      </c>
      <c r="E21" s="61">
        <v>0.02</v>
      </c>
    </row>
    <row r="22" spans="1:5" x14ac:dyDescent="0.25">
      <c r="A22" s="106">
        <v>50</v>
      </c>
      <c r="B22" s="59">
        <v>0</v>
      </c>
      <c r="C22" s="59">
        <v>-0.01</v>
      </c>
      <c r="D22" s="60">
        <f t="shared" si="1"/>
        <v>5.0000000000000001E-3</v>
      </c>
      <c r="E22" s="61">
        <v>0.02</v>
      </c>
    </row>
    <row r="23" spans="1:5" x14ac:dyDescent="0.25">
      <c r="A23" s="106">
        <v>70</v>
      </c>
      <c r="B23" s="59">
        <v>0</v>
      </c>
      <c r="C23" s="59">
        <v>-0.01</v>
      </c>
      <c r="D23" s="60">
        <f t="shared" si="1"/>
        <v>5.0000000000000001E-3</v>
      </c>
      <c r="E23" s="61">
        <v>0.02</v>
      </c>
    </row>
    <row r="24" spans="1:5" x14ac:dyDescent="0.25">
      <c r="A24" s="106">
        <v>100</v>
      </c>
      <c r="B24" s="59">
        <v>0</v>
      </c>
      <c r="C24" s="59">
        <v>-0.01</v>
      </c>
      <c r="D24" s="60">
        <f t="shared" si="1"/>
        <v>5.0000000000000001E-3</v>
      </c>
      <c r="E24" s="61">
        <v>0.02</v>
      </c>
    </row>
    <row r="25" spans="1:5" x14ac:dyDescent="0.25">
      <c r="A25" s="106">
        <v>120</v>
      </c>
      <c r="B25" s="59">
        <v>0</v>
      </c>
      <c r="C25" s="59">
        <v>-0.01</v>
      </c>
      <c r="D25" s="60">
        <f t="shared" si="1"/>
        <v>5.0000000000000001E-3</v>
      </c>
      <c r="E25" s="61">
        <v>0.02</v>
      </c>
    </row>
    <row r="26" spans="1:5" ht="13" thickBot="1" x14ac:dyDescent="0.3">
      <c r="A26" s="107">
        <v>150</v>
      </c>
      <c r="B26" s="62">
        <v>0</v>
      </c>
      <c r="C26" s="59">
        <v>-0.01</v>
      </c>
      <c r="D26" s="63">
        <f t="shared" si="1"/>
        <v>5.0000000000000001E-3</v>
      </c>
      <c r="E26" s="61">
        <v>0.02</v>
      </c>
    </row>
    <row r="27" spans="1:5" ht="35.5" thickBot="1" x14ac:dyDescent="0.75">
      <c r="A27" s="219" t="s">
        <v>436</v>
      </c>
    </row>
    <row r="28" spans="1:5" ht="15.75" customHeight="1" thickBot="1" x14ac:dyDescent="0.35">
      <c r="A28" s="174" t="s">
        <v>238</v>
      </c>
      <c r="B28" s="175"/>
      <c r="C28" s="176"/>
      <c r="D28" s="166" t="s">
        <v>239</v>
      </c>
      <c r="E28" s="169" t="s">
        <v>240</v>
      </c>
    </row>
    <row r="29" spans="1:5" ht="13" x14ac:dyDescent="0.25">
      <c r="A29" s="104" t="s">
        <v>243</v>
      </c>
      <c r="B29" s="172" t="s">
        <v>244</v>
      </c>
      <c r="C29" s="173"/>
      <c r="D29" s="167"/>
      <c r="E29" s="170"/>
    </row>
    <row r="30" spans="1:5" ht="14" x14ac:dyDescent="0.25">
      <c r="A30" s="162" t="s">
        <v>248</v>
      </c>
      <c r="B30" s="102">
        <v>2018</v>
      </c>
      <c r="C30" s="105">
        <v>2019</v>
      </c>
      <c r="D30" s="168"/>
      <c r="E30" s="171"/>
    </row>
    <row r="31" spans="1:5" x14ac:dyDescent="0.25">
      <c r="A31" s="103">
        <v>0</v>
      </c>
      <c r="B31" s="59">
        <v>0</v>
      </c>
      <c r="C31" s="59">
        <v>-0.01</v>
      </c>
      <c r="D31" s="60">
        <f t="shared" ref="D31:D37" si="2">0.5*(MAX(B31:C31)-MIN(B31:C31))</f>
        <v>5.0000000000000001E-3</v>
      </c>
      <c r="E31" s="61">
        <v>0.02</v>
      </c>
    </row>
    <row r="32" spans="1:5" x14ac:dyDescent="0.25">
      <c r="A32" s="103">
        <v>20</v>
      </c>
      <c r="B32" s="59">
        <v>0</v>
      </c>
      <c r="C32" s="59">
        <v>-0.01</v>
      </c>
      <c r="D32" s="60">
        <f t="shared" si="2"/>
        <v>5.0000000000000001E-3</v>
      </c>
      <c r="E32" s="61">
        <v>0.02</v>
      </c>
    </row>
    <row r="33" spans="1:5" x14ac:dyDescent="0.25">
      <c r="A33" s="106">
        <v>50</v>
      </c>
      <c r="B33" s="59">
        <v>0</v>
      </c>
      <c r="C33" s="59">
        <v>-0.01</v>
      </c>
      <c r="D33" s="60">
        <f t="shared" si="2"/>
        <v>5.0000000000000001E-3</v>
      </c>
      <c r="E33" s="61">
        <v>0.02</v>
      </c>
    </row>
    <row r="34" spans="1:5" x14ac:dyDescent="0.25">
      <c r="A34" s="106">
        <v>70</v>
      </c>
      <c r="B34" s="59">
        <v>0</v>
      </c>
      <c r="C34" s="59">
        <v>-0.01</v>
      </c>
      <c r="D34" s="60">
        <f t="shared" si="2"/>
        <v>5.0000000000000001E-3</v>
      </c>
      <c r="E34" s="61">
        <v>0.02</v>
      </c>
    </row>
    <row r="35" spans="1:5" x14ac:dyDescent="0.25">
      <c r="A35" s="106">
        <v>100</v>
      </c>
      <c r="B35" s="59">
        <v>0</v>
      </c>
      <c r="C35" s="59">
        <v>-0.01</v>
      </c>
      <c r="D35" s="60">
        <f t="shared" si="2"/>
        <v>5.0000000000000001E-3</v>
      </c>
      <c r="E35" s="61">
        <v>0.02</v>
      </c>
    </row>
    <row r="36" spans="1:5" x14ac:dyDescent="0.25">
      <c r="A36" s="106">
        <v>120</v>
      </c>
      <c r="B36" s="59">
        <v>0</v>
      </c>
      <c r="C36" s="59">
        <v>-0.01</v>
      </c>
      <c r="D36" s="60">
        <f t="shared" si="2"/>
        <v>5.0000000000000001E-3</v>
      </c>
      <c r="E36" s="61">
        <v>0.02</v>
      </c>
    </row>
    <row r="37" spans="1:5" ht="13" thickBot="1" x14ac:dyDescent="0.3">
      <c r="A37" s="107">
        <v>150</v>
      </c>
      <c r="B37" s="62">
        <v>0</v>
      </c>
      <c r="C37" s="59">
        <v>-0.01</v>
      </c>
      <c r="D37" s="63">
        <f t="shared" si="2"/>
        <v>5.0000000000000001E-3</v>
      </c>
      <c r="E37" s="61">
        <v>0.02</v>
      </c>
    </row>
    <row r="38" spans="1:5" ht="35.5" thickBot="1" x14ac:dyDescent="0.75">
      <c r="A38" s="219" t="s">
        <v>437</v>
      </c>
    </row>
    <row r="39" spans="1:5" ht="15.75" customHeight="1" thickBot="1" x14ac:dyDescent="0.35">
      <c r="A39" s="174" t="s">
        <v>238</v>
      </c>
      <c r="B39" s="175"/>
      <c r="C39" s="176"/>
      <c r="D39" s="166" t="s">
        <v>239</v>
      </c>
      <c r="E39" s="169" t="s">
        <v>240</v>
      </c>
    </row>
    <row r="40" spans="1:5" ht="13" x14ac:dyDescent="0.25">
      <c r="A40" s="104" t="s">
        <v>243</v>
      </c>
      <c r="B40" s="172" t="s">
        <v>244</v>
      </c>
      <c r="C40" s="173"/>
      <c r="D40" s="167"/>
      <c r="E40" s="170"/>
    </row>
    <row r="41" spans="1:5" ht="14" x14ac:dyDescent="0.25">
      <c r="A41" s="162" t="s">
        <v>248</v>
      </c>
      <c r="B41" s="102">
        <v>2018</v>
      </c>
      <c r="C41" s="105">
        <v>2019</v>
      </c>
      <c r="D41" s="168"/>
      <c r="E41" s="171"/>
    </row>
    <row r="42" spans="1:5" x14ac:dyDescent="0.25">
      <c r="A42" s="103">
        <v>0</v>
      </c>
      <c r="B42" s="66">
        <v>0</v>
      </c>
      <c r="C42" s="59">
        <v>-0.01</v>
      </c>
      <c r="D42" s="60">
        <v>5.0000000000000001E-3</v>
      </c>
      <c r="E42" s="61">
        <v>0.02</v>
      </c>
    </row>
    <row r="43" spans="1:5" x14ac:dyDescent="0.25">
      <c r="A43" s="103">
        <v>20</v>
      </c>
      <c r="B43" s="66">
        <v>0</v>
      </c>
      <c r="C43" s="59">
        <v>-0.01</v>
      </c>
      <c r="D43" s="60">
        <v>5.0000000000000001E-3</v>
      </c>
      <c r="E43" s="61">
        <v>0.02</v>
      </c>
    </row>
    <row r="44" spans="1:5" x14ac:dyDescent="0.25">
      <c r="A44" s="106">
        <v>50</v>
      </c>
      <c r="B44" s="66">
        <v>0</v>
      </c>
      <c r="C44" s="59">
        <v>-0.01</v>
      </c>
      <c r="D44" s="60">
        <v>5.0000000000000001E-3</v>
      </c>
      <c r="E44" s="61">
        <v>0.02</v>
      </c>
    </row>
    <row r="45" spans="1:5" x14ac:dyDescent="0.25">
      <c r="A45" s="106">
        <v>70</v>
      </c>
      <c r="B45" s="66">
        <v>0</v>
      </c>
      <c r="C45" s="59">
        <v>-0.01</v>
      </c>
      <c r="D45" s="60">
        <v>5.0000000000000001E-3</v>
      </c>
      <c r="E45" s="61">
        <v>0.02</v>
      </c>
    </row>
    <row r="46" spans="1:5" x14ac:dyDescent="0.25">
      <c r="A46" s="106">
        <v>100</v>
      </c>
      <c r="B46" s="66">
        <v>0</v>
      </c>
      <c r="C46" s="59">
        <v>-0.01</v>
      </c>
      <c r="D46" s="60">
        <v>5.0000000000000001E-3</v>
      </c>
      <c r="E46" s="61">
        <v>0.02</v>
      </c>
    </row>
    <row r="47" spans="1:5" x14ac:dyDescent="0.25">
      <c r="A47" s="106">
        <v>120</v>
      </c>
      <c r="B47" s="66">
        <v>0</v>
      </c>
      <c r="C47" s="59">
        <v>-0.01</v>
      </c>
      <c r="D47" s="60">
        <v>5.0000000000000001E-3</v>
      </c>
      <c r="E47" s="61">
        <v>0.02</v>
      </c>
    </row>
    <row r="48" spans="1:5" ht="13" thickBot="1" x14ac:dyDescent="0.3">
      <c r="A48" s="107">
        <v>150</v>
      </c>
      <c r="B48" s="67">
        <v>0</v>
      </c>
      <c r="C48" s="62">
        <v>-0.01</v>
      </c>
      <c r="D48" s="63">
        <v>5.0000000000000001E-3</v>
      </c>
      <c r="E48" s="61">
        <v>0.02</v>
      </c>
    </row>
    <row r="49" spans="1:5" ht="35.5" thickBot="1" x14ac:dyDescent="0.75">
      <c r="A49" s="219" t="s">
        <v>438</v>
      </c>
    </row>
    <row r="50" spans="1:5" ht="15.75" customHeight="1" thickBot="1" x14ac:dyDescent="0.35">
      <c r="A50" s="174" t="s">
        <v>238</v>
      </c>
      <c r="B50" s="175"/>
      <c r="C50" s="176"/>
      <c r="D50" s="166" t="s">
        <v>239</v>
      </c>
      <c r="E50" s="169" t="s">
        <v>240</v>
      </c>
    </row>
    <row r="51" spans="1:5" ht="13" x14ac:dyDescent="0.25">
      <c r="A51" s="104" t="s">
        <v>243</v>
      </c>
      <c r="B51" s="172" t="s">
        <v>244</v>
      </c>
      <c r="C51" s="173"/>
      <c r="D51" s="167"/>
      <c r="E51" s="170"/>
    </row>
    <row r="52" spans="1:5" ht="14" x14ac:dyDescent="0.25">
      <c r="A52" s="162" t="s">
        <v>248</v>
      </c>
      <c r="B52" s="102">
        <v>2018</v>
      </c>
      <c r="C52" s="105">
        <v>2019</v>
      </c>
      <c r="D52" s="168"/>
      <c r="E52" s="171"/>
    </row>
    <row r="53" spans="1:5" x14ac:dyDescent="0.25">
      <c r="A53" s="103">
        <v>0</v>
      </c>
      <c r="B53" s="59">
        <v>0</v>
      </c>
      <c r="C53" s="59">
        <v>-0.01</v>
      </c>
      <c r="D53" s="60">
        <f t="shared" ref="D53:D59" si="3">0.5*(MAX(B53:C53)-MIN(B53:C53))</f>
        <v>5.0000000000000001E-3</v>
      </c>
      <c r="E53" s="61">
        <v>0.02</v>
      </c>
    </row>
    <row r="54" spans="1:5" x14ac:dyDescent="0.25">
      <c r="A54" s="103">
        <v>20</v>
      </c>
      <c r="B54" s="59">
        <v>0</v>
      </c>
      <c r="C54" s="59">
        <v>-0.01</v>
      </c>
      <c r="D54" s="60">
        <f t="shared" si="3"/>
        <v>5.0000000000000001E-3</v>
      </c>
      <c r="E54" s="61">
        <v>0.02</v>
      </c>
    </row>
    <row r="55" spans="1:5" x14ac:dyDescent="0.25">
      <c r="A55" s="106">
        <v>50</v>
      </c>
      <c r="B55" s="59">
        <v>0</v>
      </c>
      <c r="C55" s="59">
        <v>-0.01</v>
      </c>
      <c r="D55" s="60">
        <f t="shared" si="3"/>
        <v>5.0000000000000001E-3</v>
      </c>
      <c r="E55" s="61">
        <v>0.02</v>
      </c>
    </row>
    <row r="56" spans="1:5" x14ac:dyDescent="0.25">
      <c r="A56" s="106">
        <v>70</v>
      </c>
      <c r="B56" s="59">
        <v>0</v>
      </c>
      <c r="C56" s="59">
        <v>-0.01</v>
      </c>
      <c r="D56" s="60">
        <f t="shared" si="3"/>
        <v>5.0000000000000001E-3</v>
      </c>
      <c r="E56" s="61">
        <v>0.02</v>
      </c>
    </row>
    <row r="57" spans="1:5" x14ac:dyDescent="0.25">
      <c r="A57" s="106">
        <v>100</v>
      </c>
      <c r="B57" s="59">
        <v>0</v>
      </c>
      <c r="C57" s="59">
        <v>-0.01</v>
      </c>
      <c r="D57" s="60">
        <f t="shared" si="3"/>
        <v>5.0000000000000001E-3</v>
      </c>
      <c r="E57" s="61">
        <v>0.02</v>
      </c>
    </row>
    <row r="58" spans="1:5" x14ac:dyDescent="0.25">
      <c r="A58" s="106">
        <v>120</v>
      </c>
      <c r="B58" s="59">
        <v>0</v>
      </c>
      <c r="C58" s="59">
        <v>-0.01</v>
      </c>
      <c r="D58" s="60">
        <f t="shared" si="3"/>
        <v>5.0000000000000001E-3</v>
      </c>
      <c r="E58" s="61">
        <v>0.02</v>
      </c>
    </row>
    <row r="59" spans="1:5" ht="13" thickBot="1" x14ac:dyDescent="0.3">
      <c r="A59" s="107">
        <v>150</v>
      </c>
      <c r="B59" s="62">
        <v>0</v>
      </c>
      <c r="C59" s="59">
        <v>-0.01</v>
      </c>
      <c r="D59" s="63">
        <f t="shared" si="3"/>
        <v>5.0000000000000001E-3</v>
      </c>
      <c r="E59" s="61">
        <v>0.02</v>
      </c>
    </row>
    <row r="60" spans="1:5" ht="35.5" thickBot="1" x14ac:dyDescent="0.75">
      <c r="A60" s="219" t="s">
        <v>439</v>
      </c>
    </row>
    <row r="61" spans="1:5" ht="15.75" customHeight="1" thickBot="1" x14ac:dyDescent="0.35">
      <c r="A61" s="174" t="s">
        <v>238</v>
      </c>
      <c r="B61" s="175"/>
      <c r="C61" s="176"/>
      <c r="D61" s="166" t="s">
        <v>239</v>
      </c>
      <c r="E61" s="169" t="s">
        <v>240</v>
      </c>
    </row>
    <row r="62" spans="1:5" ht="13" x14ac:dyDescent="0.25">
      <c r="A62" s="104" t="s">
        <v>243</v>
      </c>
      <c r="B62" s="172" t="s">
        <v>244</v>
      </c>
      <c r="C62" s="173"/>
      <c r="D62" s="167"/>
      <c r="E62" s="170"/>
    </row>
    <row r="63" spans="1:5" ht="14" x14ac:dyDescent="0.25">
      <c r="A63" s="162" t="s">
        <v>248</v>
      </c>
      <c r="B63" s="102">
        <v>2018</v>
      </c>
      <c r="C63" s="105">
        <v>2019</v>
      </c>
      <c r="D63" s="168"/>
      <c r="E63" s="171"/>
    </row>
    <row r="64" spans="1:5" x14ac:dyDescent="0.25">
      <c r="A64" s="103">
        <v>0</v>
      </c>
      <c r="B64" s="59">
        <v>0</v>
      </c>
      <c r="C64" s="59">
        <v>-0.01</v>
      </c>
      <c r="D64" s="60">
        <f t="shared" ref="D64:D70" si="4">0.5*(MAX(B64:C64)-MIN(B64:C64))</f>
        <v>5.0000000000000001E-3</v>
      </c>
      <c r="E64" s="61">
        <v>0.02</v>
      </c>
    </row>
    <row r="65" spans="1:5" x14ac:dyDescent="0.25">
      <c r="A65" s="103">
        <v>20</v>
      </c>
      <c r="B65" s="59">
        <v>0</v>
      </c>
      <c r="C65" s="59">
        <v>-0.01</v>
      </c>
      <c r="D65" s="60">
        <f t="shared" si="4"/>
        <v>5.0000000000000001E-3</v>
      </c>
      <c r="E65" s="61">
        <v>0.02</v>
      </c>
    </row>
    <row r="66" spans="1:5" x14ac:dyDescent="0.25">
      <c r="A66" s="106">
        <v>50</v>
      </c>
      <c r="B66" s="59">
        <v>0</v>
      </c>
      <c r="C66" s="59">
        <v>-0.01</v>
      </c>
      <c r="D66" s="60">
        <f t="shared" si="4"/>
        <v>5.0000000000000001E-3</v>
      </c>
      <c r="E66" s="61">
        <v>0.02</v>
      </c>
    </row>
    <row r="67" spans="1:5" x14ac:dyDescent="0.25">
      <c r="A67" s="106">
        <v>70</v>
      </c>
      <c r="B67" s="59">
        <v>0</v>
      </c>
      <c r="C67" s="59">
        <v>-0.01</v>
      </c>
      <c r="D67" s="60">
        <f t="shared" si="4"/>
        <v>5.0000000000000001E-3</v>
      </c>
      <c r="E67" s="61">
        <v>0.02</v>
      </c>
    </row>
    <row r="68" spans="1:5" x14ac:dyDescent="0.25">
      <c r="A68" s="106">
        <v>100</v>
      </c>
      <c r="B68" s="59">
        <v>0</v>
      </c>
      <c r="C68" s="59">
        <v>-0.01</v>
      </c>
      <c r="D68" s="60">
        <f t="shared" si="4"/>
        <v>5.0000000000000001E-3</v>
      </c>
      <c r="E68" s="61">
        <v>0.02</v>
      </c>
    </row>
    <row r="69" spans="1:5" x14ac:dyDescent="0.25">
      <c r="A69" s="106">
        <v>120</v>
      </c>
      <c r="B69" s="59">
        <v>0</v>
      </c>
      <c r="C69" s="59">
        <v>-0.01</v>
      </c>
      <c r="D69" s="60">
        <f t="shared" si="4"/>
        <v>5.0000000000000001E-3</v>
      </c>
      <c r="E69" s="61">
        <v>0.02</v>
      </c>
    </row>
    <row r="70" spans="1:5" ht="13" thickBot="1" x14ac:dyDescent="0.3">
      <c r="A70" s="107">
        <v>150</v>
      </c>
      <c r="B70" s="62">
        <v>0</v>
      </c>
      <c r="C70" s="59">
        <v>-0.01</v>
      </c>
      <c r="D70" s="63">
        <f t="shared" si="4"/>
        <v>5.0000000000000001E-3</v>
      </c>
      <c r="E70" s="61">
        <v>0.02</v>
      </c>
    </row>
    <row r="71" spans="1:5" ht="35.5" thickBot="1" x14ac:dyDescent="0.75">
      <c r="A71" s="219" t="s">
        <v>440</v>
      </c>
    </row>
    <row r="72" spans="1:5" ht="15.75" customHeight="1" thickBot="1" x14ac:dyDescent="0.35">
      <c r="A72" s="174" t="s">
        <v>238</v>
      </c>
      <c r="B72" s="175"/>
      <c r="C72" s="176"/>
      <c r="D72" s="166" t="s">
        <v>239</v>
      </c>
      <c r="E72" s="169" t="s">
        <v>240</v>
      </c>
    </row>
    <row r="73" spans="1:5" ht="13" x14ac:dyDescent="0.25">
      <c r="A73" s="104" t="s">
        <v>243</v>
      </c>
      <c r="B73" s="172" t="s">
        <v>244</v>
      </c>
      <c r="C73" s="173"/>
      <c r="D73" s="167"/>
      <c r="E73" s="170"/>
    </row>
    <row r="74" spans="1:5" ht="14" x14ac:dyDescent="0.25">
      <c r="A74" s="162" t="s">
        <v>248</v>
      </c>
      <c r="B74" s="102">
        <v>2018</v>
      </c>
      <c r="C74" s="105">
        <v>2019</v>
      </c>
      <c r="D74" s="168"/>
      <c r="E74" s="171"/>
    </row>
    <row r="75" spans="1:5" x14ac:dyDescent="0.25">
      <c r="A75" s="103">
        <v>0</v>
      </c>
      <c r="B75" s="59">
        <v>0</v>
      </c>
      <c r="C75" s="59">
        <v>-0.01</v>
      </c>
      <c r="D75" s="60">
        <f t="shared" ref="D75:D81" si="5">0.5*(MAX(B75:C75)-MIN(B75:C75))</f>
        <v>5.0000000000000001E-3</v>
      </c>
      <c r="E75" s="61">
        <v>0.02</v>
      </c>
    </row>
    <row r="76" spans="1:5" x14ac:dyDescent="0.25">
      <c r="A76" s="103">
        <v>20</v>
      </c>
      <c r="B76" s="59">
        <v>0</v>
      </c>
      <c r="C76" s="59">
        <v>-0.01</v>
      </c>
      <c r="D76" s="60">
        <f t="shared" si="5"/>
        <v>5.0000000000000001E-3</v>
      </c>
      <c r="E76" s="61">
        <v>0.02</v>
      </c>
    </row>
    <row r="77" spans="1:5" x14ac:dyDescent="0.25">
      <c r="A77" s="106">
        <v>50</v>
      </c>
      <c r="B77" s="59">
        <v>0</v>
      </c>
      <c r="C77" s="59">
        <v>-0.01</v>
      </c>
      <c r="D77" s="60">
        <f t="shared" si="5"/>
        <v>5.0000000000000001E-3</v>
      </c>
      <c r="E77" s="61">
        <v>0.02</v>
      </c>
    </row>
    <row r="78" spans="1:5" x14ac:dyDescent="0.25">
      <c r="A78" s="106">
        <v>70</v>
      </c>
      <c r="B78" s="59">
        <v>0</v>
      </c>
      <c r="C78" s="59">
        <v>-0.01</v>
      </c>
      <c r="D78" s="60">
        <f t="shared" si="5"/>
        <v>5.0000000000000001E-3</v>
      </c>
      <c r="E78" s="61">
        <v>0.02</v>
      </c>
    </row>
    <row r="79" spans="1:5" x14ac:dyDescent="0.25">
      <c r="A79" s="106">
        <v>100</v>
      </c>
      <c r="B79" s="59">
        <v>0</v>
      </c>
      <c r="C79" s="59">
        <v>-0.01</v>
      </c>
      <c r="D79" s="60">
        <f t="shared" si="5"/>
        <v>5.0000000000000001E-3</v>
      </c>
      <c r="E79" s="61">
        <v>0.02</v>
      </c>
    </row>
    <row r="80" spans="1:5" x14ac:dyDescent="0.25">
      <c r="A80" s="106">
        <v>120</v>
      </c>
      <c r="B80" s="59">
        <v>0</v>
      </c>
      <c r="C80" s="59">
        <v>-0.01</v>
      </c>
      <c r="D80" s="60">
        <f t="shared" si="5"/>
        <v>5.0000000000000001E-3</v>
      </c>
      <c r="E80" s="61">
        <v>0.02</v>
      </c>
    </row>
    <row r="81" spans="1:5" ht="13" thickBot="1" x14ac:dyDescent="0.3">
      <c r="A81" s="107">
        <v>150</v>
      </c>
      <c r="B81" s="62">
        <v>0</v>
      </c>
      <c r="C81" s="59">
        <v>-0.01</v>
      </c>
      <c r="D81" s="63">
        <f t="shared" si="5"/>
        <v>5.0000000000000001E-3</v>
      </c>
      <c r="E81" s="61">
        <v>0.02</v>
      </c>
    </row>
    <row r="82" spans="1:5" ht="35.5" thickBot="1" x14ac:dyDescent="0.75">
      <c r="A82" s="219" t="s">
        <v>440</v>
      </c>
    </row>
    <row r="83" spans="1:5" ht="15.75" customHeight="1" thickBot="1" x14ac:dyDescent="0.35">
      <c r="A83" s="174" t="s">
        <v>238</v>
      </c>
      <c r="B83" s="175"/>
      <c r="C83" s="176"/>
      <c r="D83" s="166" t="s">
        <v>239</v>
      </c>
      <c r="E83" s="169" t="s">
        <v>240</v>
      </c>
    </row>
    <row r="84" spans="1:5" ht="13" x14ac:dyDescent="0.25">
      <c r="A84" s="104" t="s">
        <v>243</v>
      </c>
      <c r="B84" s="172" t="s">
        <v>244</v>
      </c>
      <c r="C84" s="173"/>
      <c r="D84" s="167"/>
      <c r="E84" s="170"/>
    </row>
    <row r="85" spans="1:5" ht="14" x14ac:dyDescent="0.25">
      <c r="A85" s="162" t="s">
        <v>248</v>
      </c>
      <c r="B85" s="102">
        <v>2018</v>
      </c>
      <c r="C85" s="105">
        <v>2019</v>
      </c>
      <c r="D85" s="168"/>
      <c r="E85" s="171"/>
    </row>
    <row r="86" spans="1:5" x14ac:dyDescent="0.25">
      <c r="A86" s="103">
        <v>0</v>
      </c>
      <c r="B86" s="59">
        <v>0</v>
      </c>
      <c r="C86" s="59">
        <v>-0.01</v>
      </c>
      <c r="D86" s="60">
        <f t="shared" ref="D86:D92" si="6">0.5*(MAX(B86:C86)-MIN(B86:C86))</f>
        <v>5.0000000000000001E-3</v>
      </c>
      <c r="E86" s="61">
        <v>0.02</v>
      </c>
    </row>
    <row r="87" spans="1:5" x14ac:dyDescent="0.25">
      <c r="A87" s="103">
        <v>20</v>
      </c>
      <c r="B87" s="59">
        <v>0</v>
      </c>
      <c r="C87" s="59">
        <v>-0.01</v>
      </c>
      <c r="D87" s="60">
        <f t="shared" si="6"/>
        <v>5.0000000000000001E-3</v>
      </c>
      <c r="E87" s="61">
        <v>0.02</v>
      </c>
    </row>
    <row r="88" spans="1:5" x14ac:dyDescent="0.25">
      <c r="A88" s="106">
        <v>50</v>
      </c>
      <c r="B88" s="59">
        <v>0</v>
      </c>
      <c r="C88" s="59">
        <v>-0.01</v>
      </c>
      <c r="D88" s="60">
        <f t="shared" si="6"/>
        <v>5.0000000000000001E-3</v>
      </c>
      <c r="E88" s="61">
        <v>0.02</v>
      </c>
    </row>
    <row r="89" spans="1:5" x14ac:dyDescent="0.25">
      <c r="A89" s="106">
        <v>70</v>
      </c>
      <c r="B89" s="59">
        <v>0</v>
      </c>
      <c r="C89" s="59">
        <v>-0.01</v>
      </c>
      <c r="D89" s="60">
        <f t="shared" si="6"/>
        <v>5.0000000000000001E-3</v>
      </c>
      <c r="E89" s="61">
        <v>0.02</v>
      </c>
    </row>
    <row r="90" spans="1:5" x14ac:dyDescent="0.25">
      <c r="A90" s="106">
        <v>100</v>
      </c>
      <c r="B90" s="59">
        <v>0</v>
      </c>
      <c r="C90" s="59">
        <v>-0.01</v>
      </c>
      <c r="D90" s="60">
        <f t="shared" si="6"/>
        <v>5.0000000000000001E-3</v>
      </c>
      <c r="E90" s="61">
        <v>0.02</v>
      </c>
    </row>
    <row r="91" spans="1:5" x14ac:dyDescent="0.25">
      <c r="A91" s="106">
        <v>120</v>
      </c>
      <c r="B91" s="59">
        <v>0</v>
      </c>
      <c r="C91" s="59">
        <v>-0.01</v>
      </c>
      <c r="D91" s="60">
        <f t="shared" si="6"/>
        <v>5.0000000000000001E-3</v>
      </c>
      <c r="E91" s="61">
        <v>0.02</v>
      </c>
    </row>
    <row r="92" spans="1:5" ht="13" thickBot="1" x14ac:dyDescent="0.3">
      <c r="A92" s="107">
        <v>150</v>
      </c>
      <c r="B92" s="62">
        <v>0</v>
      </c>
      <c r="C92" s="59">
        <v>-0.01</v>
      </c>
      <c r="D92" s="63">
        <f t="shared" si="6"/>
        <v>5.0000000000000001E-3</v>
      </c>
      <c r="E92" s="61">
        <v>0.02</v>
      </c>
    </row>
    <row r="93" spans="1:5" ht="35.5" thickBot="1" x14ac:dyDescent="0.75">
      <c r="A93" s="219" t="s">
        <v>440</v>
      </c>
    </row>
    <row r="94" spans="1:5" ht="15.75" customHeight="1" thickBot="1" x14ac:dyDescent="0.35">
      <c r="A94" s="174" t="s">
        <v>238</v>
      </c>
      <c r="B94" s="175"/>
      <c r="C94" s="176"/>
      <c r="D94" s="166" t="s">
        <v>239</v>
      </c>
      <c r="E94" s="169" t="s">
        <v>240</v>
      </c>
    </row>
    <row r="95" spans="1:5" ht="13" x14ac:dyDescent="0.25">
      <c r="A95" s="104" t="s">
        <v>243</v>
      </c>
      <c r="B95" s="172" t="s">
        <v>244</v>
      </c>
      <c r="C95" s="173"/>
      <c r="D95" s="167"/>
      <c r="E95" s="170"/>
    </row>
    <row r="96" spans="1:5" ht="14" x14ac:dyDescent="0.25">
      <c r="A96" s="162" t="s">
        <v>248</v>
      </c>
      <c r="B96" s="102">
        <v>2018</v>
      </c>
      <c r="C96" s="105">
        <v>2019</v>
      </c>
      <c r="D96" s="168"/>
      <c r="E96" s="171"/>
    </row>
    <row r="97" spans="1:5" x14ac:dyDescent="0.25">
      <c r="A97" s="103">
        <v>0</v>
      </c>
      <c r="B97" s="59">
        <v>0</v>
      </c>
      <c r="C97" s="59">
        <v>-0.01</v>
      </c>
      <c r="D97" s="60">
        <f t="shared" ref="D97:D103" si="7">0.5*(MAX(B97:C97)-MIN(B97:C97))</f>
        <v>5.0000000000000001E-3</v>
      </c>
      <c r="E97" s="61">
        <v>0.02</v>
      </c>
    </row>
    <row r="98" spans="1:5" x14ac:dyDescent="0.25">
      <c r="A98" s="103">
        <v>20</v>
      </c>
      <c r="B98" s="59">
        <v>0</v>
      </c>
      <c r="C98" s="59">
        <v>-0.01</v>
      </c>
      <c r="D98" s="60">
        <f t="shared" si="7"/>
        <v>5.0000000000000001E-3</v>
      </c>
      <c r="E98" s="61">
        <v>0.02</v>
      </c>
    </row>
    <row r="99" spans="1:5" x14ac:dyDescent="0.25">
      <c r="A99" s="106">
        <v>50</v>
      </c>
      <c r="B99" s="59">
        <v>0</v>
      </c>
      <c r="C99" s="59">
        <v>-0.01</v>
      </c>
      <c r="D99" s="60">
        <f t="shared" si="7"/>
        <v>5.0000000000000001E-3</v>
      </c>
      <c r="E99" s="61">
        <v>0.02</v>
      </c>
    </row>
    <row r="100" spans="1:5" x14ac:dyDescent="0.25">
      <c r="A100" s="106">
        <v>70</v>
      </c>
      <c r="B100" s="59">
        <v>0</v>
      </c>
      <c r="C100" s="59">
        <v>-0.01</v>
      </c>
      <c r="D100" s="60">
        <f t="shared" si="7"/>
        <v>5.0000000000000001E-3</v>
      </c>
      <c r="E100" s="61">
        <v>0.02</v>
      </c>
    </row>
    <row r="101" spans="1:5" x14ac:dyDescent="0.25">
      <c r="A101" s="106">
        <v>100</v>
      </c>
      <c r="B101" s="59">
        <v>0</v>
      </c>
      <c r="C101" s="59">
        <v>-0.01</v>
      </c>
      <c r="D101" s="60">
        <f t="shared" si="7"/>
        <v>5.0000000000000001E-3</v>
      </c>
      <c r="E101" s="61">
        <v>0.02</v>
      </c>
    </row>
    <row r="102" spans="1:5" x14ac:dyDescent="0.25">
      <c r="A102" s="106">
        <v>120</v>
      </c>
      <c r="B102" s="59">
        <v>0</v>
      </c>
      <c r="C102" s="59">
        <v>-0.01</v>
      </c>
      <c r="D102" s="60">
        <f t="shared" si="7"/>
        <v>5.0000000000000001E-3</v>
      </c>
      <c r="E102" s="61">
        <v>0.02</v>
      </c>
    </row>
    <row r="103" spans="1:5" ht="13" thickBot="1" x14ac:dyDescent="0.3">
      <c r="A103" s="107">
        <v>150</v>
      </c>
      <c r="B103" s="62">
        <v>0</v>
      </c>
      <c r="C103" s="59">
        <v>-0.01</v>
      </c>
      <c r="D103" s="63">
        <f t="shared" si="7"/>
        <v>5.0000000000000001E-3</v>
      </c>
      <c r="E103" s="61">
        <v>0.02</v>
      </c>
    </row>
  </sheetData>
  <sheetProtection algorithmName="SHA-512" hashValue="PmFAu7jsVYgty+G60NNTa1pI1QtDsidfliWgjKKcPxp/PGC0ymWF5NrPWPoG6Pz5AXr+LjxsHf5i6YomOxXBAg==" saltValue="a/jDa0uoOmozP7MEi4N91Q==" spinCount="100000" sheet="1" objects="1" scenarios="1"/>
  <mergeCells count="1">
    <mergeCell ref="A1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A1:O98"/>
  <sheetViews>
    <sheetView showGridLines="0" view="pageBreakPreview" topLeftCell="A78" zoomScaleSheetLayoutView="100" workbookViewId="0">
      <selection activeCell="C67" sqref="C67"/>
    </sheetView>
  </sheetViews>
  <sheetFormatPr defaultColWidth="9.1796875" defaultRowHeight="14.5" x14ac:dyDescent="0.25"/>
  <cols>
    <col min="1" max="1" width="4.26953125" style="124" customWidth="1"/>
    <col min="2" max="2" width="4.7265625" style="124" customWidth="1"/>
    <col min="3" max="3" width="14.7265625" style="124" customWidth="1"/>
    <col min="4" max="4" width="16.1796875" style="124" customWidth="1"/>
    <col min="5" max="5" width="17.26953125" style="124" customWidth="1"/>
    <col min="6" max="9" width="9.26953125" style="124" customWidth="1"/>
    <col min="10" max="10" width="9.1796875" style="124" customWidth="1"/>
    <col min="11" max="11" width="9.453125" style="124" customWidth="1"/>
    <col min="12" max="12" width="9.1796875" style="124" customWidth="1"/>
    <col min="13" max="13" width="7.1796875" style="124" customWidth="1"/>
    <col min="14" max="14" width="7.453125" style="124" customWidth="1"/>
    <col min="15" max="15" width="9.1796875" style="124"/>
    <col min="16" max="16384" width="9.1796875" style="79"/>
  </cols>
  <sheetData>
    <row r="1" spans="1:15" ht="18" x14ac:dyDescent="0.4">
      <c r="A1" s="812" t="s">
        <v>24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  <c r="N1" s="812"/>
      <c r="O1" s="431"/>
    </row>
    <row r="2" spans="1:15" ht="15.75" customHeight="1" x14ac:dyDescent="0.35">
      <c r="A2" s="813" t="s">
        <v>479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432"/>
    </row>
    <row r="4" spans="1:15" x14ac:dyDescent="0.3">
      <c r="A4" s="109" t="s">
        <v>25</v>
      </c>
      <c r="B4" s="109"/>
      <c r="C4" s="109"/>
      <c r="D4" s="110" t="s">
        <v>26</v>
      </c>
      <c r="E4" s="111" t="s">
        <v>27</v>
      </c>
      <c r="F4" s="109"/>
    </row>
    <row r="5" spans="1:15" x14ac:dyDescent="0.3">
      <c r="A5" s="109" t="s">
        <v>28</v>
      </c>
      <c r="B5" s="109"/>
      <c r="C5" s="109"/>
      <c r="D5" s="110" t="s">
        <v>26</v>
      </c>
      <c r="E5" s="111" t="s">
        <v>27</v>
      </c>
      <c r="F5" s="109"/>
    </row>
    <row r="6" spans="1:15" x14ac:dyDescent="0.3">
      <c r="A6" s="109" t="s">
        <v>29</v>
      </c>
      <c r="B6" s="109"/>
      <c r="C6" s="109"/>
      <c r="D6" s="110" t="s">
        <v>26</v>
      </c>
      <c r="E6" s="111" t="s">
        <v>27</v>
      </c>
      <c r="F6" s="109"/>
    </row>
    <row r="7" spans="1:15" x14ac:dyDescent="0.35">
      <c r="A7" s="109" t="s">
        <v>30</v>
      </c>
      <c r="B7" s="109"/>
      <c r="C7" s="109"/>
      <c r="D7" s="110" t="s">
        <v>26</v>
      </c>
      <c r="E7" s="111" t="s">
        <v>31</v>
      </c>
      <c r="F7" s="109"/>
    </row>
    <row r="8" spans="1:15" x14ac:dyDescent="0.3">
      <c r="A8" s="109" t="s">
        <v>32</v>
      </c>
      <c r="B8" s="109"/>
      <c r="C8" s="109"/>
      <c r="D8" s="110" t="s">
        <v>26</v>
      </c>
      <c r="E8" s="111" t="s">
        <v>27</v>
      </c>
      <c r="F8" s="109"/>
    </row>
    <row r="9" spans="1:15" x14ac:dyDescent="0.3">
      <c r="A9" s="109" t="str">
        <f>ID!A9</f>
        <v>Tanggal Kalibrasi</v>
      </c>
      <c r="B9" s="109"/>
      <c r="C9" s="109"/>
      <c r="D9" s="110" t="s">
        <v>26</v>
      </c>
      <c r="E9" s="111" t="s">
        <v>27</v>
      </c>
      <c r="F9" s="109"/>
    </row>
    <row r="10" spans="1:15" x14ac:dyDescent="0.3">
      <c r="A10" s="109" t="str">
        <f>ID!A10</f>
        <v>Tempat Kalibrasi</v>
      </c>
      <c r="B10" s="109"/>
      <c r="C10" s="109"/>
      <c r="D10" s="110" t="s">
        <v>26</v>
      </c>
      <c r="E10" s="111" t="s">
        <v>27</v>
      </c>
      <c r="F10" s="109"/>
    </row>
    <row r="11" spans="1:15" x14ac:dyDescent="0.3">
      <c r="A11" s="109" t="s">
        <v>33</v>
      </c>
      <c r="B11" s="109"/>
      <c r="C11" s="109"/>
      <c r="D11" s="110" t="s">
        <v>26</v>
      </c>
      <c r="E11" s="111" t="s">
        <v>27</v>
      </c>
      <c r="F11" s="109"/>
    </row>
    <row r="13" spans="1:15" x14ac:dyDescent="0.3">
      <c r="A13" s="112" t="s">
        <v>34</v>
      </c>
      <c r="B13" s="112" t="s">
        <v>35</v>
      </c>
      <c r="C13" s="112"/>
      <c r="D13" s="109"/>
      <c r="E13" s="872" t="s">
        <v>36</v>
      </c>
      <c r="F13" s="873"/>
      <c r="G13" s="872" t="s">
        <v>37</v>
      </c>
      <c r="H13" s="873"/>
      <c r="J13" s="113"/>
      <c r="K13" s="109"/>
      <c r="L13" s="109"/>
      <c r="M13" s="109"/>
      <c r="N13" s="109"/>
      <c r="O13" s="109"/>
    </row>
    <row r="14" spans="1:15" x14ac:dyDescent="0.3">
      <c r="A14" s="109"/>
      <c r="B14" s="109" t="s">
        <v>38</v>
      </c>
      <c r="C14" s="109"/>
      <c r="D14" s="109"/>
      <c r="E14" s="874"/>
      <c r="F14" s="874"/>
      <c r="G14" s="874"/>
      <c r="H14" s="874"/>
      <c r="I14" s="109" t="s">
        <v>39</v>
      </c>
      <c r="K14" s="109"/>
      <c r="L14" s="109"/>
      <c r="M14" s="109"/>
      <c r="N14" s="109"/>
      <c r="O14" s="109"/>
    </row>
    <row r="15" spans="1:15" x14ac:dyDescent="0.3">
      <c r="A15" s="109"/>
      <c r="B15" s="109" t="s">
        <v>40</v>
      </c>
      <c r="C15" s="109"/>
      <c r="D15" s="109"/>
      <c r="E15" s="874"/>
      <c r="F15" s="874"/>
      <c r="G15" s="874"/>
      <c r="H15" s="874"/>
      <c r="I15" s="109" t="s">
        <v>41</v>
      </c>
      <c r="K15" s="109"/>
      <c r="L15" s="109"/>
      <c r="M15" s="109"/>
      <c r="N15" s="109"/>
      <c r="O15" s="109"/>
    </row>
    <row r="16" spans="1:15" x14ac:dyDescent="0.3">
      <c r="A16" s="109"/>
      <c r="B16" s="109" t="s">
        <v>42</v>
      </c>
      <c r="C16" s="109"/>
      <c r="D16" s="114"/>
      <c r="E16" s="115"/>
      <c r="F16" s="116"/>
      <c r="G16" s="116"/>
      <c r="H16" s="117"/>
      <c r="I16" s="109" t="s">
        <v>43</v>
      </c>
      <c r="K16" s="109"/>
      <c r="L16" s="109"/>
      <c r="M16" s="109"/>
      <c r="N16" s="109"/>
      <c r="O16" s="109"/>
    </row>
    <row r="17" spans="1:15" x14ac:dyDescent="0.3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</row>
    <row r="18" spans="1:15" x14ac:dyDescent="0.3">
      <c r="A18" s="112" t="s">
        <v>44</v>
      </c>
      <c r="B18" s="112" t="s">
        <v>45</v>
      </c>
      <c r="C18" s="112"/>
      <c r="D18" s="109"/>
      <c r="E18" s="112"/>
      <c r="F18" s="112"/>
      <c r="G18" s="112"/>
      <c r="H18" s="112"/>
      <c r="I18" s="109"/>
      <c r="J18" s="109"/>
      <c r="K18" s="109"/>
      <c r="L18" s="109"/>
      <c r="N18" s="221" t="s">
        <v>46</v>
      </c>
    </row>
    <row r="19" spans="1:15" ht="15" customHeight="1" x14ac:dyDescent="0.3">
      <c r="A19" s="109"/>
      <c r="B19" s="109" t="s">
        <v>47</v>
      </c>
      <c r="C19" s="109"/>
      <c r="D19" s="110" t="s">
        <v>26</v>
      </c>
      <c r="E19" s="109" t="s">
        <v>48</v>
      </c>
      <c r="F19" s="109"/>
      <c r="G19" s="109"/>
      <c r="H19" s="819" t="s">
        <v>49</v>
      </c>
      <c r="I19" s="819"/>
      <c r="J19" s="819"/>
      <c r="K19" s="819"/>
      <c r="L19" s="819"/>
      <c r="N19" s="426">
        <v>0.05</v>
      </c>
    </row>
    <row r="20" spans="1:15" x14ac:dyDescent="0.3">
      <c r="A20" s="109"/>
      <c r="B20" s="109" t="s">
        <v>50</v>
      </c>
      <c r="C20" s="109"/>
      <c r="D20" s="110" t="s">
        <v>26</v>
      </c>
      <c r="E20" s="109" t="s">
        <v>48</v>
      </c>
      <c r="F20" s="109"/>
      <c r="G20" s="109"/>
      <c r="H20" s="819"/>
      <c r="I20" s="819"/>
      <c r="J20" s="819"/>
      <c r="K20" s="819"/>
      <c r="L20" s="819"/>
      <c r="N20" s="426">
        <v>0.05</v>
      </c>
    </row>
    <row r="21" spans="1:15" x14ac:dyDescent="0.25">
      <c r="A21" s="125"/>
      <c r="B21" s="125"/>
    </row>
    <row r="22" spans="1:15" x14ac:dyDescent="0.3">
      <c r="A22" s="112" t="s">
        <v>51</v>
      </c>
      <c r="B22" s="112" t="s">
        <v>52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</row>
    <row r="23" spans="1:15" ht="12.75" customHeight="1" x14ac:dyDescent="0.25">
      <c r="A23" s="864" t="s">
        <v>53</v>
      </c>
      <c r="B23" s="868" t="s">
        <v>54</v>
      </c>
      <c r="C23" s="869"/>
      <c r="D23" s="869"/>
      <c r="E23" s="869"/>
      <c r="F23" s="869"/>
      <c r="G23" s="869"/>
      <c r="H23" s="869"/>
      <c r="I23" s="869"/>
      <c r="J23" s="821" t="s">
        <v>55</v>
      </c>
      <c r="K23" s="822"/>
      <c r="L23" s="821" t="s">
        <v>56</v>
      </c>
      <c r="M23" s="822"/>
      <c r="N23" s="820" t="s">
        <v>46</v>
      </c>
    </row>
    <row r="24" spans="1:15" ht="29.25" customHeight="1" x14ac:dyDescent="0.25">
      <c r="A24" s="865"/>
      <c r="B24" s="870"/>
      <c r="C24" s="871"/>
      <c r="D24" s="871"/>
      <c r="E24" s="871"/>
      <c r="F24" s="871"/>
      <c r="G24" s="871"/>
      <c r="H24" s="871"/>
      <c r="I24" s="871"/>
      <c r="J24" s="823"/>
      <c r="K24" s="824"/>
      <c r="L24" s="866"/>
      <c r="M24" s="867"/>
      <c r="N24" s="820"/>
    </row>
    <row r="25" spans="1:15" x14ac:dyDescent="0.3">
      <c r="A25" s="118">
        <v>1</v>
      </c>
      <c r="B25" s="148" t="s">
        <v>57</v>
      </c>
      <c r="C25" s="149"/>
      <c r="D25" s="149"/>
      <c r="E25" s="149"/>
      <c r="F25" s="149"/>
      <c r="G25" s="149"/>
      <c r="H25" s="149"/>
      <c r="I25" s="149"/>
      <c r="J25" s="115"/>
      <c r="K25" s="226" t="s">
        <v>58</v>
      </c>
      <c r="L25" s="444" t="s">
        <v>59</v>
      </c>
      <c r="M25" s="445" t="s">
        <v>60</v>
      </c>
      <c r="N25" s="426">
        <v>0.1</v>
      </c>
      <c r="O25" s="835">
        <v>0.4</v>
      </c>
    </row>
    <row r="26" spans="1:15" x14ac:dyDescent="0.3">
      <c r="A26" s="859">
        <v>2</v>
      </c>
      <c r="B26" s="148" t="s">
        <v>61</v>
      </c>
      <c r="C26" s="149"/>
      <c r="D26" s="149"/>
      <c r="E26" s="149"/>
      <c r="F26" s="149"/>
      <c r="G26" s="149"/>
      <c r="H26" s="149"/>
      <c r="I26" s="149"/>
      <c r="J26" s="115"/>
      <c r="K26" s="226" t="s">
        <v>62</v>
      </c>
      <c r="L26" s="444" t="s">
        <v>63</v>
      </c>
      <c r="M26" s="445" t="s">
        <v>62</v>
      </c>
      <c r="N26" s="835">
        <v>0.1</v>
      </c>
      <c r="O26" s="835"/>
    </row>
    <row r="27" spans="1:15" x14ac:dyDescent="0.3">
      <c r="A27" s="860"/>
      <c r="B27" s="148" t="s">
        <v>64</v>
      </c>
      <c r="C27" s="149"/>
      <c r="D27" s="149"/>
      <c r="E27" s="149"/>
      <c r="F27" s="149"/>
      <c r="G27" s="149"/>
      <c r="H27" s="149"/>
      <c r="I27" s="149"/>
      <c r="J27" s="115"/>
      <c r="K27" s="226" t="s">
        <v>62</v>
      </c>
      <c r="L27" s="444" t="s">
        <v>65</v>
      </c>
      <c r="M27" s="445" t="s">
        <v>62</v>
      </c>
      <c r="N27" s="820"/>
      <c r="O27" s="835"/>
    </row>
    <row r="28" spans="1:15" x14ac:dyDescent="0.3">
      <c r="A28" s="859">
        <v>3</v>
      </c>
      <c r="B28" s="148" t="s">
        <v>66</v>
      </c>
      <c r="C28" s="149"/>
      <c r="D28" s="149"/>
      <c r="E28" s="149"/>
      <c r="F28" s="149"/>
      <c r="G28" s="149"/>
      <c r="H28" s="149"/>
      <c r="I28" s="149"/>
      <c r="J28" s="115"/>
      <c r="K28" s="226" t="s">
        <v>67</v>
      </c>
      <c r="L28" s="444" t="s">
        <v>68</v>
      </c>
      <c r="M28" s="445" t="s">
        <v>67</v>
      </c>
      <c r="N28" s="835">
        <v>0.1</v>
      </c>
      <c r="O28" s="835"/>
    </row>
    <row r="29" spans="1:15" x14ac:dyDescent="0.3">
      <c r="A29" s="860"/>
      <c r="B29" s="148" t="s">
        <v>69</v>
      </c>
      <c r="C29" s="149"/>
      <c r="D29" s="149"/>
      <c r="E29" s="149"/>
      <c r="F29" s="149"/>
      <c r="G29" s="149"/>
      <c r="H29" s="149"/>
      <c r="I29" s="149"/>
      <c r="J29" s="115"/>
      <c r="K29" s="226" t="s">
        <v>67</v>
      </c>
      <c r="L29" s="444" t="s">
        <v>70</v>
      </c>
      <c r="M29" s="445" t="s">
        <v>67</v>
      </c>
      <c r="N29" s="820"/>
      <c r="O29" s="835"/>
    </row>
    <row r="30" spans="1:15" x14ac:dyDescent="0.3">
      <c r="A30" s="118">
        <v>4</v>
      </c>
      <c r="B30" s="148" t="s">
        <v>71</v>
      </c>
      <c r="C30" s="149"/>
      <c r="D30" s="149"/>
      <c r="E30" s="149"/>
      <c r="F30" s="149"/>
      <c r="G30" s="149"/>
      <c r="H30" s="149"/>
      <c r="I30" s="149"/>
      <c r="J30" s="115"/>
      <c r="K30" s="226" t="s">
        <v>67</v>
      </c>
      <c r="L30" s="444" t="s">
        <v>72</v>
      </c>
      <c r="M30" s="445" t="s">
        <v>67</v>
      </c>
      <c r="N30" s="426">
        <v>0.1</v>
      </c>
      <c r="O30" s="835"/>
    </row>
    <row r="31" spans="1:15" x14ac:dyDescent="0.3">
      <c r="A31" s="119"/>
      <c r="B31" s="109"/>
      <c r="C31" s="109"/>
      <c r="D31" s="109"/>
      <c r="E31" s="109"/>
      <c r="F31" s="109"/>
      <c r="G31" s="120"/>
      <c r="H31" s="120"/>
      <c r="I31" s="121"/>
      <c r="J31" s="121"/>
      <c r="K31" s="109"/>
      <c r="L31" s="122" t="s">
        <v>73</v>
      </c>
      <c r="M31" s="123" t="s">
        <v>74</v>
      </c>
    </row>
    <row r="32" spans="1:15" x14ac:dyDescent="0.3">
      <c r="A32" s="125" t="s">
        <v>75</v>
      </c>
      <c r="B32" s="125" t="s">
        <v>76</v>
      </c>
      <c r="C32" s="109"/>
      <c r="D32" s="109"/>
      <c r="E32" s="109"/>
      <c r="F32" s="109"/>
      <c r="G32" s="120"/>
      <c r="H32" s="120"/>
      <c r="I32" s="121"/>
      <c r="J32" s="121"/>
      <c r="K32" s="109"/>
      <c r="L32" s="110"/>
      <c r="M32" s="123"/>
      <c r="N32" s="79"/>
      <c r="O32" s="120"/>
    </row>
    <row r="33" spans="1:15" x14ac:dyDescent="0.25">
      <c r="A33" s="125"/>
      <c r="B33" s="125" t="s">
        <v>77</v>
      </c>
      <c r="K33" s="124" t="s">
        <v>78</v>
      </c>
    </row>
    <row r="34" spans="1:15" ht="15" customHeight="1" x14ac:dyDescent="0.25">
      <c r="A34" s="79"/>
      <c r="B34" s="820" t="s">
        <v>53</v>
      </c>
      <c r="C34" s="820" t="s">
        <v>54</v>
      </c>
      <c r="D34" s="820"/>
      <c r="E34" s="814" t="s">
        <v>79</v>
      </c>
      <c r="F34" s="847" t="s">
        <v>80</v>
      </c>
      <c r="G34" s="820"/>
      <c r="H34" s="820"/>
      <c r="I34" s="820" t="s">
        <v>81</v>
      </c>
      <c r="J34" s="820"/>
      <c r="K34" s="820"/>
      <c r="L34" s="820"/>
    </row>
    <row r="35" spans="1:15" x14ac:dyDescent="0.25">
      <c r="A35" s="79"/>
      <c r="B35" s="820"/>
      <c r="C35" s="820"/>
      <c r="D35" s="820"/>
      <c r="E35" s="849"/>
      <c r="F35" s="820"/>
      <c r="G35" s="820"/>
      <c r="H35" s="820"/>
      <c r="I35" s="820"/>
      <c r="J35" s="820"/>
      <c r="K35" s="820"/>
      <c r="L35" s="820"/>
      <c r="N35" s="323" t="s">
        <v>46</v>
      </c>
    </row>
    <row r="36" spans="1:15" ht="15" customHeight="1" x14ac:dyDescent="0.25">
      <c r="A36" s="79"/>
      <c r="B36" s="828">
        <v>1</v>
      </c>
      <c r="C36" s="827" t="s">
        <v>82</v>
      </c>
      <c r="D36" s="827"/>
      <c r="E36" s="861" t="s">
        <v>83</v>
      </c>
      <c r="F36" s="836" t="s">
        <v>84</v>
      </c>
      <c r="G36" s="837"/>
      <c r="H36" s="838"/>
      <c r="I36" s="827" t="s">
        <v>85</v>
      </c>
      <c r="J36" s="827"/>
      <c r="K36" s="827"/>
      <c r="L36" s="827"/>
      <c r="N36" s="842"/>
    </row>
    <row r="37" spans="1:15" x14ac:dyDescent="0.25">
      <c r="A37" s="79"/>
      <c r="B37" s="828"/>
      <c r="C37" s="827"/>
      <c r="D37" s="827"/>
      <c r="E37" s="862"/>
      <c r="F37" s="839"/>
      <c r="G37" s="840"/>
      <c r="H37" s="841"/>
      <c r="I37" s="827"/>
      <c r="J37" s="827"/>
      <c r="K37" s="827"/>
      <c r="L37" s="827"/>
      <c r="N37" s="843"/>
    </row>
    <row r="38" spans="1:15" ht="15" customHeight="1" x14ac:dyDescent="0.25">
      <c r="A38" s="79"/>
      <c r="B38" s="828">
        <v>2</v>
      </c>
      <c r="C38" s="827" t="s">
        <v>86</v>
      </c>
      <c r="D38" s="827"/>
      <c r="E38" s="862"/>
      <c r="F38" s="836" t="s">
        <v>84</v>
      </c>
      <c r="G38" s="837"/>
      <c r="H38" s="838"/>
      <c r="I38" s="827" t="s">
        <v>87</v>
      </c>
      <c r="J38" s="827"/>
      <c r="K38" s="827"/>
      <c r="L38" s="827"/>
      <c r="N38" s="842"/>
    </row>
    <row r="39" spans="1:15" x14ac:dyDescent="0.25">
      <c r="A39" s="79"/>
      <c r="B39" s="828"/>
      <c r="C39" s="827"/>
      <c r="D39" s="827"/>
      <c r="E39" s="863"/>
      <c r="F39" s="839"/>
      <c r="G39" s="840"/>
      <c r="H39" s="841"/>
      <c r="I39" s="827"/>
      <c r="J39" s="827"/>
      <c r="K39" s="827"/>
      <c r="L39" s="827"/>
      <c r="N39" s="843"/>
    </row>
    <row r="40" spans="1:15" ht="15" customHeight="1" x14ac:dyDescent="0.25">
      <c r="A40" s="79"/>
      <c r="B40" s="828">
        <v>3</v>
      </c>
      <c r="C40" s="827" t="s">
        <v>88</v>
      </c>
      <c r="D40" s="827"/>
      <c r="E40" s="827" t="s">
        <v>89</v>
      </c>
      <c r="F40" s="836" t="s">
        <v>84</v>
      </c>
      <c r="G40" s="837"/>
      <c r="H40" s="838"/>
      <c r="I40" s="827" t="s">
        <v>90</v>
      </c>
      <c r="J40" s="827"/>
      <c r="K40" s="827"/>
      <c r="L40" s="827"/>
      <c r="N40" s="425"/>
    </row>
    <row r="41" spans="1:15" x14ac:dyDescent="0.25">
      <c r="A41" s="126"/>
      <c r="B41" s="828"/>
      <c r="C41" s="827"/>
      <c r="D41" s="827"/>
      <c r="E41" s="827"/>
      <c r="F41" s="839"/>
      <c r="G41" s="840"/>
      <c r="H41" s="841"/>
      <c r="I41" s="827"/>
      <c r="J41" s="827"/>
      <c r="K41" s="827"/>
      <c r="L41" s="827"/>
    </row>
    <row r="42" spans="1:15" x14ac:dyDescent="0.25">
      <c r="A42" s="126"/>
      <c r="B42" s="126"/>
      <c r="C42" s="127"/>
      <c r="E42" s="131"/>
      <c r="F42" s="131"/>
      <c r="G42" s="131"/>
      <c r="H42" s="427"/>
      <c r="I42" s="427"/>
      <c r="J42" s="427"/>
      <c r="K42" s="427"/>
    </row>
    <row r="43" spans="1:15" x14ac:dyDescent="0.25">
      <c r="B43" s="125" t="s">
        <v>91</v>
      </c>
    </row>
    <row r="44" spans="1:15" ht="12.75" customHeight="1" x14ac:dyDescent="0.25">
      <c r="A44" s="79"/>
      <c r="B44" s="820" t="s">
        <v>53</v>
      </c>
      <c r="C44" s="820" t="s">
        <v>54</v>
      </c>
      <c r="D44" s="814" t="s">
        <v>92</v>
      </c>
      <c r="E44" s="814" t="s">
        <v>93</v>
      </c>
      <c r="F44" s="844" t="s">
        <v>94</v>
      </c>
      <c r="G44" s="845"/>
      <c r="H44" s="845"/>
      <c r="I44" s="845"/>
      <c r="J44" s="846"/>
      <c r="K44" s="847" t="s">
        <v>81</v>
      </c>
      <c r="L44" s="847"/>
      <c r="N44" s="820" t="s">
        <v>46</v>
      </c>
      <c r="O44" s="79"/>
    </row>
    <row r="45" spans="1:15" ht="27.75" customHeight="1" x14ac:dyDescent="0.25">
      <c r="A45" s="79"/>
      <c r="B45" s="820"/>
      <c r="C45" s="820"/>
      <c r="D45" s="849"/>
      <c r="E45" s="815"/>
      <c r="F45" s="128" t="s">
        <v>95</v>
      </c>
      <c r="G45" s="128" t="s">
        <v>96</v>
      </c>
      <c r="H45" s="128" t="s">
        <v>97</v>
      </c>
      <c r="I45" s="128" t="s">
        <v>98</v>
      </c>
      <c r="J45" s="128" t="s">
        <v>99</v>
      </c>
      <c r="K45" s="847"/>
      <c r="L45" s="847"/>
      <c r="N45" s="820"/>
      <c r="O45" s="79"/>
    </row>
    <row r="46" spans="1:15" ht="15" customHeight="1" x14ac:dyDescent="0.25">
      <c r="A46" s="79"/>
      <c r="B46" s="833">
        <v>1</v>
      </c>
      <c r="C46" s="852" t="s">
        <v>100</v>
      </c>
      <c r="D46" s="129" t="s">
        <v>101</v>
      </c>
      <c r="E46" s="856"/>
      <c r="F46" s="130"/>
      <c r="G46" s="130"/>
      <c r="H46" s="130"/>
      <c r="I46" s="130"/>
      <c r="J46" s="130"/>
      <c r="K46" s="828" t="s">
        <v>90</v>
      </c>
      <c r="L46" s="828"/>
      <c r="N46" s="426">
        <v>0.05</v>
      </c>
      <c r="O46" s="79"/>
    </row>
    <row r="47" spans="1:15" ht="15" customHeight="1" x14ac:dyDescent="0.25">
      <c r="A47" s="79"/>
      <c r="B47" s="833"/>
      <c r="C47" s="852"/>
      <c r="D47" s="129" t="s">
        <v>102</v>
      </c>
      <c r="E47" s="857"/>
      <c r="F47" s="130"/>
      <c r="G47" s="130"/>
      <c r="H47" s="130"/>
      <c r="I47" s="130"/>
      <c r="J47" s="130"/>
      <c r="K47" s="828"/>
      <c r="L47" s="828"/>
      <c r="N47" s="426">
        <v>0.05</v>
      </c>
      <c r="O47" s="79"/>
    </row>
    <row r="48" spans="1:15" ht="15" customHeight="1" x14ac:dyDescent="0.25">
      <c r="A48" s="79"/>
      <c r="B48" s="833"/>
      <c r="C48" s="852"/>
      <c r="D48" s="129" t="s">
        <v>103</v>
      </c>
      <c r="E48" s="857"/>
      <c r="F48" s="130"/>
      <c r="G48" s="130"/>
      <c r="H48" s="130"/>
      <c r="I48" s="130"/>
      <c r="J48" s="130"/>
      <c r="K48" s="828"/>
      <c r="L48" s="828"/>
      <c r="N48" s="426">
        <v>0.05</v>
      </c>
      <c r="O48" s="79"/>
    </row>
    <row r="49" spans="1:15" ht="15" customHeight="1" x14ac:dyDescent="0.25">
      <c r="A49" s="79"/>
      <c r="B49" s="833"/>
      <c r="C49" s="852"/>
      <c r="D49" s="129" t="s">
        <v>104</v>
      </c>
      <c r="E49" s="857"/>
      <c r="F49" s="130"/>
      <c r="G49" s="130"/>
      <c r="H49" s="130"/>
      <c r="I49" s="130"/>
      <c r="J49" s="130"/>
      <c r="K49" s="828"/>
      <c r="L49" s="828"/>
      <c r="N49" s="426">
        <v>0.05</v>
      </c>
      <c r="O49" s="79"/>
    </row>
    <row r="50" spans="1:15" ht="15" customHeight="1" x14ac:dyDescent="0.25">
      <c r="A50" s="79"/>
      <c r="B50" s="834"/>
      <c r="C50" s="853"/>
      <c r="D50" s="129" t="s">
        <v>105</v>
      </c>
      <c r="E50" s="858"/>
      <c r="F50" s="130"/>
      <c r="G50" s="130"/>
      <c r="H50" s="130"/>
      <c r="I50" s="130"/>
      <c r="J50" s="130"/>
      <c r="K50" s="828"/>
      <c r="L50" s="828"/>
      <c r="N50" s="426">
        <v>0.05</v>
      </c>
      <c r="O50" s="79"/>
    </row>
    <row r="51" spans="1:15" ht="9" customHeight="1" x14ac:dyDescent="0.25">
      <c r="A51" s="158"/>
      <c r="B51" s="142"/>
      <c r="C51" s="143"/>
      <c r="D51" s="144"/>
      <c r="E51" s="145"/>
      <c r="F51" s="145"/>
      <c r="G51" s="145"/>
      <c r="H51" s="145"/>
      <c r="I51" s="145"/>
      <c r="J51" s="146"/>
      <c r="K51" s="131"/>
    </row>
    <row r="52" spans="1:15" x14ac:dyDescent="0.25">
      <c r="B52" s="125" t="s">
        <v>106</v>
      </c>
    </row>
    <row r="53" spans="1:15" ht="12.75" customHeight="1" x14ac:dyDescent="0.25">
      <c r="A53" s="79"/>
      <c r="B53" s="820" t="s">
        <v>53</v>
      </c>
      <c r="C53" s="825" t="s">
        <v>54</v>
      </c>
      <c r="D53" s="814" t="s">
        <v>107</v>
      </c>
      <c r="E53" s="814" t="s">
        <v>108</v>
      </c>
      <c r="F53" s="844" t="s">
        <v>109</v>
      </c>
      <c r="G53" s="845"/>
      <c r="H53" s="845"/>
      <c r="I53" s="845"/>
      <c r="J53" s="846"/>
      <c r="K53" s="829" t="s">
        <v>81</v>
      </c>
      <c r="L53" s="830"/>
      <c r="N53" s="825" t="s">
        <v>46</v>
      </c>
      <c r="O53" s="79"/>
    </row>
    <row r="54" spans="1:15" ht="16.5" customHeight="1" x14ac:dyDescent="0.25">
      <c r="A54" s="79"/>
      <c r="B54" s="820"/>
      <c r="C54" s="855"/>
      <c r="D54" s="849"/>
      <c r="E54" s="815"/>
      <c r="F54" s="128" t="s">
        <v>95</v>
      </c>
      <c r="G54" s="128" t="s">
        <v>96</v>
      </c>
      <c r="H54" s="128" t="s">
        <v>97</v>
      </c>
      <c r="I54" s="128" t="s">
        <v>98</v>
      </c>
      <c r="J54" s="128" t="s">
        <v>99</v>
      </c>
      <c r="K54" s="831"/>
      <c r="L54" s="832"/>
      <c r="N54" s="826"/>
      <c r="O54" s="79"/>
    </row>
    <row r="55" spans="1:15" ht="17.25" customHeight="1" x14ac:dyDescent="0.25">
      <c r="A55" s="79"/>
      <c r="B55" s="854">
        <v>1</v>
      </c>
      <c r="C55" s="851" t="s">
        <v>110</v>
      </c>
      <c r="D55" s="129" t="s">
        <v>111</v>
      </c>
      <c r="E55" s="816" t="s">
        <v>112</v>
      </c>
      <c r="F55" s="130"/>
      <c r="G55" s="130"/>
      <c r="H55" s="130"/>
      <c r="I55" s="130"/>
      <c r="J55" s="130"/>
      <c r="K55" s="848" t="s">
        <v>90</v>
      </c>
      <c r="L55" s="848"/>
      <c r="N55" s="835">
        <v>0.05</v>
      </c>
      <c r="O55" s="79"/>
    </row>
    <row r="56" spans="1:15" ht="17.25" customHeight="1" x14ac:dyDescent="0.25">
      <c r="A56" s="79"/>
      <c r="B56" s="854"/>
      <c r="C56" s="852"/>
      <c r="D56" s="129" t="s">
        <v>113</v>
      </c>
      <c r="E56" s="817"/>
      <c r="F56" s="130"/>
      <c r="G56" s="130"/>
      <c r="H56" s="130"/>
      <c r="I56" s="130"/>
      <c r="J56" s="130"/>
      <c r="K56" s="848"/>
      <c r="L56" s="848"/>
      <c r="N56" s="835"/>
      <c r="O56" s="79"/>
    </row>
    <row r="57" spans="1:15" ht="17.25" customHeight="1" x14ac:dyDescent="0.25">
      <c r="A57" s="79"/>
      <c r="B57" s="854"/>
      <c r="C57" s="852"/>
      <c r="D57" s="129" t="s">
        <v>114</v>
      </c>
      <c r="E57" s="817"/>
      <c r="F57" s="130"/>
      <c r="G57" s="130"/>
      <c r="H57" s="130"/>
      <c r="I57" s="130"/>
      <c r="J57" s="130"/>
      <c r="K57" s="848"/>
      <c r="L57" s="848"/>
      <c r="N57" s="835"/>
      <c r="O57" s="79"/>
    </row>
    <row r="58" spans="1:15" ht="17.25" customHeight="1" x14ac:dyDescent="0.25">
      <c r="A58" s="79"/>
      <c r="B58" s="854"/>
      <c r="C58" s="852"/>
      <c r="D58" s="129" t="s">
        <v>103</v>
      </c>
      <c r="E58" s="818"/>
      <c r="F58" s="130"/>
      <c r="G58" s="130"/>
      <c r="H58" s="130"/>
      <c r="I58" s="130"/>
      <c r="J58" s="130"/>
      <c r="K58" s="848"/>
      <c r="L58" s="848"/>
      <c r="N58" s="835"/>
      <c r="O58" s="79"/>
    </row>
    <row r="59" spans="1:15" ht="17.25" customHeight="1" x14ac:dyDescent="0.25">
      <c r="A59" s="79"/>
      <c r="B59" s="854">
        <v>2</v>
      </c>
      <c r="C59" s="852"/>
      <c r="D59" s="129" t="s">
        <v>111</v>
      </c>
      <c r="E59" s="816" t="s">
        <v>115</v>
      </c>
      <c r="F59" s="130"/>
      <c r="G59" s="130"/>
      <c r="H59" s="130"/>
      <c r="I59" s="130"/>
      <c r="J59" s="130"/>
      <c r="K59" s="848"/>
      <c r="L59" s="848"/>
      <c r="N59" s="835">
        <v>0.05</v>
      </c>
      <c r="O59" s="79"/>
    </row>
    <row r="60" spans="1:15" ht="17.25" customHeight="1" x14ac:dyDescent="0.25">
      <c r="A60" s="79"/>
      <c r="B60" s="854"/>
      <c r="C60" s="852"/>
      <c r="D60" s="129" t="s">
        <v>113</v>
      </c>
      <c r="E60" s="817"/>
      <c r="F60" s="130"/>
      <c r="G60" s="130"/>
      <c r="H60" s="130"/>
      <c r="I60" s="130"/>
      <c r="J60" s="130"/>
      <c r="K60" s="848"/>
      <c r="L60" s="848"/>
      <c r="N60" s="835"/>
      <c r="O60" s="79"/>
    </row>
    <row r="61" spans="1:15" ht="17.25" customHeight="1" x14ac:dyDescent="0.25">
      <c r="A61" s="79"/>
      <c r="B61" s="854"/>
      <c r="C61" s="852"/>
      <c r="D61" s="129" t="s">
        <v>114</v>
      </c>
      <c r="E61" s="817"/>
      <c r="F61" s="130"/>
      <c r="G61" s="130"/>
      <c r="H61" s="130"/>
      <c r="I61" s="130"/>
      <c r="J61" s="130"/>
      <c r="K61" s="848"/>
      <c r="L61" s="848"/>
      <c r="N61" s="835"/>
      <c r="O61" s="79"/>
    </row>
    <row r="62" spans="1:15" ht="17.25" customHeight="1" x14ac:dyDescent="0.25">
      <c r="A62" s="79"/>
      <c r="B62" s="854"/>
      <c r="C62" s="852"/>
      <c r="D62" s="129" t="s">
        <v>103</v>
      </c>
      <c r="E62" s="818"/>
      <c r="F62" s="130"/>
      <c r="G62" s="130"/>
      <c r="H62" s="130"/>
      <c r="I62" s="130"/>
      <c r="J62" s="130"/>
      <c r="K62" s="848"/>
      <c r="L62" s="848"/>
      <c r="N62" s="835"/>
      <c r="O62" s="79"/>
    </row>
    <row r="63" spans="1:15" ht="17.25" customHeight="1" x14ac:dyDescent="0.25">
      <c r="A63" s="79"/>
      <c r="B63" s="833">
        <v>3</v>
      </c>
      <c r="C63" s="852"/>
      <c r="D63" s="129" t="s">
        <v>111</v>
      </c>
      <c r="E63" s="816" t="s">
        <v>116</v>
      </c>
      <c r="F63" s="130"/>
      <c r="G63" s="130"/>
      <c r="H63" s="130"/>
      <c r="I63" s="130"/>
      <c r="J63" s="130"/>
      <c r="K63" s="848"/>
      <c r="L63" s="848"/>
      <c r="N63" s="835">
        <v>0.05</v>
      </c>
      <c r="O63" s="79"/>
    </row>
    <row r="64" spans="1:15" ht="17.25" customHeight="1" x14ac:dyDescent="0.25">
      <c r="A64" s="79"/>
      <c r="B64" s="833"/>
      <c r="C64" s="852"/>
      <c r="D64" s="129" t="s">
        <v>113</v>
      </c>
      <c r="E64" s="817"/>
      <c r="F64" s="130"/>
      <c r="G64" s="130"/>
      <c r="H64" s="130"/>
      <c r="I64" s="130"/>
      <c r="J64" s="130"/>
      <c r="K64" s="848"/>
      <c r="L64" s="848"/>
      <c r="N64" s="835"/>
      <c r="O64" s="79"/>
    </row>
    <row r="65" spans="1:15" ht="17.25" customHeight="1" x14ac:dyDescent="0.25">
      <c r="A65" s="79"/>
      <c r="B65" s="833"/>
      <c r="C65" s="852"/>
      <c r="D65" s="129" t="s">
        <v>114</v>
      </c>
      <c r="E65" s="817"/>
      <c r="F65" s="130"/>
      <c r="G65" s="130"/>
      <c r="H65" s="130"/>
      <c r="I65" s="130"/>
      <c r="J65" s="130"/>
      <c r="K65" s="848"/>
      <c r="L65" s="848"/>
      <c r="N65" s="835"/>
      <c r="O65" s="79"/>
    </row>
    <row r="66" spans="1:15" ht="17.25" customHeight="1" x14ac:dyDescent="0.25">
      <c r="A66" s="79"/>
      <c r="B66" s="834"/>
      <c r="C66" s="853"/>
      <c r="D66" s="129" t="s">
        <v>103</v>
      </c>
      <c r="E66" s="818"/>
      <c r="F66" s="130"/>
      <c r="G66" s="130"/>
      <c r="H66" s="130"/>
      <c r="I66" s="130"/>
      <c r="J66" s="130"/>
      <c r="K66" s="848"/>
      <c r="L66" s="848"/>
      <c r="N66" s="835"/>
      <c r="O66" s="79"/>
    </row>
    <row r="67" spans="1:15" ht="9" customHeight="1" x14ac:dyDescent="0.25">
      <c r="A67" s="79"/>
      <c r="B67" s="158"/>
      <c r="C67" s="227"/>
      <c r="D67" s="223"/>
      <c r="E67" s="131"/>
      <c r="F67" s="147"/>
      <c r="G67" s="147"/>
      <c r="H67" s="147"/>
      <c r="I67" s="147"/>
      <c r="J67" s="147"/>
      <c r="K67" s="224"/>
      <c r="N67" s="225"/>
    </row>
    <row r="68" spans="1:15" ht="17.25" customHeight="1" x14ac:dyDescent="0.25">
      <c r="A68" s="79"/>
      <c r="B68" s="158"/>
      <c r="C68" s="227"/>
      <c r="D68" s="223"/>
      <c r="E68" s="131"/>
      <c r="F68" s="147"/>
      <c r="G68" s="147"/>
      <c r="H68" s="147"/>
      <c r="I68" s="147"/>
      <c r="J68" s="147"/>
      <c r="K68" s="224"/>
      <c r="N68" s="225"/>
    </row>
    <row r="69" spans="1:15" ht="12.75" customHeight="1" x14ac:dyDescent="0.25">
      <c r="A69" s="79"/>
      <c r="B69" s="825" t="s">
        <v>53</v>
      </c>
      <c r="C69" s="820" t="s">
        <v>54</v>
      </c>
      <c r="D69" s="814" t="s">
        <v>107</v>
      </c>
      <c r="E69" s="814" t="s">
        <v>108</v>
      </c>
      <c r="F69" s="844" t="s">
        <v>109</v>
      </c>
      <c r="G69" s="845"/>
      <c r="H69" s="845"/>
      <c r="I69" s="845"/>
      <c r="J69" s="846"/>
      <c r="K69" s="847" t="s">
        <v>81</v>
      </c>
      <c r="L69" s="847"/>
      <c r="N69" s="820" t="s">
        <v>46</v>
      </c>
      <c r="O69" s="79"/>
    </row>
    <row r="70" spans="1:15" ht="16.5" customHeight="1" x14ac:dyDescent="0.25">
      <c r="A70" s="79"/>
      <c r="B70" s="826"/>
      <c r="C70" s="820"/>
      <c r="D70" s="849"/>
      <c r="E70" s="815"/>
      <c r="F70" s="221" t="s">
        <v>95</v>
      </c>
      <c r="G70" s="221" t="s">
        <v>96</v>
      </c>
      <c r="H70" s="221" t="s">
        <v>97</v>
      </c>
      <c r="I70" s="221" t="s">
        <v>98</v>
      </c>
      <c r="J70" s="221" t="s">
        <v>99</v>
      </c>
      <c r="K70" s="847"/>
      <c r="L70" s="847"/>
      <c r="N70" s="820"/>
      <c r="O70" s="79"/>
    </row>
    <row r="71" spans="1:15" ht="17.25" customHeight="1" x14ac:dyDescent="0.25">
      <c r="A71" s="79"/>
      <c r="B71" s="850">
        <v>4</v>
      </c>
      <c r="C71" s="851" t="s">
        <v>110</v>
      </c>
      <c r="D71" s="129" t="s">
        <v>111</v>
      </c>
      <c r="E71" s="816" t="s">
        <v>117</v>
      </c>
      <c r="F71" s="130"/>
      <c r="G71" s="130"/>
      <c r="H71" s="130"/>
      <c r="I71" s="130"/>
      <c r="J71" s="130"/>
      <c r="K71" s="848" t="s">
        <v>90</v>
      </c>
      <c r="L71" s="848"/>
      <c r="N71" s="835">
        <v>0.05</v>
      </c>
      <c r="O71" s="79"/>
    </row>
    <row r="72" spans="1:15" ht="17.25" customHeight="1" x14ac:dyDescent="0.25">
      <c r="A72" s="79"/>
      <c r="B72" s="833"/>
      <c r="C72" s="852"/>
      <c r="D72" s="129" t="s">
        <v>113</v>
      </c>
      <c r="E72" s="817"/>
      <c r="F72" s="130"/>
      <c r="G72" s="130"/>
      <c r="H72" s="130"/>
      <c r="I72" s="130"/>
      <c r="J72" s="130"/>
      <c r="K72" s="848"/>
      <c r="L72" s="848"/>
      <c r="N72" s="835"/>
      <c r="O72" s="79"/>
    </row>
    <row r="73" spans="1:15" ht="17.25" customHeight="1" x14ac:dyDescent="0.25">
      <c r="A73" s="79"/>
      <c r="B73" s="833"/>
      <c r="C73" s="852"/>
      <c r="D73" s="129" t="s">
        <v>114</v>
      </c>
      <c r="E73" s="817"/>
      <c r="F73" s="130"/>
      <c r="G73" s="130"/>
      <c r="H73" s="130"/>
      <c r="I73" s="130"/>
      <c r="J73" s="130"/>
      <c r="K73" s="848"/>
      <c r="L73" s="848"/>
      <c r="N73" s="835"/>
      <c r="O73" s="79"/>
    </row>
    <row r="74" spans="1:15" ht="17.25" customHeight="1" x14ac:dyDescent="0.25">
      <c r="A74" s="79"/>
      <c r="B74" s="834"/>
      <c r="C74" s="852"/>
      <c r="D74" s="129" t="s">
        <v>103</v>
      </c>
      <c r="E74" s="818"/>
      <c r="F74" s="130"/>
      <c r="G74" s="130"/>
      <c r="H74" s="130"/>
      <c r="I74" s="130"/>
      <c r="J74" s="130"/>
      <c r="K74" s="848"/>
      <c r="L74" s="848"/>
      <c r="N74" s="835"/>
      <c r="O74" s="79"/>
    </row>
    <row r="75" spans="1:15" ht="17.25" customHeight="1" x14ac:dyDescent="0.25">
      <c r="A75" s="79"/>
      <c r="B75" s="833">
        <v>5</v>
      </c>
      <c r="C75" s="852"/>
      <c r="D75" s="129" t="s">
        <v>111</v>
      </c>
      <c r="E75" s="816" t="s">
        <v>118</v>
      </c>
      <c r="F75" s="130"/>
      <c r="G75" s="130"/>
      <c r="H75" s="130"/>
      <c r="I75" s="130"/>
      <c r="J75" s="130"/>
      <c r="K75" s="848"/>
      <c r="L75" s="848"/>
      <c r="N75" s="835">
        <v>0.05</v>
      </c>
      <c r="O75" s="79"/>
    </row>
    <row r="76" spans="1:15" ht="17.25" customHeight="1" x14ac:dyDescent="0.25">
      <c r="A76" s="79"/>
      <c r="B76" s="833"/>
      <c r="C76" s="852"/>
      <c r="D76" s="129" t="s">
        <v>113</v>
      </c>
      <c r="E76" s="817"/>
      <c r="F76" s="130"/>
      <c r="G76" s="130"/>
      <c r="H76" s="130"/>
      <c r="I76" s="130"/>
      <c r="J76" s="130"/>
      <c r="K76" s="848"/>
      <c r="L76" s="848"/>
      <c r="N76" s="835"/>
      <c r="O76" s="79"/>
    </row>
    <row r="77" spans="1:15" ht="17.25" customHeight="1" x14ac:dyDescent="0.25">
      <c r="A77" s="79"/>
      <c r="B77" s="833"/>
      <c r="C77" s="852"/>
      <c r="D77" s="129" t="s">
        <v>114</v>
      </c>
      <c r="E77" s="817"/>
      <c r="F77" s="130"/>
      <c r="G77" s="130"/>
      <c r="H77" s="130"/>
      <c r="I77" s="130"/>
      <c r="J77" s="130"/>
      <c r="K77" s="848"/>
      <c r="L77" s="848"/>
      <c r="N77" s="835"/>
      <c r="O77" s="79"/>
    </row>
    <row r="78" spans="1:15" ht="17.25" customHeight="1" x14ac:dyDescent="0.25">
      <c r="A78" s="79"/>
      <c r="B78" s="834"/>
      <c r="C78" s="853"/>
      <c r="D78" s="129" t="s">
        <v>103</v>
      </c>
      <c r="E78" s="818"/>
      <c r="F78" s="130"/>
      <c r="G78" s="130"/>
      <c r="H78" s="130"/>
      <c r="I78" s="130"/>
      <c r="J78" s="130"/>
      <c r="K78" s="848"/>
      <c r="L78" s="848"/>
      <c r="N78" s="835"/>
      <c r="O78" s="79"/>
    </row>
    <row r="79" spans="1:15" ht="17.25" hidden="1" customHeight="1" x14ac:dyDescent="0.2">
      <c r="A79" s="79"/>
      <c r="B79" s="321" t="s">
        <v>119</v>
      </c>
      <c r="C79" s="210"/>
      <c r="D79" s="223"/>
      <c r="E79" s="131"/>
      <c r="F79" s="147"/>
      <c r="G79" s="147"/>
      <c r="H79" s="147"/>
      <c r="I79" s="147"/>
      <c r="J79" s="147"/>
      <c r="K79" s="224"/>
      <c r="N79" s="225"/>
    </row>
    <row r="80" spans="1:15" hidden="1" x14ac:dyDescent="0.2">
      <c r="B80" s="321" t="s">
        <v>120</v>
      </c>
    </row>
    <row r="81" spans="1:14" ht="17.25" customHeight="1" x14ac:dyDescent="0.25">
      <c r="A81" s="79"/>
      <c r="B81" s="158"/>
      <c r="C81" s="210"/>
      <c r="D81" s="223"/>
      <c r="E81" s="131"/>
      <c r="F81" s="147"/>
      <c r="G81" s="147"/>
      <c r="H81" s="147"/>
      <c r="I81" s="147"/>
      <c r="J81" s="147"/>
      <c r="K81" s="224"/>
      <c r="N81" s="225"/>
    </row>
    <row r="82" spans="1:14" x14ac:dyDescent="0.25">
      <c r="A82" s="133" t="s">
        <v>121</v>
      </c>
      <c r="B82" s="133" t="s">
        <v>122</v>
      </c>
      <c r="C82" s="126"/>
      <c r="D82" s="131"/>
      <c r="E82" s="131"/>
      <c r="F82" s="131"/>
      <c r="G82" s="131"/>
      <c r="H82" s="131"/>
      <c r="I82" s="131"/>
      <c r="J82" s="132"/>
      <c r="K82" s="132"/>
      <c r="L82" s="132"/>
    </row>
    <row r="83" spans="1:14" x14ac:dyDescent="0.25">
      <c r="A83" s="133"/>
      <c r="B83" s="134" t="s">
        <v>123</v>
      </c>
      <c r="C83" s="126"/>
      <c r="D83" s="131"/>
      <c r="E83" s="131"/>
      <c r="F83" s="131"/>
      <c r="G83" s="131"/>
      <c r="H83" s="131"/>
      <c r="I83" s="131"/>
      <c r="J83" s="132"/>
      <c r="K83" s="132"/>
      <c r="L83" s="132"/>
    </row>
    <row r="84" spans="1:14" x14ac:dyDescent="0.25">
      <c r="A84" s="125"/>
      <c r="B84" s="134" t="s">
        <v>123</v>
      </c>
      <c r="K84" s="132"/>
      <c r="L84" s="132"/>
    </row>
    <row r="85" spans="1:14" x14ac:dyDescent="0.25">
      <c r="A85" s="125"/>
      <c r="B85" s="134" t="s">
        <v>123</v>
      </c>
      <c r="K85" s="132"/>
      <c r="L85" s="132"/>
    </row>
    <row r="86" spans="1:14" ht="10.5" customHeight="1" x14ac:dyDescent="0.25">
      <c r="A86" s="125"/>
      <c r="B86" s="134"/>
      <c r="K86" s="132"/>
      <c r="L86" s="132"/>
    </row>
    <row r="87" spans="1:14" x14ac:dyDescent="0.25">
      <c r="A87" s="135" t="s">
        <v>124</v>
      </c>
      <c r="B87" s="135" t="s">
        <v>125</v>
      </c>
      <c r="C87" s="136"/>
      <c r="D87" s="137"/>
      <c r="E87" s="137"/>
      <c r="F87" s="137"/>
      <c r="G87" s="137"/>
      <c r="H87" s="137"/>
      <c r="I87" s="137"/>
      <c r="J87" s="137"/>
      <c r="K87" s="137"/>
      <c r="L87" s="137"/>
      <c r="M87" s="137"/>
    </row>
    <row r="88" spans="1:14" ht="20" x14ac:dyDescent="0.4">
      <c r="A88" s="150" t="s">
        <v>126</v>
      </c>
      <c r="B88" s="138" t="s">
        <v>127</v>
      </c>
      <c r="C88" s="137"/>
      <c r="D88" s="139"/>
      <c r="E88" s="139"/>
      <c r="F88" s="137"/>
      <c r="G88" s="137"/>
      <c r="H88" s="137"/>
      <c r="I88" s="137"/>
      <c r="J88" s="137"/>
      <c r="K88" s="137"/>
      <c r="L88" s="137"/>
      <c r="M88" s="137"/>
    </row>
    <row r="89" spans="1:14" ht="20" x14ac:dyDescent="0.4">
      <c r="A89" s="150" t="s">
        <v>126</v>
      </c>
      <c r="B89" s="124" t="s">
        <v>128</v>
      </c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</row>
    <row r="90" spans="1:14" ht="20" x14ac:dyDescent="0.4">
      <c r="A90" s="150" t="s">
        <v>126</v>
      </c>
      <c r="B90" s="124" t="s">
        <v>129</v>
      </c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</row>
    <row r="91" spans="1:14" ht="20" x14ac:dyDescent="0.4">
      <c r="A91" s="150" t="s">
        <v>126</v>
      </c>
      <c r="B91" s="124" t="s">
        <v>130</v>
      </c>
      <c r="C91" s="136"/>
      <c r="D91" s="137"/>
      <c r="E91" s="137"/>
      <c r="F91" s="137"/>
      <c r="G91" s="137"/>
      <c r="H91" s="137"/>
      <c r="I91" s="137"/>
      <c r="J91" s="137"/>
      <c r="K91" s="137"/>
      <c r="L91" s="137"/>
      <c r="M91" s="137"/>
    </row>
    <row r="92" spans="1:14" ht="20" x14ac:dyDescent="0.4">
      <c r="A92" s="150" t="s">
        <v>126</v>
      </c>
      <c r="B92" s="124" t="s">
        <v>131</v>
      </c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</row>
    <row r="93" spans="1:14" ht="20" x14ac:dyDescent="0.4">
      <c r="A93" s="150" t="s">
        <v>126</v>
      </c>
      <c r="B93" s="124" t="s">
        <v>132</v>
      </c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</row>
    <row r="94" spans="1:14" ht="20" x14ac:dyDescent="0.4">
      <c r="A94" s="150" t="s">
        <v>126</v>
      </c>
      <c r="B94" s="124" t="s">
        <v>133</v>
      </c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</row>
    <row r="95" spans="1:14" ht="20" x14ac:dyDescent="0.4">
      <c r="A95" s="150"/>
      <c r="B95" s="111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</row>
    <row r="96" spans="1:14" ht="9" customHeight="1" x14ac:dyDescent="0.25">
      <c r="A96" s="122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</row>
    <row r="97" spans="1:13" x14ac:dyDescent="0.25">
      <c r="A97" s="135" t="s">
        <v>134</v>
      </c>
      <c r="B97" s="135" t="s">
        <v>135</v>
      </c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</row>
    <row r="98" spans="1:13" x14ac:dyDescent="0.25">
      <c r="A98" s="137"/>
      <c r="B98" s="141" t="s">
        <v>136</v>
      </c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</row>
  </sheetData>
  <sheetProtection insertRows="0"/>
  <mergeCells count="84">
    <mergeCell ref="E13:F13"/>
    <mergeCell ref="G13:H13"/>
    <mergeCell ref="E14:F14"/>
    <mergeCell ref="G14:H14"/>
    <mergeCell ref="G15:H15"/>
    <mergeCell ref="E15:F15"/>
    <mergeCell ref="A28:A29"/>
    <mergeCell ref="E36:E39"/>
    <mergeCell ref="B34:B35"/>
    <mergeCell ref="A23:A24"/>
    <mergeCell ref="L23:M24"/>
    <mergeCell ref="B23:I24"/>
    <mergeCell ref="A26:A27"/>
    <mergeCell ref="C34:D35"/>
    <mergeCell ref="B53:B54"/>
    <mergeCell ref="C53:C54"/>
    <mergeCell ref="D53:D54"/>
    <mergeCell ref="F53:J53"/>
    <mergeCell ref="C46:C50"/>
    <mergeCell ref="E46:E50"/>
    <mergeCell ref="B63:B66"/>
    <mergeCell ref="B75:B78"/>
    <mergeCell ref="B71:B74"/>
    <mergeCell ref="B69:B70"/>
    <mergeCell ref="C69:C70"/>
    <mergeCell ref="C55:C66"/>
    <mergeCell ref="B59:B62"/>
    <mergeCell ref="B55:B58"/>
    <mergeCell ref="C71:C78"/>
    <mergeCell ref="E75:E78"/>
    <mergeCell ref="D69:D70"/>
    <mergeCell ref="B44:B45"/>
    <mergeCell ref="F36:H37"/>
    <mergeCell ref="I34:L35"/>
    <mergeCell ref="I36:L37"/>
    <mergeCell ref="F44:J44"/>
    <mergeCell ref="I38:L39"/>
    <mergeCell ref="F34:H35"/>
    <mergeCell ref="F38:H39"/>
    <mergeCell ref="E34:E35"/>
    <mergeCell ref="C36:D37"/>
    <mergeCell ref="C38:D39"/>
    <mergeCell ref="C44:C45"/>
    <mergeCell ref="D44:D45"/>
    <mergeCell ref="B40:B41"/>
    <mergeCell ref="N75:N78"/>
    <mergeCell ref="N63:N66"/>
    <mergeCell ref="K55:L66"/>
    <mergeCell ref="K69:L70"/>
    <mergeCell ref="K71:L78"/>
    <mergeCell ref="N55:N58"/>
    <mergeCell ref="N69:N70"/>
    <mergeCell ref="O25:O30"/>
    <mergeCell ref="F40:H41"/>
    <mergeCell ref="I40:L41"/>
    <mergeCell ref="E40:E41"/>
    <mergeCell ref="E71:E74"/>
    <mergeCell ref="E59:E62"/>
    <mergeCell ref="E63:E66"/>
    <mergeCell ref="N59:N62"/>
    <mergeCell ref="N26:N27"/>
    <mergeCell ref="N28:N29"/>
    <mergeCell ref="N38:N39"/>
    <mergeCell ref="N36:N37"/>
    <mergeCell ref="F69:J69"/>
    <mergeCell ref="E69:E70"/>
    <mergeCell ref="N71:N74"/>
    <mergeCell ref="K44:L45"/>
    <mergeCell ref="A1:N1"/>
    <mergeCell ref="A2:N2"/>
    <mergeCell ref="E44:E45"/>
    <mergeCell ref="E53:E54"/>
    <mergeCell ref="E55:E58"/>
    <mergeCell ref="H19:L20"/>
    <mergeCell ref="N23:N24"/>
    <mergeCell ref="J23:K24"/>
    <mergeCell ref="N53:N54"/>
    <mergeCell ref="N44:N45"/>
    <mergeCell ref="C40:D41"/>
    <mergeCell ref="K46:L50"/>
    <mergeCell ref="K53:L54"/>
    <mergeCell ref="B38:B39"/>
    <mergeCell ref="B36:B37"/>
    <mergeCell ref="B46:B50"/>
  </mergeCells>
  <phoneticPr fontId="0" type="noConversion"/>
  <printOptions horizontalCentered="1"/>
  <pageMargins left="0.42" right="0.25" top="0.37" bottom="7.0000000000000007E-2" header="0.25" footer="0.25"/>
  <pageSetup paperSize="9" scale="70" orientation="portrait" horizontalDpi="4294967293" verticalDpi="4294967293" r:id="rId1"/>
  <headerFooter>
    <oddHeader>&amp;R&amp;"-,Regular"&amp;8KL.LK - 020-18 / REV : 0</oddHeader>
  </headerFooter>
  <rowBreaks count="1" manualBreakCount="1">
    <brk id="67" max="1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5"/>
  <sheetViews>
    <sheetView showGridLines="0" tabSelected="1" view="pageBreakPreview" topLeftCell="P36" zoomScaleNormal="100" zoomScaleSheetLayoutView="100" workbookViewId="0">
      <selection activeCell="AF43" sqref="AF43"/>
    </sheetView>
  </sheetViews>
  <sheetFormatPr defaultColWidth="9.1796875" defaultRowHeight="13" x14ac:dyDescent="0.25"/>
  <cols>
    <col min="1" max="1" width="4.1796875" style="84" customWidth="1"/>
    <col min="2" max="2" width="4.81640625" style="139" customWidth="1"/>
    <col min="3" max="3" width="16.26953125" style="139" customWidth="1"/>
    <col min="4" max="4" width="7.26953125" style="139" customWidth="1"/>
    <col min="5" max="5" width="7.36328125" style="139" customWidth="1"/>
    <col min="6" max="6" width="7.81640625" style="139" customWidth="1"/>
    <col min="7" max="7" width="6.81640625" style="139" customWidth="1"/>
    <col min="8" max="10" width="7.1796875" style="139" customWidth="1"/>
    <col min="11" max="12" width="7.453125" style="139" customWidth="1"/>
    <col min="13" max="13" width="8.453125" style="139" customWidth="1"/>
    <col min="14" max="14" width="12" style="83" customWidth="1"/>
    <col min="15" max="15" width="9.453125" style="83" customWidth="1"/>
    <col min="16" max="16" width="10.54296875" style="83" customWidth="1"/>
    <col min="17" max="17" width="10.81640625" style="84" customWidth="1"/>
    <col min="18" max="19" width="9.1796875" style="84"/>
    <col min="20" max="20" width="10" style="84" bestFit="1" customWidth="1"/>
    <col min="21" max="22" width="9.1796875" style="84"/>
    <col min="23" max="23" width="12" style="84" customWidth="1"/>
    <col min="24" max="16384" width="9.1796875" style="84"/>
  </cols>
  <sheetData>
    <row r="1" spans="1:18" ht="18.5" x14ac:dyDescent="0.25">
      <c r="A1" s="914" t="s">
        <v>137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87"/>
    </row>
    <row r="2" spans="1:18" ht="15" customHeight="1" x14ac:dyDescent="0.25">
      <c r="A2" s="229"/>
      <c r="B2" s="222"/>
      <c r="C2" s="222"/>
      <c r="D2" s="222"/>
      <c r="E2" s="222"/>
      <c r="F2" s="208"/>
      <c r="G2" s="208"/>
      <c r="H2" s="470" t="str">
        <f>IF(PENYELIA!J88&gt;=70,PENYELIA!B100,PENYELIA!B101)</f>
        <v>Nomor Sertifikat : 20 /</v>
      </c>
      <c r="I2" s="320" t="s">
        <v>138</v>
      </c>
      <c r="J2" s="222"/>
      <c r="K2" s="222"/>
      <c r="L2" s="222"/>
      <c r="M2" s="222"/>
      <c r="N2" s="228"/>
      <c r="O2" s="228"/>
      <c r="P2" s="391"/>
    </row>
    <row r="3" spans="1:18" x14ac:dyDescent="0.25">
      <c r="A3" s="338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411"/>
      <c r="O3" s="411"/>
    </row>
    <row r="4" spans="1:18" ht="15" customHeight="1" x14ac:dyDescent="0.25">
      <c r="A4" s="140" t="s">
        <v>25</v>
      </c>
      <c r="B4" s="140"/>
      <c r="C4" s="140"/>
      <c r="D4" s="412" t="s">
        <v>26</v>
      </c>
      <c r="E4" s="214" t="s">
        <v>139</v>
      </c>
      <c r="F4" s="214"/>
      <c r="G4" s="214"/>
      <c r="H4" s="214"/>
      <c r="I4" s="214"/>
      <c r="J4" s="214"/>
      <c r="K4" s="208"/>
      <c r="L4" s="140"/>
      <c r="M4" s="140"/>
      <c r="N4" s="86"/>
      <c r="O4" s="86"/>
      <c r="P4" s="79"/>
    </row>
    <row r="5" spans="1:18" ht="14.5" x14ac:dyDescent="0.25">
      <c r="A5" s="140" t="s">
        <v>28</v>
      </c>
      <c r="B5" s="140"/>
      <c r="C5" s="140"/>
      <c r="D5" s="412" t="s">
        <v>26</v>
      </c>
      <c r="E5" s="214" t="s">
        <v>140</v>
      </c>
      <c r="F5" s="214"/>
      <c r="G5" s="214"/>
      <c r="H5" s="214"/>
      <c r="I5" s="214"/>
      <c r="J5" s="214"/>
      <c r="K5" s="208"/>
      <c r="L5" s="140"/>
      <c r="M5" s="140"/>
      <c r="N5" s="86"/>
      <c r="O5" s="86"/>
      <c r="P5" s="79"/>
    </row>
    <row r="6" spans="1:18" ht="14.5" x14ac:dyDescent="0.25">
      <c r="A6" s="140" t="s">
        <v>29</v>
      </c>
      <c r="B6" s="140"/>
      <c r="C6" s="140"/>
      <c r="D6" s="412" t="s">
        <v>26</v>
      </c>
      <c r="E6" s="765" t="s">
        <v>141</v>
      </c>
      <c r="F6" s="214"/>
      <c r="G6" s="214"/>
      <c r="H6" s="214"/>
      <c r="I6" s="214"/>
      <c r="J6" s="214"/>
      <c r="K6" s="208"/>
      <c r="L6" s="140"/>
      <c r="M6" s="140"/>
      <c r="N6" s="86"/>
      <c r="O6" s="86"/>
      <c r="P6" s="79"/>
    </row>
    <row r="7" spans="1:18" ht="14.5" x14ac:dyDescent="0.25">
      <c r="A7" s="140" t="s">
        <v>142</v>
      </c>
      <c r="B7" s="140"/>
      <c r="C7" s="140"/>
      <c r="D7" s="412" t="s">
        <v>26</v>
      </c>
      <c r="E7" s="479">
        <v>0.01</v>
      </c>
      <c r="F7" s="214" t="s">
        <v>143</v>
      </c>
      <c r="G7" s="478">
        <v>0.01</v>
      </c>
      <c r="H7" s="285" t="s">
        <v>144</v>
      </c>
      <c r="I7" s="214"/>
      <c r="J7" s="214"/>
      <c r="K7" s="208"/>
      <c r="L7" s="140"/>
      <c r="M7" s="140"/>
      <c r="N7" s="86"/>
      <c r="O7" s="86"/>
      <c r="P7" s="79"/>
    </row>
    <row r="8" spans="1:18" ht="14.5" x14ac:dyDescent="0.25">
      <c r="A8" s="140" t="s">
        <v>32</v>
      </c>
      <c r="B8" s="140"/>
      <c r="C8" s="140"/>
      <c r="D8" s="412" t="s">
        <v>26</v>
      </c>
      <c r="E8" s="315" t="s">
        <v>478</v>
      </c>
      <c r="F8" s="214"/>
      <c r="G8" s="214"/>
      <c r="H8" s="285"/>
      <c r="I8" s="214"/>
      <c r="J8" s="214"/>
      <c r="K8" s="208"/>
      <c r="L8" s="140"/>
      <c r="M8" s="140"/>
      <c r="N8" s="86"/>
      <c r="O8" s="86"/>
      <c r="P8" s="79"/>
    </row>
    <row r="9" spans="1:18" ht="14.5" x14ac:dyDescent="0.25">
      <c r="A9" s="140" t="s">
        <v>145</v>
      </c>
      <c r="B9" s="140"/>
      <c r="C9" s="140"/>
      <c r="D9" s="412" t="s">
        <v>26</v>
      </c>
      <c r="E9" s="315" t="str">
        <f>E8</f>
        <v>2 Agustus 2022</v>
      </c>
      <c r="F9" s="214"/>
      <c r="G9" s="214"/>
      <c r="H9" s="214"/>
      <c r="I9" s="214"/>
      <c r="J9" s="214"/>
      <c r="K9" s="208"/>
      <c r="L9" s="140"/>
      <c r="M9" s="140"/>
      <c r="N9" s="86"/>
      <c r="O9" s="86"/>
      <c r="P9" s="79"/>
    </row>
    <row r="10" spans="1:18" ht="14.5" x14ac:dyDescent="0.35">
      <c r="A10" s="140" t="s">
        <v>146</v>
      </c>
      <c r="B10" s="140"/>
      <c r="C10" s="140"/>
      <c r="D10" s="412" t="s">
        <v>26</v>
      </c>
      <c r="E10" s="315" t="s">
        <v>147</v>
      </c>
      <c r="F10" s="315"/>
      <c r="G10" s="315"/>
      <c r="H10" s="315"/>
      <c r="I10" s="315"/>
      <c r="J10" s="315"/>
      <c r="K10" s="208"/>
      <c r="L10" s="140"/>
      <c r="M10" s="140"/>
      <c r="N10" s="86"/>
      <c r="O10" s="157"/>
      <c r="P10" s="79"/>
    </row>
    <row r="11" spans="1:18" ht="14.5" x14ac:dyDescent="0.25">
      <c r="A11" s="140" t="s">
        <v>33</v>
      </c>
      <c r="B11" s="140"/>
      <c r="C11" s="140"/>
      <c r="D11" s="412" t="s">
        <v>26</v>
      </c>
      <c r="E11" s="315" t="str">
        <f>E10</f>
        <v>Ruang EEG</v>
      </c>
      <c r="F11" s="214"/>
      <c r="G11" s="214"/>
      <c r="H11" s="214"/>
      <c r="I11" s="214"/>
      <c r="J11" s="214"/>
      <c r="K11" s="208"/>
      <c r="L11" s="140"/>
      <c r="M11" s="140"/>
      <c r="N11" s="86"/>
      <c r="O11" s="86"/>
      <c r="P11" s="79"/>
    </row>
    <row r="12" spans="1:18" ht="14.5" x14ac:dyDescent="0.3">
      <c r="A12" s="140" t="s">
        <v>148</v>
      </c>
      <c r="B12" s="140"/>
      <c r="C12" s="140"/>
      <c r="D12" s="412" t="s">
        <v>26</v>
      </c>
      <c r="E12" s="413" t="s">
        <v>149</v>
      </c>
      <c r="F12" s="140"/>
      <c r="G12" s="140"/>
      <c r="H12" s="140"/>
      <c r="I12" s="140"/>
      <c r="J12" s="140"/>
      <c r="K12" s="208"/>
      <c r="L12" s="140"/>
      <c r="M12" s="140"/>
      <c r="N12" s="86"/>
      <c r="O12" s="86"/>
      <c r="P12" s="79"/>
    </row>
    <row r="13" spans="1:18" ht="12" customHeight="1" x14ac:dyDescent="0.25">
      <c r="A13" s="338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86"/>
      <c r="O13" s="86"/>
      <c r="P13" s="79"/>
    </row>
    <row r="14" spans="1:18" ht="14.5" x14ac:dyDescent="0.25">
      <c r="A14" s="153" t="s">
        <v>34</v>
      </c>
      <c r="B14" s="153" t="s">
        <v>35</v>
      </c>
      <c r="C14" s="153"/>
      <c r="D14" s="153"/>
      <c r="E14" s="414" t="s">
        <v>4</v>
      </c>
      <c r="F14" s="414" t="s">
        <v>5</v>
      </c>
      <c r="G14" s="917" t="s">
        <v>150</v>
      </c>
      <c r="H14" s="918"/>
      <c r="I14" s="919"/>
      <c r="J14" s="338"/>
      <c r="K14" s="140"/>
      <c r="L14" s="140"/>
      <c r="M14" s="86"/>
      <c r="N14" s="415"/>
      <c r="O14" s="415"/>
      <c r="P14" s="392"/>
      <c r="Q14" s="393"/>
      <c r="R14" s="393"/>
    </row>
    <row r="15" spans="1:18" ht="15" customHeight="1" x14ac:dyDescent="0.25">
      <c r="A15" s="140"/>
      <c r="B15" s="140" t="s">
        <v>38</v>
      </c>
      <c r="C15" s="140"/>
      <c r="D15" s="412" t="s">
        <v>26</v>
      </c>
      <c r="E15" s="316">
        <v>22.6</v>
      </c>
      <c r="F15" s="316">
        <v>22.5</v>
      </c>
      <c r="G15" s="920">
        <f>'DB SUHU'!U377</f>
        <v>22.594782542175363</v>
      </c>
      <c r="H15" s="921"/>
      <c r="I15" s="922"/>
      <c r="J15" s="155" t="s">
        <v>39</v>
      </c>
      <c r="K15" s="338"/>
      <c r="L15" s="140"/>
      <c r="M15" s="86"/>
      <c r="N15" s="322"/>
      <c r="O15" s="322"/>
      <c r="P15" s="394"/>
      <c r="Q15" s="395"/>
      <c r="R15" s="395"/>
    </row>
    <row r="16" spans="1:18" ht="14.5" x14ac:dyDescent="0.25">
      <c r="A16" s="140"/>
      <c r="B16" s="140" t="s">
        <v>40</v>
      </c>
      <c r="C16" s="140"/>
      <c r="D16" s="412" t="s">
        <v>26</v>
      </c>
      <c r="E16" s="316">
        <v>52.3</v>
      </c>
      <c r="F16" s="316">
        <v>52.2</v>
      </c>
      <c r="G16" s="920">
        <f>'DB SUHU'!U378</f>
        <v>51.580357142857146</v>
      </c>
      <c r="H16" s="921"/>
      <c r="I16" s="922"/>
      <c r="J16" s="155" t="s">
        <v>41</v>
      </c>
      <c r="K16" s="338"/>
      <c r="L16" s="140"/>
      <c r="M16" s="86"/>
      <c r="N16" s="322"/>
      <c r="O16" s="322"/>
      <c r="P16" s="394"/>
      <c r="Q16" s="395"/>
      <c r="R16" s="395"/>
    </row>
    <row r="17" spans="1:27" ht="14.5" x14ac:dyDescent="0.25">
      <c r="A17" s="140"/>
      <c r="B17" s="155" t="s">
        <v>42</v>
      </c>
      <c r="C17" s="140"/>
      <c r="D17" s="412" t="s">
        <v>26</v>
      </c>
      <c r="E17" s="923">
        <v>220</v>
      </c>
      <c r="F17" s="924"/>
      <c r="G17" s="920">
        <f>'DB ESA'!O268</f>
        <v>219.80162849872772</v>
      </c>
      <c r="H17" s="921"/>
      <c r="I17" s="922"/>
      <c r="J17" s="416" t="s">
        <v>43</v>
      </c>
      <c r="K17" s="338"/>
      <c r="L17" s="140"/>
      <c r="M17" s="86"/>
      <c r="N17" s="86"/>
      <c r="O17" s="86"/>
      <c r="P17" s="84"/>
    </row>
    <row r="18" spans="1:27" ht="12" customHeight="1" x14ac:dyDescent="0.25">
      <c r="A18" s="140"/>
      <c r="B18" s="140"/>
      <c r="C18" s="140"/>
      <c r="D18" s="140"/>
      <c r="E18" s="140"/>
      <c r="F18" s="140"/>
      <c r="G18" s="338"/>
      <c r="H18" s="140"/>
      <c r="I18" s="140"/>
      <c r="J18" s="140"/>
      <c r="K18" s="140"/>
      <c r="L18" s="140"/>
      <c r="M18" s="140"/>
      <c r="N18" s="86"/>
      <c r="O18" s="86"/>
      <c r="P18" s="79"/>
    </row>
    <row r="19" spans="1:27" ht="14.5" x14ac:dyDescent="0.25">
      <c r="A19" s="153" t="s">
        <v>44</v>
      </c>
      <c r="B19" s="153" t="str">
        <f>LK!B18</f>
        <v>Pemeriksaan Kondisi Fisik dan Fungsi Alat</v>
      </c>
      <c r="C19" s="153"/>
      <c r="D19" s="153"/>
      <c r="E19" s="153"/>
      <c r="F19" s="153"/>
      <c r="G19" s="338"/>
      <c r="H19" s="153"/>
      <c r="I19" s="153"/>
      <c r="J19" s="153"/>
      <c r="K19" s="140"/>
      <c r="L19" s="140"/>
      <c r="M19" s="140"/>
      <c r="N19" s="86"/>
      <c r="O19" s="86"/>
      <c r="P19" s="79"/>
    </row>
    <row r="20" spans="1:27" ht="14.5" x14ac:dyDescent="0.25">
      <c r="A20" s="140"/>
      <c r="B20" s="140" t="s">
        <v>47</v>
      </c>
      <c r="C20" s="140"/>
      <c r="D20" s="412" t="s">
        <v>26</v>
      </c>
      <c r="E20" s="319" t="s">
        <v>151</v>
      </c>
      <c r="F20" s="140"/>
      <c r="G20" s="338"/>
      <c r="H20" s="140"/>
      <c r="I20" s="140"/>
      <c r="J20" s="140"/>
      <c r="K20" s="140"/>
      <c r="L20" s="140"/>
      <c r="M20" s="140"/>
      <c r="N20" s="86"/>
      <c r="O20" s="86"/>
      <c r="P20" s="79"/>
    </row>
    <row r="21" spans="1:27" ht="14.5" x14ac:dyDescent="0.25">
      <c r="A21" s="140"/>
      <c r="B21" s="140" t="s">
        <v>50</v>
      </c>
      <c r="C21" s="140"/>
      <c r="D21" s="412" t="s">
        <v>26</v>
      </c>
      <c r="E21" s="319" t="s">
        <v>151</v>
      </c>
      <c r="F21" s="140"/>
      <c r="G21" s="338"/>
      <c r="H21" s="140"/>
      <c r="I21" s="140"/>
      <c r="J21" s="140"/>
      <c r="K21" s="140"/>
      <c r="L21" s="140"/>
      <c r="M21" s="140"/>
      <c r="N21" s="86"/>
      <c r="O21" s="86"/>
      <c r="P21" s="79"/>
    </row>
    <row r="22" spans="1:27" ht="12" customHeight="1" x14ac:dyDescent="0.25">
      <c r="A22" s="338"/>
      <c r="B22" s="153"/>
      <c r="C22" s="153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86"/>
      <c r="O22" s="86"/>
      <c r="P22" s="79"/>
    </row>
    <row r="23" spans="1:27" ht="14.5" x14ac:dyDescent="0.3">
      <c r="A23" s="153" t="s">
        <v>51</v>
      </c>
      <c r="B23" s="153" t="str">
        <f>LK!B22</f>
        <v xml:space="preserve">Pengujian Keselamatan Listrik </v>
      </c>
      <c r="C23" s="338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86"/>
      <c r="O23" s="338"/>
      <c r="P23" s="84"/>
      <c r="R23" s="766"/>
      <c r="Y23" s="766"/>
      <c r="Z23" s="396">
        <v>0.2</v>
      </c>
      <c r="AA23" s="766"/>
    </row>
    <row r="24" spans="1:27" ht="12.75" customHeight="1" x14ac:dyDescent="0.35">
      <c r="A24" s="338"/>
      <c r="B24" s="902" t="s">
        <v>0</v>
      </c>
      <c r="C24" s="898" t="s">
        <v>54</v>
      </c>
      <c r="D24" s="904"/>
      <c r="E24" s="904"/>
      <c r="F24" s="904"/>
      <c r="G24" s="904"/>
      <c r="H24" s="904"/>
      <c r="I24" s="899"/>
      <c r="J24" s="898" t="s">
        <v>55</v>
      </c>
      <c r="K24" s="899"/>
      <c r="L24" s="898" t="s">
        <v>152</v>
      </c>
      <c r="M24" s="899"/>
      <c r="N24" s="86"/>
      <c r="O24" s="338"/>
      <c r="P24" s="338"/>
      <c r="Q24" s="338"/>
      <c r="R24" s="767"/>
      <c r="S24" s="338"/>
      <c r="T24" s="338"/>
      <c r="Y24" s="396">
        <v>0.2</v>
      </c>
      <c r="Z24" s="397" t="s">
        <v>153</v>
      </c>
      <c r="AA24" s="398" t="s">
        <v>154</v>
      </c>
    </row>
    <row r="25" spans="1:27" ht="14.5" x14ac:dyDescent="0.35">
      <c r="A25" s="338"/>
      <c r="B25" s="903"/>
      <c r="C25" s="900"/>
      <c r="D25" s="905"/>
      <c r="E25" s="905"/>
      <c r="F25" s="905"/>
      <c r="G25" s="905"/>
      <c r="H25" s="905"/>
      <c r="I25" s="901"/>
      <c r="J25" s="900"/>
      <c r="K25" s="901"/>
      <c r="L25" s="900" t="s">
        <v>155</v>
      </c>
      <c r="M25" s="901"/>
      <c r="N25" s="86"/>
      <c r="O25" s="338"/>
      <c r="P25" s="338"/>
      <c r="Q25" s="338"/>
      <c r="R25" s="767"/>
      <c r="S25" s="338"/>
      <c r="T25" s="338"/>
      <c r="Y25" s="766"/>
      <c r="Z25" s="397" t="s">
        <v>65</v>
      </c>
      <c r="AA25" s="398" t="s">
        <v>156</v>
      </c>
    </row>
    <row r="26" spans="1:27" ht="15" customHeight="1" x14ac:dyDescent="0.35">
      <c r="A26" s="338"/>
      <c r="B26" s="417">
        <v>1</v>
      </c>
      <c r="C26" s="418" t="s">
        <v>157</v>
      </c>
      <c r="D26" s="419"/>
      <c r="E26" s="419"/>
      <c r="F26" s="419"/>
      <c r="G26" s="419"/>
      <c r="H26" s="419"/>
      <c r="I26" s="768"/>
      <c r="J26" s="317" t="s">
        <v>158</v>
      </c>
      <c r="K26" s="420" t="s">
        <v>58</v>
      </c>
      <c r="L26" s="474">
        <v>2</v>
      </c>
      <c r="M26" s="421" t="s">
        <v>60</v>
      </c>
      <c r="N26" s="86"/>
      <c r="O26" s="338"/>
      <c r="P26" s="926" t="s">
        <v>159</v>
      </c>
      <c r="Q26" s="927"/>
      <c r="R26" s="894" t="s">
        <v>67</v>
      </c>
      <c r="S26" s="894" t="s">
        <v>81</v>
      </c>
      <c r="T26" s="338"/>
      <c r="Y26" s="399">
        <v>500</v>
      </c>
      <c r="Z26" s="397" t="s">
        <v>68</v>
      </c>
      <c r="AA26" s="148" t="s">
        <v>160</v>
      </c>
    </row>
    <row r="27" spans="1:27" ht="15" customHeight="1" x14ac:dyDescent="0.35">
      <c r="A27" s="338"/>
      <c r="B27" s="417">
        <v>2</v>
      </c>
      <c r="C27" s="906" t="s">
        <v>161</v>
      </c>
      <c r="D27" s="907"/>
      <c r="E27" s="907"/>
      <c r="F27" s="907"/>
      <c r="G27" s="907"/>
      <c r="H27" s="907"/>
      <c r="I27" s="908"/>
      <c r="J27" s="318">
        <v>0.1</v>
      </c>
      <c r="K27" s="420" t="s">
        <v>62</v>
      </c>
      <c r="L27" s="475">
        <f>IF(C27=PENYELIA!V25,PENYELIA!AB25,PENYELIA!AB26)</f>
        <v>0.2</v>
      </c>
      <c r="M27" s="421" t="s">
        <v>62</v>
      </c>
      <c r="N27" s="86"/>
      <c r="O27" s="338"/>
      <c r="P27" s="928"/>
      <c r="Q27" s="929"/>
      <c r="R27" s="896"/>
      <c r="S27" s="896"/>
      <c r="T27" s="338"/>
      <c r="Y27" s="400"/>
      <c r="Z27" s="397" t="s">
        <v>70</v>
      </c>
      <c r="AA27" s="148" t="s">
        <v>162</v>
      </c>
    </row>
    <row r="28" spans="1:27" ht="15.5" x14ac:dyDescent="0.25">
      <c r="A28" s="338"/>
      <c r="B28" s="417">
        <v>3</v>
      </c>
      <c r="C28" s="906" t="s">
        <v>160</v>
      </c>
      <c r="D28" s="907"/>
      <c r="E28" s="907"/>
      <c r="F28" s="907"/>
      <c r="G28" s="907"/>
      <c r="H28" s="907"/>
      <c r="I28" s="908"/>
      <c r="J28" s="770">
        <v>600</v>
      </c>
      <c r="K28" s="420" t="s">
        <v>67</v>
      </c>
      <c r="L28" s="476">
        <f>IF(C28=PENYELIA!V27,PENYELIA!AB27,PENYELIA!AB28)</f>
        <v>500</v>
      </c>
      <c r="M28" s="421" t="s">
        <v>67</v>
      </c>
      <c r="N28" s="86"/>
      <c r="O28" s="86"/>
      <c r="P28" s="422" t="s">
        <v>163</v>
      </c>
      <c r="Q28" s="433" t="s">
        <v>164</v>
      </c>
      <c r="R28" s="785">
        <v>10</v>
      </c>
      <c r="S28" s="477">
        <v>100</v>
      </c>
      <c r="T28" s="338"/>
    </row>
    <row r="29" spans="1:27" ht="14.5" x14ac:dyDescent="0.25">
      <c r="A29" s="338"/>
      <c r="B29" s="417">
        <v>4</v>
      </c>
      <c r="C29" s="418" t="s">
        <v>71</v>
      </c>
      <c r="D29" s="419"/>
      <c r="E29" s="419"/>
      <c r="F29" s="419"/>
      <c r="G29" s="419"/>
      <c r="H29" s="419"/>
      <c r="I29" s="768"/>
      <c r="J29" s="770">
        <v>40</v>
      </c>
      <c r="K29" s="420" t="s">
        <v>67</v>
      </c>
      <c r="L29" s="476">
        <v>50</v>
      </c>
      <c r="M29" s="421" t="s">
        <v>67</v>
      </c>
      <c r="N29" s="86"/>
      <c r="O29" s="86"/>
      <c r="P29" s="338"/>
      <c r="Q29" s="338"/>
      <c r="R29" s="338"/>
      <c r="S29" s="338"/>
      <c r="T29" s="338"/>
    </row>
    <row r="30" spans="1:27" ht="12" customHeight="1" x14ac:dyDescent="0.25">
      <c r="A30" s="338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38"/>
      <c r="M30" s="140"/>
      <c r="N30" s="86"/>
      <c r="O30" s="86"/>
      <c r="P30" s="84"/>
    </row>
    <row r="31" spans="1:27" ht="14" x14ac:dyDescent="0.25">
      <c r="A31" s="153" t="s">
        <v>75</v>
      </c>
      <c r="B31" s="153" t="str">
        <f>LK!B32</f>
        <v>Pengujian Kinerja</v>
      </c>
      <c r="C31" s="33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411"/>
      <c r="O31" s="411"/>
      <c r="P31" s="84"/>
    </row>
    <row r="32" spans="1:27" ht="14.5" x14ac:dyDescent="0.25">
      <c r="A32" s="338"/>
      <c r="B32" s="153" t="str">
        <f>LK!B33</f>
        <v>a. Kualitas Elektroda</v>
      </c>
      <c r="C32" s="338"/>
      <c r="D32" s="140"/>
      <c r="E32" s="140"/>
      <c r="F32" s="140"/>
      <c r="G32" s="140"/>
      <c r="H32" s="140"/>
      <c r="I32" s="140"/>
      <c r="J32" s="140"/>
      <c r="K32" s="140"/>
      <c r="L32" s="140" t="s">
        <v>78</v>
      </c>
      <c r="M32" s="140"/>
      <c r="N32" s="86"/>
      <c r="O32" s="86"/>
      <c r="P32" s="84"/>
    </row>
    <row r="33" spans="1:32" ht="15" customHeight="1" x14ac:dyDescent="0.25">
      <c r="A33" s="338"/>
      <c r="B33" s="897" t="s">
        <v>53</v>
      </c>
      <c r="C33" s="897" t="s">
        <v>54</v>
      </c>
      <c r="D33" s="876" t="str">
        <f>LK!E34</f>
        <v>Setting Alat</v>
      </c>
      <c r="E33" s="876"/>
      <c r="F33" s="876" t="s">
        <v>165</v>
      </c>
      <c r="G33" s="876"/>
      <c r="H33" s="338"/>
      <c r="I33" s="352" t="s">
        <v>166</v>
      </c>
      <c r="J33" s="338"/>
      <c r="K33" s="338"/>
      <c r="L33" s="338"/>
      <c r="M33" s="140"/>
      <c r="N33" s="86"/>
      <c r="O33" s="86"/>
      <c r="P33" s="79"/>
    </row>
    <row r="34" spans="1:32" ht="14.5" x14ac:dyDescent="0.25">
      <c r="A34" s="338"/>
      <c r="B34" s="897"/>
      <c r="C34" s="897"/>
      <c r="D34" s="876"/>
      <c r="E34" s="876"/>
      <c r="F34" s="876"/>
      <c r="G34" s="876"/>
      <c r="H34" s="338"/>
      <c r="I34" s="352"/>
      <c r="J34" s="338"/>
      <c r="K34" s="338"/>
      <c r="L34" s="338"/>
      <c r="M34" s="140"/>
      <c r="N34" s="86"/>
      <c r="O34" s="338"/>
      <c r="P34" s="79"/>
    </row>
    <row r="35" spans="1:32" ht="15" customHeight="1" x14ac:dyDescent="0.25">
      <c r="A35" s="338"/>
      <c r="B35" s="422">
        <v>1</v>
      </c>
      <c r="C35" s="433" t="str">
        <f>LK!C36</f>
        <v>Impedansi</v>
      </c>
      <c r="D35" s="890" t="s">
        <v>167</v>
      </c>
      <c r="E35" s="891"/>
      <c r="F35" s="912" t="s">
        <v>151</v>
      </c>
      <c r="G35" s="913"/>
      <c r="H35" s="338"/>
      <c r="I35" s="352"/>
      <c r="J35" s="338"/>
      <c r="K35" s="338"/>
      <c r="L35" s="338"/>
      <c r="M35" s="140"/>
      <c r="N35" s="86"/>
      <c r="O35" s="338"/>
      <c r="P35" s="84"/>
      <c r="AA35" s="79" t="s">
        <v>151</v>
      </c>
    </row>
    <row r="36" spans="1:32" ht="14.5" x14ac:dyDescent="0.25">
      <c r="A36" s="338"/>
      <c r="B36" s="422">
        <v>2</v>
      </c>
      <c r="C36" s="433" t="str">
        <f>LK!C38</f>
        <v>Noise</v>
      </c>
      <c r="D36" s="892">
        <v>5</v>
      </c>
      <c r="E36" s="893"/>
      <c r="F36" s="912" t="s">
        <v>151</v>
      </c>
      <c r="G36" s="913"/>
      <c r="H36" s="338"/>
      <c r="I36" s="352"/>
      <c r="J36" s="338"/>
      <c r="K36" s="338"/>
      <c r="L36" s="338"/>
      <c r="M36" s="140"/>
      <c r="N36" s="86"/>
      <c r="O36" s="86"/>
      <c r="P36" s="84"/>
      <c r="Y36" s="84">
        <v>1</v>
      </c>
      <c r="Z36" s="84">
        <f>Y36/Y38</f>
        <v>0.1</v>
      </c>
      <c r="AA36" s="79" t="s">
        <v>168</v>
      </c>
    </row>
    <row r="37" spans="1:32" ht="15" customHeight="1" x14ac:dyDescent="0.25">
      <c r="A37" s="338"/>
      <c r="B37" s="422">
        <v>3</v>
      </c>
      <c r="C37" s="433" t="s">
        <v>169</v>
      </c>
      <c r="D37" s="925" t="s">
        <v>89</v>
      </c>
      <c r="E37" s="925"/>
      <c r="F37" s="912" t="s">
        <v>151</v>
      </c>
      <c r="G37" s="913"/>
      <c r="H37" s="338"/>
      <c r="I37" s="338"/>
      <c r="J37" s="338"/>
      <c r="K37" s="338"/>
      <c r="L37" s="338"/>
      <c r="M37" s="140"/>
      <c r="N37" s="86"/>
      <c r="O37" s="86"/>
      <c r="P37" s="84"/>
      <c r="AA37" s="79"/>
    </row>
    <row r="38" spans="1:32" ht="14.5" x14ac:dyDescent="0.25">
      <c r="A38" s="338"/>
      <c r="B38" s="335"/>
      <c r="C38" s="423"/>
      <c r="D38" s="460"/>
      <c r="E38" s="423"/>
      <c r="F38" s="215"/>
      <c r="G38" s="215"/>
      <c r="H38" s="423"/>
      <c r="I38" s="423"/>
      <c r="J38" s="423"/>
      <c r="K38" s="423"/>
      <c r="L38" s="140"/>
      <c r="M38" s="140"/>
      <c r="N38" s="86"/>
      <c r="O38" s="86"/>
      <c r="P38" s="84"/>
      <c r="Y38" s="84">
        <v>10</v>
      </c>
    </row>
    <row r="39" spans="1:32" ht="14.5" x14ac:dyDescent="0.25">
      <c r="A39" s="338"/>
      <c r="B39" s="389" t="str">
        <f>LK!B43</f>
        <v>b. Kalibrasi Frekuensi</v>
      </c>
      <c r="C39" s="423"/>
      <c r="D39" s="423"/>
      <c r="E39" s="423"/>
      <c r="F39" s="215"/>
      <c r="G39" s="215"/>
      <c r="H39" s="423"/>
      <c r="I39" s="423"/>
      <c r="J39" s="423"/>
      <c r="K39" s="423"/>
      <c r="L39" s="140"/>
      <c r="M39" s="140"/>
      <c r="N39" s="86"/>
      <c r="O39" s="86"/>
      <c r="P39" s="84"/>
    </row>
    <row r="40" spans="1:32" ht="30" customHeight="1" x14ac:dyDescent="0.25">
      <c r="A40" s="338"/>
      <c r="B40" s="902" t="s">
        <v>53</v>
      </c>
      <c r="C40" s="902" t="s">
        <v>54</v>
      </c>
      <c r="D40" s="886" t="s">
        <v>92</v>
      </c>
      <c r="E40" s="887"/>
      <c r="F40" s="886" t="s">
        <v>93</v>
      </c>
      <c r="G40" s="887"/>
      <c r="H40" s="909" t="str">
        <f>LK!F44</f>
        <v>Hasil Pengukuran (Hz)</v>
      </c>
      <c r="I40" s="910"/>
      <c r="J40" s="910"/>
      <c r="K40" s="910"/>
      <c r="L40" s="911"/>
      <c r="M40" s="876" t="s">
        <v>170</v>
      </c>
      <c r="N40" s="876" t="s">
        <v>171</v>
      </c>
      <c r="O40" s="875" t="s">
        <v>172</v>
      </c>
      <c r="P40" s="84"/>
      <c r="Y40" s="844" t="s">
        <v>173</v>
      </c>
      <c r="Z40" s="845"/>
      <c r="AA40" s="845"/>
      <c r="AB40" s="845"/>
      <c r="AC40" s="846"/>
      <c r="AD40" s="847" t="s">
        <v>170</v>
      </c>
      <c r="AE40" s="847" t="s">
        <v>171</v>
      </c>
      <c r="AF40" s="879" t="s">
        <v>172</v>
      </c>
    </row>
    <row r="41" spans="1:32" ht="19.5" customHeight="1" x14ac:dyDescent="0.25">
      <c r="A41" s="338"/>
      <c r="B41" s="903"/>
      <c r="C41" s="903"/>
      <c r="D41" s="786" t="s">
        <v>144</v>
      </c>
      <c r="E41" s="786" t="s">
        <v>143</v>
      </c>
      <c r="F41" s="888"/>
      <c r="G41" s="889"/>
      <c r="H41" s="453" t="s">
        <v>95</v>
      </c>
      <c r="I41" s="453" t="s">
        <v>96</v>
      </c>
      <c r="J41" s="453" t="s">
        <v>97</v>
      </c>
      <c r="K41" s="453" t="s">
        <v>98</v>
      </c>
      <c r="L41" s="453" t="s">
        <v>99</v>
      </c>
      <c r="M41" s="876"/>
      <c r="N41" s="876"/>
      <c r="O41" s="875"/>
      <c r="P41" s="84"/>
      <c r="Y41" s="128" t="s">
        <v>95</v>
      </c>
      <c r="Z41" s="128" t="s">
        <v>96</v>
      </c>
      <c r="AA41" s="128" t="s">
        <v>97</v>
      </c>
      <c r="AB41" s="128" t="s">
        <v>98</v>
      </c>
      <c r="AC41" s="128" t="s">
        <v>99</v>
      </c>
      <c r="AD41" s="847"/>
      <c r="AE41" s="847"/>
      <c r="AF41" s="879"/>
    </row>
    <row r="42" spans="1:32" ht="18" customHeight="1" x14ac:dyDescent="0.25">
      <c r="A42" s="338"/>
      <c r="B42" s="915">
        <v>1</v>
      </c>
      <c r="C42" s="916" t="s">
        <v>100</v>
      </c>
      <c r="D42" s="422">
        <v>100</v>
      </c>
      <c r="E42" s="422">
        <v>0.1</v>
      </c>
      <c r="F42" s="880" t="s">
        <v>174</v>
      </c>
      <c r="G42" s="881"/>
      <c r="H42" s="772">
        <v>0.11</v>
      </c>
      <c r="I42" s="772">
        <v>0.11</v>
      </c>
      <c r="J42" s="772">
        <v>0.11</v>
      </c>
      <c r="K42" s="772">
        <v>0.11</v>
      </c>
      <c r="L42" s="772">
        <v>0.11</v>
      </c>
      <c r="M42" s="327">
        <f>IFERROR(AVERAGE(H42:L42),"-")</f>
        <v>0.11000000000000001</v>
      </c>
      <c r="N42" s="327">
        <f>IFERROR('DB EEG'!E179,"-")</f>
        <v>0.11001100000000001</v>
      </c>
      <c r="O42" s="327">
        <f>IFERROR(STDEV(H42:L42),0)</f>
        <v>1.5515838457795457E-17</v>
      </c>
      <c r="P42" s="84"/>
      <c r="Y42" s="401">
        <f t="shared" ref="Y42:AC46" si="0">H42</f>
        <v>0.11</v>
      </c>
      <c r="Z42" s="401">
        <f t="shared" si="0"/>
        <v>0.11</v>
      </c>
      <c r="AA42" s="401">
        <f t="shared" si="0"/>
        <v>0.11</v>
      </c>
      <c r="AB42" s="401">
        <f t="shared" si="0"/>
        <v>0.11</v>
      </c>
      <c r="AC42" s="401">
        <f t="shared" si="0"/>
        <v>0.11</v>
      </c>
      <c r="AD42" s="360">
        <f>AVERAGE(Y42:AC42)</f>
        <v>0.11000000000000001</v>
      </c>
      <c r="AE42" s="360">
        <f>AD42+0</f>
        <v>0.11000000000000001</v>
      </c>
      <c r="AF42" s="402">
        <f>IFERROR(STDEV(Y42:AC42),0)</f>
        <v>1.5515838457795457E-17</v>
      </c>
    </row>
    <row r="43" spans="1:32" ht="18" customHeight="1" x14ac:dyDescent="0.25">
      <c r="A43" s="338"/>
      <c r="B43" s="915"/>
      <c r="C43" s="916"/>
      <c r="D43" s="422">
        <v>100</v>
      </c>
      <c r="E43" s="422">
        <v>2</v>
      </c>
      <c r="F43" s="882"/>
      <c r="G43" s="883"/>
      <c r="H43" s="771">
        <v>1.99</v>
      </c>
      <c r="I43" s="771">
        <v>1.99</v>
      </c>
      <c r="J43" s="771">
        <v>1.99</v>
      </c>
      <c r="K43" s="771">
        <v>1.99</v>
      </c>
      <c r="L43" s="771">
        <v>1.99</v>
      </c>
      <c r="M43" s="327">
        <f t="shared" ref="M43:M46" si="1">IFERROR(AVERAGE(H43:L43),"-")</f>
        <v>1.9899999999999998</v>
      </c>
      <c r="N43" s="327">
        <f>IFERROR('DB EEG'!E180,"-")</f>
        <v>1.9901989999999998</v>
      </c>
      <c r="O43" s="327">
        <f>IFERROR(STDEV(H43:L43),0)</f>
        <v>2.4825341532472731E-16</v>
      </c>
      <c r="P43" s="79"/>
      <c r="Y43" s="401">
        <f t="shared" si="0"/>
        <v>1.99</v>
      </c>
      <c r="Z43" s="401">
        <f t="shared" si="0"/>
        <v>1.99</v>
      </c>
      <c r="AA43" s="401">
        <f t="shared" si="0"/>
        <v>1.99</v>
      </c>
      <c r="AB43" s="401">
        <f t="shared" si="0"/>
        <v>1.99</v>
      </c>
      <c r="AC43" s="401">
        <f t="shared" si="0"/>
        <v>1.99</v>
      </c>
      <c r="AD43" s="360">
        <f t="shared" ref="AD43:AD46" si="2">AVERAGE(Y43:AC43)</f>
        <v>1.9899999999999998</v>
      </c>
      <c r="AE43" s="360">
        <f t="shared" ref="AE43:AE46" si="3">AD43+0</f>
        <v>1.9899999999999998</v>
      </c>
      <c r="AF43" s="402">
        <f>STDEV(Y43:AC43)</f>
        <v>2.4825341532472731E-16</v>
      </c>
    </row>
    <row r="44" spans="1:32" ht="18" customHeight="1" x14ac:dyDescent="0.25">
      <c r="A44" s="338"/>
      <c r="B44" s="915"/>
      <c r="C44" s="916"/>
      <c r="D44" s="422">
        <v>100</v>
      </c>
      <c r="E44" s="422">
        <v>5</v>
      </c>
      <c r="F44" s="882"/>
      <c r="G44" s="883"/>
      <c r="H44" s="772">
        <v>5.0199999999999996</v>
      </c>
      <c r="I44" s="772">
        <v>5.0199999999999996</v>
      </c>
      <c r="J44" s="772">
        <v>5.0199999999999996</v>
      </c>
      <c r="K44" s="772">
        <v>5.0199999999999996</v>
      </c>
      <c r="L44" s="772">
        <v>5.0199999999999996</v>
      </c>
      <c r="M44" s="327">
        <f t="shared" si="1"/>
        <v>5.0199999999999996</v>
      </c>
      <c r="N44" s="327">
        <f>IFERROR('DB EEG'!E181,"-")</f>
        <v>5.0205019999999996</v>
      </c>
      <c r="O44" s="327">
        <f t="shared" ref="O43:O46" si="4">IFERROR(STDEV(H44:L44),0)</f>
        <v>0</v>
      </c>
      <c r="P44" s="79"/>
      <c r="Y44" s="401">
        <f t="shared" si="0"/>
        <v>5.0199999999999996</v>
      </c>
      <c r="Z44" s="401">
        <f t="shared" si="0"/>
        <v>5.0199999999999996</v>
      </c>
      <c r="AA44" s="401">
        <f t="shared" si="0"/>
        <v>5.0199999999999996</v>
      </c>
      <c r="AB44" s="401">
        <f t="shared" si="0"/>
        <v>5.0199999999999996</v>
      </c>
      <c r="AC44" s="401">
        <f t="shared" si="0"/>
        <v>5.0199999999999996</v>
      </c>
      <c r="AD44" s="360">
        <f t="shared" si="2"/>
        <v>5.0199999999999996</v>
      </c>
      <c r="AE44" s="360">
        <f t="shared" si="3"/>
        <v>5.0199999999999996</v>
      </c>
      <c r="AF44" s="402">
        <f t="shared" ref="AF44:AF46" si="5">STDEV(Y44:AC44)</f>
        <v>0</v>
      </c>
    </row>
    <row r="45" spans="1:32" ht="18" customHeight="1" x14ac:dyDescent="0.25">
      <c r="A45" s="338"/>
      <c r="B45" s="915"/>
      <c r="C45" s="916"/>
      <c r="D45" s="422">
        <v>100</v>
      </c>
      <c r="E45" s="422">
        <v>50</v>
      </c>
      <c r="F45" s="882"/>
      <c r="G45" s="883"/>
      <c r="H45" s="772">
        <v>51.2</v>
      </c>
      <c r="I45" s="772">
        <v>51.2</v>
      </c>
      <c r="J45" s="772">
        <v>51.2</v>
      </c>
      <c r="K45" s="772">
        <v>51.2</v>
      </c>
      <c r="L45" s="772">
        <v>51.2</v>
      </c>
      <c r="M45" s="327">
        <f t="shared" si="1"/>
        <v>51.2</v>
      </c>
      <c r="N45" s="327">
        <f>IFERROR('DB EEG'!E182,"-")</f>
        <v>51.205120000000001</v>
      </c>
      <c r="O45" s="327">
        <f t="shared" si="4"/>
        <v>0</v>
      </c>
      <c r="P45" s="79"/>
      <c r="Y45" s="401">
        <f t="shared" si="0"/>
        <v>51.2</v>
      </c>
      <c r="Z45" s="401">
        <f t="shared" si="0"/>
        <v>51.2</v>
      </c>
      <c r="AA45" s="401">
        <f t="shared" si="0"/>
        <v>51.2</v>
      </c>
      <c r="AB45" s="401">
        <f t="shared" si="0"/>
        <v>51.2</v>
      </c>
      <c r="AC45" s="401">
        <f t="shared" si="0"/>
        <v>51.2</v>
      </c>
      <c r="AD45" s="360">
        <f t="shared" si="2"/>
        <v>51.2</v>
      </c>
      <c r="AE45" s="360">
        <f t="shared" si="3"/>
        <v>51.2</v>
      </c>
      <c r="AF45" s="402">
        <f t="shared" si="5"/>
        <v>0</v>
      </c>
    </row>
    <row r="46" spans="1:32" ht="18" customHeight="1" x14ac:dyDescent="0.25">
      <c r="A46" s="338"/>
      <c r="B46" s="915"/>
      <c r="C46" s="916"/>
      <c r="D46" s="422">
        <v>100</v>
      </c>
      <c r="E46" s="422">
        <v>60</v>
      </c>
      <c r="F46" s="884"/>
      <c r="G46" s="885"/>
      <c r="H46" s="772">
        <v>56.89</v>
      </c>
      <c r="I46" s="772">
        <v>56.89</v>
      </c>
      <c r="J46" s="772">
        <v>56.89</v>
      </c>
      <c r="K46" s="772">
        <v>56.89</v>
      </c>
      <c r="L46" s="772">
        <v>56.89</v>
      </c>
      <c r="M46" s="327">
        <f t="shared" si="1"/>
        <v>56.89</v>
      </c>
      <c r="N46" s="327">
        <f>IFERROR('DB EEG'!E183,"-")</f>
        <v>56.895688999999997</v>
      </c>
      <c r="O46" s="327">
        <f t="shared" si="4"/>
        <v>0</v>
      </c>
      <c r="P46" s="79"/>
      <c r="Y46" s="403">
        <f t="shared" si="0"/>
        <v>56.89</v>
      </c>
      <c r="Z46" s="403">
        <f t="shared" si="0"/>
        <v>56.89</v>
      </c>
      <c r="AA46" s="403">
        <f t="shared" si="0"/>
        <v>56.89</v>
      </c>
      <c r="AB46" s="403">
        <f t="shared" si="0"/>
        <v>56.89</v>
      </c>
      <c r="AC46" s="403">
        <f t="shared" si="0"/>
        <v>56.89</v>
      </c>
      <c r="AD46" s="360">
        <f t="shared" si="2"/>
        <v>56.89</v>
      </c>
      <c r="AE46" s="360">
        <f t="shared" si="3"/>
        <v>56.89</v>
      </c>
      <c r="AF46" s="402">
        <f t="shared" si="5"/>
        <v>0</v>
      </c>
    </row>
    <row r="47" spans="1:32" ht="14.5" x14ac:dyDescent="0.25">
      <c r="A47" s="338"/>
      <c r="B47" s="335"/>
      <c r="C47" s="423"/>
      <c r="D47" s="423"/>
      <c r="E47" s="423"/>
      <c r="F47" s="215"/>
      <c r="G47" s="215"/>
      <c r="H47" s="338"/>
      <c r="I47" s="338"/>
      <c r="J47" s="338"/>
      <c r="K47" s="338"/>
      <c r="L47" s="338"/>
      <c r="M47" s="140"/>
      <c r="N47" s="86"/>
      <c r="O47" s="86"/>
      <c r="P47" s="79"/>
    </row>
    <row r="48" spans="1:32" ht="14.5" x14ac:dyDescent="0.25">
      <c r="A48" s="338"/>
      <c r="B48" s="389" t="str">
        <f>LK!B52</f>
        <v>c. Kalibrasi Amplitudo</v>
      </c>
      <c r="C48" s="423"/>
      <c r="D48" s="423"/>
      <c r="E48" s="423"/>
      <c r="F48" s="215"/>
      <c r="G48" s="215"/>
      <c r="H48" s="338"/>
      <c r="I48" s="338"/>
      <c r="J48" s="338"/>
      <c r="K48" s="338"/>
      <c r="L48" s="338"/>
      <c r="M48" s="140"/>
      <c r="N48" s="86"/>
      <c r="O48" s="86"/>
      <c r="P48" s="79"/>
    </row>
    <row r="49" spans="1:16" ht="30" customHeight="1" x14ac:dyDescent="0.25">
      <c r="A49" s="338"/>
      <c r="B49" s="902" t="s">
        <v>53</v>
      </c>
      <c r="C49" s="902" t="s">
        <v>54</v>
      </c>
      <c r="D49" s="886" t="s">
        <v>107</v>
      </c>
      <c r="E49" s="887"/>
      <c r="F49" s="886" t="s">
        <v>108</v>
      </c>
      <c r="G49" s="887"/>
      <c r="H49" s="909" t="str">
        <f>LK!F53</f>
        <v>Hasil Pengukuran (µV)</v>
      </c>
      <c r="I49" s="910"/>
      <c r="J49" s="910"/>
      <c r="K49" s="910"/>
      <c r="L49" s="911"/>
      <c r="M49" s="876" t="s">
        <v>170</v>
      </c>
      <c r="N49" s="876" t="s">
        <v>171</v>
      </c>
      <c r="O49" s="875" t="s">
        <v>172</v>
      </c>
      <c r="P49" s="79"/>
    </row>
    <row r="50" spans="1:16" ht="20" customHeight="1" x14ac:dyDescent="0.25">
      <c r="A50" s="338"/>
      <c r="B50" s="903"/>
      <c r="C50" s="903"/>
      <c r="D50" s="786" t="str">
        <f>D41</f>
        <v>µv</v>
      </c>
      <c r="E50" s="786" t="str">
        <f>E41</f>
        <v>Hz</v>
      </c>
      <c r="F50" s="888"/>
      <c r="G50" s="889"/>
      <c r="H50" s="454" t="s">
        <v>95</v>
      </c>
      <c r="I50" s="454" t="s">
        <v>96</v>
      </c>
      <c r="J50" s="454" t="s">
        <v>97</v>
      </c>
      <c r="K50" s="454" t="s">
        <v>98</v>
      </c>
      <c r="L50" s="454" t="s">
        <v>99</v>
      </c>
      <c r="M50" s="876"/>
      <c r="N50" s="876"/>
      <c r="O50" s="875"/>
      <c r="P50" s="79"/>
    </row>
    <row r="51" spans="1:16" ht="15" customHeight="1" x14ac:dyDescent="0.25">
      <c r="A51" s="338"/>
      <c r="B51" s="897">
        <v>1</v>
      </c>
      <c r="C51" s="894" t="str">
        <f>LK!C55</f>
        <v>Amplitudo (µv)</v>
      </c>
      <c r="D51" s="422">
        <v>10</v>
      </c>
      <c r="E51" s="422">
        <v>5</v>
      </c>
      <c r="F51" s="876" t="s">
        <v>174</v>
      </c>
      <c r="G51" s="876"/>
      <c r="H51" s="773">
        <v>10.1</v>
      </c>
      <c r="I51" s="773">
        <v>10.1</v>
      </c>
      <c r="J51" s="773">
        <v>10.1</v>
      </c>
      <c r="K51" s="773">
        <v>10.1</v>
      </c>
      <c r="L51" s="773">
        <v>10.1</v>
      </c>
      <c r="M51" s="360">
        <f>IFERROR(AVERAGE(H51:L51),"-")</f>
        <v>10.1</v>
      </c>
      <c r="N51" s="360">
        <f>IFERROR('DB EEG'!E187,"-")</f>
        <v>10.10101</v>
      </c>
      <c r="O51" s="327">
        <f>IFERROR(STDEV(H51:L51),0)</f>
        <v>0</v>
      </c>
      <c r="P51" s="79"/>
    </row>
    <row r="52" spans="1:16" ht="14.5" x14ac:dyDescent="0.25">
      <c r="A52" s="338"/>
      <c r="B52" s="897"/>
      <c r="C52" s="895"/>
      <c r="D52" s="422">
        <v>30</v>
      </c>
      <c r="E52" s="422">
        <v>5</v>
      </c>
      <c r="F52" s="876"/>
      <c r="G52" s="876"/>
      <c r="H52" s="772">
        <v>30.9</v>
      </c>
      <c r="I52" s="772">
        <v>30.9</v>
      </c>
      <c r="J52" s="772">
        <v>30.9</v>
      </c>
      <c r="K52" s="772">
        <v>30.9</v>
      </c>
      <c r="L52" s="772">
        <v>30.9</v>
      </c>
      <c r="M52" s="360">
        <f t="shared" ref="M52:M70" si="6">IFERROR(AVERAGE(H52:L52),"-")</f>
        <v>30.9</v>
      </c>
      <c r="N52" s="360">
        <f>IFERROR('DB EEG'!E188,"-")</f>
        <v>30.903089999999999</v>
      </c>
      <c r="O52" s="327">
        <f t="shared" ref="O52:O70" si="7">IFERROR(STDEV(H52:L52),0)</f>
        <v>0</v>
      </c>
      <c r="P52" s="79"/>
    </row>
    <row r="53" spans="1:16" ht="14.5" x14ac:dyDescent="0.25">
      <c r="A53" s="338"/>
      <c r="B53" s="897"/>
      <c r="C53" s="895"/>
      <c r="D53" s="422">
        <v>50</v>
      </c>
      <c r="E53" s="422">
        <v>5</v>
      </c>
      <c r="F53" s="876"/>
      <c r="G53" s="876"/>
      <c r="H53" s="772">
        <v>50.63</v>
      </c>
      <c r="I53" s="772">
        <v>50.63</v>
      </c>
      <c r="J53" s="772">
        <v>50.63</v>
      </c>
      <c r="K53" s="772">
        <v>50.63</v>
      </c>
      <c r="L53" s="772">
        <v>50.63</v>
      </c>
      <c r="M53" s="360">
        <f t="shared" si="6"/>
        <v>50.63</v>
      </c>
      <c r="N53" s="360">
        <f>IFERROR('DB EEG'!E189,"-")</f>
        <v>50.635063000000002</v>
      </c>
      <c r="O53" s="327">
        <f t="shared" si="7"/>
        <v>0</v>
      </c>
      <c r="P53" s="79"/>
    </row>
    <row r="54" spans="1:16" ht="14.5" x14ac:dyDescent="0.25">
      <c r="A54" s="338"/>
      <c r="B54" s="897"/>
      <c r="C54" s="895"/>
      <c r="D54" s="422">
        <v>100</v>
      </c>
      <c r="E54" s="422">
        <v>5</v>
      </c>
      <c r="F54" s="876"/>
      <c r="G54" s="876"/>
      <c r="H54" s="772">
        <v>102.71</v>
      </c>
      <c r="I54" s="772">
        <v>102.71</v>
      </c>
      <c r="J54" s="772">
        <v>102.71</v>
      </c>
      <c r="K54" s="772">
        <v>102.71</v>
      </c>
      <c r="L54" s="772">
        <v>102.71</v>
      </c>
      <c r="M54" s="360">
        <f t="shared" si="6"/>
        <v>102.71</v>
      </c>
      <c r="N54" s="360">
        <f>IFERROR('DB EEG'!E190,"-")</f>
        <v>102.720271</v>
      </c>
      <c r="O54" s="327">
        <f t="shared" si="7"/>
        <v>0</v>
      </c>
      <c r="P54" s="79"/>
    </row>
    <row r="55" spans="1:16" ht="14.5" x14ac:dyDescent="0.25">
      <c r="A55" s="338"/>
      <c r="B55" s="897">
        <v>2</v>
      </c>
      <c r="C55" s="895"/>
      <c r="D55" s="422">
        <f>D51</f>
        <v>10</v>
      </c>
      <c r="E55" s="422">
        <v>5</v>
      </c>
      <c r="F55" s="876" t="s">
        <v>175</v>
      </c>
      <c r="G55" s="876"/>
      <c r="H55" s="773">
        <v>10.1</v>
      </c>
      <c r="I55" s="773">
        <v>10.1</v>
      </c>
      <c r="J55" s="773">
        <v>10.1</v>
      </c>
      <c r="K55" s="773">
        <v>10.1</v>
      </c>
      <c r="L55" s="773">
        <v>10.1</v>
      </c>
      <c r="M55" s="360">
        <f t="shared" si="6"/>
        <v>10.1</v>
      </c>
      <c r="N55" s="360">
        <f>IFERROR('DB EEG'!E194,"-")</f>
        <v>10.10101</v>
      </c>
      <c r="O55" s="327">
        <f t="shared" si="7"/>
        <v>0</v>
      </c>
      <c r="P55" s="79"/>
    </row>
    <row r="56" spans="1:16" ht="14.5" x14ac:dyDescent="0.25">
      <c r="A56" s="338"/>
      <c r="B56" s="897"/>
      <c r="C56" s="895"/>
      <c r="D56" s="422">
        <f t="shared" ref="D56:D58" si="8">D52</f>
        <v>30</v>
      </c>
      <c r="E56" s="422">
        <v>5</v>
      </c>
      <c r="F56" s="876"/>
      <c r="G56" s="876"/>
      <c r="H56" s="772">
        <v>30.9</v>
      </c>
      <c r="I56" s="772">
        <v>30.9</v>
      </c>
      <c r="J56" s="772">
        <v>30.9</v>
      </c>
      <c r="K56" s="772">
        <v>30.9</v>
      </c>
      <c r="L56" s="772">
        <v>30.9</v>
      </c>
      <c r="M56" s="360">
        <f t="shared" si="6"/>
        <v>30.9</v>
      </c>
      <c r="N56" s="360">
        <f>IFERROR('DB EEG'!E195,"-")</f>
        <v>30.903089999999999</v>
      </c>
      <c r="O56" s="327">
        <f t="shared" si="7"/>
        <v>0</v>
      </c>
      <c r="P56" s="79"/>
    </row>
    <row r="57" spans="1:16" ht="14.5" x14ac:dyDescent="0.25">
      <c r="A57" s="338"/>
      <c r="B57" s="897"/>
      <c r="C57" s="895"/>
      <c r="D57" s="422">
        <f t="shared" si="8"/>
        <v>50</v>
      </c>
      <c r="E57" s="422">
        <v>5</v>
      </c>
      <c r="F57" s="876"/>
      <c r="G57" s="876"/>
      <c r="H57" s="772">
        <v>50.63</v>
      </c>
      <c r="I57" s="772">
        <v>50.63</v>
      </c>
      <c r="J57" s="772">
        <v>50.63</v>
      </c>
      <c r="K57" s="772">
        <v>50.63</v>
      </c>
      <c r="L57" s="772">
        <v>50.63</v>
      </c>
      <c r="M57" s="360">
        <f t="shared" si="6"/>
        <v>50.63</v>
      </c>
      <c r="N57" s="360">
        <f>IFERROR('DB EEG'!E196,"-")</f>
        <v>50.635063000000002</v>
      </c>
      <c r="O57" s="327">
        <f t="shared" si="7"/>
        <v>0</v>
      </c>
      <c r="P57" s="79"/>
    </row>
    <row r="58" spans="1:16" ht="14.5" x14ac:dyDescent="0.25">
      <c r="A58" s="338"/>
      <c r="B58" s="897"/>
      <c r="C58" s="895"/>
      <c r="D58" s="422">
        <f t="shared" si="8"/>
        <v>100</v>
      </c>
      <c r="E58" s="422">
        <v>5</v>
      </c>
      <c r="F58" s="876"/>
      <c r="G58" s="876"/>
      <c r="H58" s="772">
        <v>102.71</v>
      </c>
      <c r="I58" s="772">
        <v>102.71</v>
      </c>
      <c r="J58" s="772">
        <v>102.71</v>
      </c>
      <c r="K58" s="772">
        <v>102.71</v>
      </c>
      <c r="L58" s="772">
        <v>102.71</v>
      </c>
      <c r="M58" s="360">
        <f t="shared" si="6"/>
        <v>102.71</v>
      </c>
      <c r="N58" s="360">
        <f>IFERROR('DB EEG'!E197,"-")</f>
        <v>102.720271</v>
      </c>
      <c r="O58" s="327">
        <f t="shared" si="7"/>
        <v>0</v>
      </c>
      <c r="P58" s="79"/>
    </row>
    <row r="59" spans="1:16" ht="15" customHeight="1" x14ac:dyDescent="0.25">
      <c r="A59" s="338"/>
      <c r="B59" s="897">
        <v>3</v>
      </c>
      <c r="C59" s="895"/>
      <c r="D59" s="422">
        <f>D51</f>
        <v>10</v>
      </c>
      <c r="E59" s="422">
        <v>5</v>
      </c>
      <c r="F59" s="876" t="s">
        <v>176</v>
      </c>
      <c r="G59" s="876"/>
      <c r="H59" s="773">
        <v>10.1</v>
      </c>
      <c r="I59" s="773">
        <v>10.1</v>
      </c>
      <c r="J59" s="773">
        <v>10.1</v>
      </c>
      <c r="K59" s="773">
        <v>10.1</v>
      </c>
      <c r="L59" s="773">
        <v>10.1</v>
      </c>
      <c r="M59" s="360">
        <f t="shared" si="6"/>
        <v>10.1</v>
      </c>
      <c r="N59" s="360">
        <f>IFERROR('DB EEG'!E201,"-")</f>
        <v>10.10101</v>
      </c>
      <c r="O59" s="327">
        <f t="shared" si="7"/>
        <v>0</v>
      </c>
      <c r="P59" s="79"/>
    </row>
    <row r="60" spans="1:16" ht="15" customHeight="1" x14ac:dyDescent="0.25">
      <c r="A60" s="338"/>
      <c r="B60" s="897"/>
      <c r="C60" s="895"/>
      <c r="D60" s="422">
        <f t="shared" ref="D60:D62" si="9">D52</f>
        <v>30</v>
      </c>
      <c r="E60" s="422">
        <v>5</v>
      </c>
      <c r="F60" s="876"/>
      <c r="G60" s="876"/>
      <c r="H60" s="772">
        <v>30.9</v>
      </c>
      <c r="I60" s="772">
        <v>30.9</v>
      </c>
      <c r="J60" s="772">
        <v>30.9</v>
      </c>
      <c r="K60" s="772">
        <v>30.9</v>
      </c>
      <c r="L60" s="772">
        <v>30.9</v>
      </c>
      <c r="M60" s="360">
        <f t="shared" si="6"/>
        <v>30.9</v>
      </c>
      <c r="N60" s="360">
        <f>IFERROR('DB EEG'!E202,"-")</f>
        <v>30.903089999999999</v>
      </c>
      <c r="O60" s="327">
        <f t="shared" si="7"/>
        <v>0</v>
      </c>
      <c r="P60" s="79"/>
    </row>
    <row r="61" spans="1:16" ht="15" customHeight="1" x14ac:dyDescent="0.25">
      <c r="A61" s="338"/>
      <c r="B61" s="897"/>
      <c r="C61" s="895"/>
      <c r="D61" s="422">
        <f t="shared" si="9"/>
        <v>50</v>
      </c>
      <c r="E61" s="422">
        <v>5</v>
      </c>
      <c r="F61" s="876"/>
      <c r="G61" s="876"/>
      <c r="H61" s="772">
        <v>50.63</v>
      </c>
      <c r="I61" s="772">
        <v>50.63</v>
      </c>
      <c r="J61" s="772">
        <v>50.63</v>
      </c>
      <c r="K61" s="772">
        <v>50.63</v>
      </c>
      <c r="L61" s="772">
        <v>50.63</v>
      </c>
      <c r="M61" s="360">
        <f t="shared" si="6"/>
        <v>50.63</v>
      </c>
      <c r="N61" s="360">
        <f>IFERROR('DB EEG'!E203,"-")</f>
        <v>50.635063000000002</v>
      </c>
      <c r="O61" s="327">
        <f t="shared" si="7"/>
        <v>0</v>
      </c>
      <c r="P61" s="79"/>
    </row>
    <row r="62" spans="1:16" ht="15" customHeight="1" x14ac:dyDescent="0.25">
      <c r="A62" s="338"/>
      <c r="B62" s="897"/>
      <c r="C62" s="895"/>
      <c r="D62" s="422">
        <f t="shared" si="9"/>
        <v>100</v>
      </c>
      <c r="E62" s="422">
        <v>5</v>
      </c>
      <c r="F62" s="876"/>
      <c r="G62" s="876"/>
      <c r="H62" s="772">
        <v>102.71</v>
      </c>
      <c r="I62" s="772">
        <v>102.71</v>
      </c>
      <c r="J62" s="772">
        <v>102.71</v>
      </c>
      <c r="K62" s="772">
        <v>102.71</v>
      </c>
      <c r="L62" s="772">
        <v>102.71</v>
      </c>
      <c r="M62" s="360">
        <f t="shared" si="6"/>
        <v>102.71</v>
      </c>
      <c r="N62" s="360">
        <f>IFERROR('DB EEG'!E204,"-")</f>
        <v>102.720271</v>
      </c>
      <c r="O62" s="327">
        <f t="shared" si="7"/>
        <v>0</v>
      </c>
      <c r="P62" s="79"/>
    </row>
    <row r="63" spans="1:16" ht="15" customHeight="1" x14ac:dyDescent="0.25">
      <c r="A63" s="338"/>
      <c r="B63" s="897">
        <v>4</v>
      </c>
      <c r="C63" s="895"/>
      <c r="D63" s="422">
        <f>D51</f>
        <v>10</v>
      </c>
      <c r="E63" s="422">
        <v>5</v>
      </c>
      <c r="F63" s="876" t="s">
        <v>177</v>
      </c>
      <c r="G63" s="876"/>
      <c r="H63" s="773">
        <v>10.1</v>
      </c>
      <c r="I63" s="773">
        <v>10.1</v>
      </c>
      <c r="J63" s="773">
        <v>10.1</v>
      </c>
      <c r="K63" s="773">
        <v>10.1</v>
      </c>
      <c r="L63" s="773">
        <v>10.1</v>
      </c>
      <c r="M63" s="360">
        <f t="shared" si="6"/>
        <v>10.1</v>
      </c>
      <c r="N63" s="360">
        <f>IFERROR('DB EEG'!E208,"-")</f>
        <v>10.10101</v>
      </c>
      <c r="O63" s="327">
        <f t="shared" si="7"/>
        <v>0</v>
      </c>
      <c r="P63" s="79"/>
    </row>
    <row r="64" spans="1:16" ht="15" customHeight="1" x14ac:dyDescent="0.25">
      <c r="A64" s="338"/>
      <c r="B64" s="897"/>
      <c r="C64" s="895"/>
      <c r="D64" s="422">
        <f t="shared" ref="D64:D66" si="10">D52</f>
        <v>30</v>
      </c>
      <c r="E64" s="422">
        <v>5</v>
      </c>
      <c r="F64" s="876"/>
      <c r="G64" s="876"/>
      <c r="H64" s="772">
        <v>30.9</v>
      </c>
      <c r="I64" s="772">
        <v>30.9</v>
      </c>
      <c r="J64" s="772">
        <v>30.9</v>
      </c>
      <c r="K64" s="772">
        <v>30.9</v>
      </c>
      <c r="L64" s="772">
        <v>30.9</v>
      </c>
      <c r="M64" s="360">
        <f t="shared" si="6"/>
        <v>30.9</v>
      </c>
      <c r="N64" s="360">
        <f>IFERROR('DB EEG'!E209,"-")</f>
        <v>30.903089999999999</v>
      </c>
      <c r="O64" s="327">
        <f t="shared" si="7"/>
        <v>0</v>
      </c>
      <c r="P64" s="79"/>
    </row>
    <row r="65" spans="1:25" ht="14.5" x14ac:dyDescent="0.25">
      <c r="A65" s="338"/>
      <c r="B65" s="897"/>
      <c r="C65" s="895"/>
      <c r="D65" s="422">
        <f t="shared" si="10"/>
        <v>50</v>
      </c>
      <c r="E65" s="422">
        <v>5</v>
      </c>
      <c r="F65" s="876"/>
      <c r="G65" s="876"/>
      <c r="H65" s="772">
        <v>50.63</v>
      </c>
      <c r="I65" s="772">
        <v>50.63</v>
      </c>
      <c r="J65" s="772">
        <v>50.63</v>
      </c>
      <c r="K65" s="772">
        <v>50.63</v>
      </c>
      <c r="L65" s="772">
        <v>50.63</v>
      </c>
      <c r="M65" s="360">
        <f t="shared" si="6"/>
        <v>50.63</v>
      </c>
      <c r="N65" s="360">
        <f>IFERROR('DB EEG'!E210,"-")</f>
        <v>50.635063000000002</v>
      </c>
      <c r="O65" s="327">
        <f t="shared" si="7"/>
        <v>0</v>
      </c>
      <c r="P65" s="79"/>
    </row>
    <row r="66" spans="1:25" ht="14" x14ac:dyDescent="0.25">
      <c r="A66" s="338"/>
      <c r="B66" s="897"/>
      <c r="C66" s="895"/>
      <c r="D66" s="422">
        <f t="shared" si="10"/>
        <v>100</v>
      </c>
      <c r="E66" s="422">
        <v>5</v>
      </c>
      <c r="F66" s="876"/>
      <c r="G66" s="876"/>
      <c r="H66" s="772">
        <v>102.71</v>
      </c>
      <c r="I66" s="772">
        <v>102.71</v>
      </c>
      <c r="J66" s="772">
        <v>102.71</v>
      </c>
      <c r="K66" s="772">
        <v>102.71</v>
      </c>
      <c r="L66" s="772">
        <v>102.71</v>
      </c>
      <c r="M66" s="360">
        <f t="shared" si="6"/>
        <v>102.71</v>
      </c>
      <c r="N66" s="360">
        <f>IFERROR('DB EEG'!E211,"-")</f>
        <v>102.720271</v>
      </c>
      <c r="O66" s="327">
        <f t="shared" si="7"/>
        <v>0</v>
      </c>
      <c r="P66" s="84"/>
    </row>
    <row r="67" spans="1:25" ht="15" customHeight="1" x14ac:dyDescent="0.25">
      <c r="A67" s="338"/>
      <c r="B67" s="897">
        <v>5</v>
      </c>
      <c r="C67" s="895"/>
      <c r="D67" s="422">
        <f>D51</f>
        <v>10</v>
      </c>
      <c r="E67" s="422">
        <v>5</v>
      </c>
      <c r="F67" s="876" t="s">
        <v>178</v>
      </c>
      <c r="G67" s="876"/>
      <c r="H67" s="773">
        <v>10.1</v>
      </c>
      <c r="I67" s="773">
        <v>10.1</v>
      </c>
      <c r="J67" s="773">
        <v>10.1</v>
      </c>
      <c r="K67" s="773">
        <v>10.1</v>
      </c>
      <c r="L67" s="773">
        <v>10.1</v>
      </c>
      <c r="M67" s="360">
        <f t="shared" si="6"/>
        <v>10.1</v>
      </c>
      <c r="N67" s="360">
        <f>IFERROR('DB EEG'!E215,"-")</f>
        <v>10.10101</v>
      </c>
      <c r="O67" s="327">
        <f t="shared" si="7"/>
        <v>0</v>
      </c>
      <c r="P67" s="84"/>
    </row>
    <row r="68" spans="1:25" ht="15" customHeight="1" x14ac:dyDescent="0.25">
      <c r="A68" s="338"/>
      <c r="B68" s="897"/>
      <c r="C68" s="895"/>
      <c r="D68" s="422">
        <f t="shared" ref="D68:D70" si="11">D52</f>
        <v>30</v>
      </c>
      <c r="E68" s="422">
        <v>5</v>
      </c>
      <c r="F68" s="876"/>
      <c r="G68" s="876"/>
      <c r="H68" s="772">
        <v>30.9</v>
      </c>
      <c r="I68" s="772">
        <v>30.9</v>
      </c>
      <c r="J68" s="772">
        <v>30.9</v>
      </c>
      <c r="K68" s="772">
        <v>30.9</v>
      </c>
      <c r="L68" s="772">
        <v>30.9</v>
      </c>
      <c r="M68" s="360">
        <f t="shared" si="6"/>
        <v>30.9</v>
      </c>
      <c r="N68" s="360">
        <f>IFERROR('DB EEG'!E216,"-")</f>
        <v>30.903089999999999</v>
      </c>
      <c r="O68" s="327">
        <f t="shared" si="7"/>
        <v>0</v>
      </c>
      <c r="P68" s="84"/>
    </row>
    <row r="69" spans="1:25" ht="15" customHeight="1" x14ac:dyDescent="0.25">
      <c r="A69" s="338"/>
      <c r="B69" s="897"/>
      <c r="C69" s="895"/>
      <c r="D69" s="422">
        <f t="shared" si="11"/>
        <v>50</v>
      </c>
      <c r="E69" s="422">
        <v>5</v>
      </c>
      <c r="F69" s="876"/>
      <c r="G69" s="876"/>
      <c r="H69" s="772">
        <v>50.63</v>
      </c>
      <c r="I69" s="772">
        <v>50.63</v>
      </c>
      <c r="J69" s="772">
        <v>50.63</v>
      </c>
      <c r="K69" s="772">
        <v>50.63</v>
      </c>
      <c r="L69" s="772">
        <v>50.63</v>
      </c>
      <c r="M69" s="360">
        <f t="shared" si="6"/>
        <v>50.63</v>
      </c>
      <c r="N69" s="360">
        <f>IFERROR('DB EEG'!E217,"-")</f>
        <v>50.635063000000002</v>
      </c>
      <c r="O69" s="327">
        <f t="shared" si="7"/>
        <v>0</v>
      </c>
      <c r="P69" s="79"/>
    </row>
    <row r="70" spans="1:25" ht="15" customHeight="1" x14ac:dyDescent="0.25">
      <c r="A70" s="338"/>
      <c r="B70" s="897"/>
      <c r="C70" s="896"/>
      <c r="D70" s="422">
        <f t="shared" si="11"/>
        <v>100</v>
      </c>
      <c r="E70" s="422">
        <v>5</v>
      </c>
      <c r="F70" s="876"/>
      <c r="G70" s="876"/>
      <c r="H70" s="772">
        <v>102.71</v>
      </c>
      <c r="I70" s="772">
        <v>102.71</v>
      </c>
      <c r="J70" s="772">
        <v>102.71</v>
      </c>
      <c r="K70" s="772">
        <v>102.71</v>
      </c>
      <c r="L70" s="772">
        <v>102.71</v>
      </c>
      <c r="M70" s="360">
        <f t="shared" si="6"/>
        <v>102.71</v>
      </c>
      <c r="N70" s="360">
        <f>IFERROR('DB EEG'!E218,"-")</f>
        <v>102.720271</v>
      </c>
      <c r="O70" s="327">
        <f t="shared" si="7"/>
        <v>0</v>
      </c>
      <c r="P70" s="79"/>
    </row>
    <row r="71" spans="1:25" ht="15" customHeight="1" x14ac:dyDescent="0.25">
      <c r="A71" s="338"/>
      <c r="B71" s="471"/>
      <c r="C71" s="471"/>
      <c r="D71" s="459"/>
      <c r="E71" s="459"/>
      <c r="F71" s="931"/>
      <c r="G71" s="931"/>
      <c r="H71" s="931"/>
      <c r="I71" s="931"/>
      <c r="J71" s="472"/>
      <c r="K71" s="229"/>
      <c r="L71" s="229"/>
      <c r="M71" s="214"/>
      <c r="N71" s="86"/>
      <c r="O71" s="473"/>
      <c r="P71" s="79"/>
    </row>
    <row r="72" spans="1:25" ht="15" customHeight="1" x14ac:dyDescent="0.25">
      <c r="A72" s="338"/>
      <c r="B72" s="471"/>
      <c r="C72" s="471"/>
      <c r="D72" s="459"/>
      <c r="E72" s="459"/>
      <c r="F72" s="471"/>
      <c r="G72" s="471"/>
      <c r="H72" s="471"/>
      <c r="I72" s="471"/>
      <c r="J72" s="472"/>
      <c r="K72" s="229"/>
      <c r="L72" s="229"/>
      <c r="M72" s="214"/>
      <c r="N72" s="86"/>
      <c r="O72" s="473"/>
      <c r="P72" s="79"/>
    </row>
    <row r="73" spans="1:25" ht="14.5" x14ac:dyDescent="0.25">
      <c r="A73" s="389" t="s">
        <v>179</v>
      </c>
      <c r="B73" s="389" t="s">
        <v>180</v>
      </c>
      <c r="C73" s="390"/>
      <c r="D73" s="208"/>
      <c r="E73" s="335"/>
      <c r="F73" s="335"/>
      <c r="G73" s="335"/>
      <c r="H73" s="335"/>
      <c r="I73" s="335"/>
      <c r="J73" s="335"/>
      <c r="K73" s="154"/>
      <c r="L73" s="154"/>
      <c r="M73" s="154"/>
      <c r="N73" s="86"/>
      <c r="O73" s="86"/>
      <c r="P73" s="79"/>
    </row>
    <row r="74" spans="1:25" ht="15" customHeight="1" x14ac:dyDescent="0.25">
      <c r="A74" s="153"/>
      <c r="B74" s="140" t="s">
        <v>181</v>
      </c>
      <c r="C74" s="140"/>
      <c r="D74" s="208"/>
      <c r="E74" s="140"/>
      <c r="F74" s="140"/>
      <c r="G74" s="140"/>
      <c r="H74" s="140"/>
      <c r="I74" s="140"/>
      <c r="J74" s="140"/>
      <c r="K74" s="140"/>
      <c r="L74" s="154"/>
      <c r="M74" s="154"/>
      <c r="N74" s="86"/>
      <c r="O74" s="86"/>
      <c r="P74" s="404"/>
      <c r="Q74" s="404"/>
      <c r="R74" s="404"/>
      <c r="Y74" s="82" t="s">
        <v>182</v>
      </c>
    </row>
    <row r="75" spans="1:25" ht="15" customHeight="1" x14ac:dyDescent="0.25">
      <c r="A75" s="153"/>
      <c r="B75" s="586" t="str">
        <f>'DB ESA'!N311</f>
        <v>Hasil pengukuran keselamatan listrik tertelusur ke Satuan Internasional ( SI ) melalui PT. Kaliman (LK-032-IDN)</v>
      </c>
      <c r="C75" s="140"/>
      <c r="D75" s="208"/>
      <c r="E75" s="140"/>
      <c r="F75" s="140"/>
      <c r="G75" s="140"/>
      <c r="H75" s="140"/>
      <c r="I75" s="140"/>
      <c r="J75" s="140"/>
      <c r="K75" s="140"/>
      <c r="L75" s="154"/>
      <c r="M75" s="154"/>
      <c r="N75" s="86"/>
      <c r="O75" s="86"/>
      <c r="P75" s="404"/>
      <c r="Q75" s="404"/>
      <c r="R75" s="404"/>
      <c r="Y75" s="82" t="s">
        <v>183</v>
      </c>
    </row>
    <row r="76" spans="1:25" ht="15" customHeight="1" x14ac:dyDescent="0.3">
      <c r="A76" s="153"/>
      <c r="B76" s="797" t="str">
        <f>'DB EEG'!U175</f>
        <v>Hasil kalibrasi Frekuensi dan Amplitudo tertelusur ke Satuan Internasional melalui CALTEK PTE LTD</v>
      </c>
      <c r="C76" s="140"/>
      <c r="D76" s="208"/>
      <c r="E76" s="140"/>
      <c r="F76" s="140"/>
      <c r="G76" s="140"/>
      <c r="H76" s="140"/>
      <c r="I76" s="140"/>
      <c r="J76" s="140"/>
      <c r="K76" s="140"/>
      <c r="L76" s="154"/>
      <c r="M76" s="154"/>
      <c r="N76" s="86"/>
      <c r="O76" s="86"/>
      <c r="P76" s="404"/>
      <c r="Q76" s="404"/>
      <c r="R76" s="404"/>
      <c r="Y76" s="109" t="s">
        <v>185</v>
      </c>
    </row>
    <row r="77" spans="1:25" ht="14.5" x14ac:dyDescent="0.25">
      <c r="A77" s="153"/>
      <c r="B77" s="930" t="str">
        <f>PENYELIA!V19</f>
        <v>Alat tidak boleh digunakan pada instalasi tanpa dilengkapi grounding</v>
      </c>
      <c r="C77" s="930"/>
      <c r="D77" s="930"/>
      <c r="E77" s="930"/>
      <c r="F77" s="930"/>
      <c r="G77" s="930"/>
      <c r="H77" s="930"/>
      <c r="I77" s="930"/>
      <c r="J77" s="930"/>
      <c r="K77" s="930"/>
      <c r="L77" s="930"/>
      <c r="M77" s="154"/>
      <c r="N77" s="86"/>
      <c r="O77" s="86"/>
      <c r="P77" s="404"/>
      <c r="Q77" s="404"/>
      <c r="R77" s="404"/>
      <c r="Y77" s="405" t="s">
        <v>16</v>
      </c>
    </row>
    <row r="78" spans="1:25" ht="14.5" x14ac:dyDescent="0.25">
      <c r="A78" s="338"/>
      <c r="B78" s="930"/>
      <c r="C78" s="930"/>
      <c r="D78" s="930"/>
      <c r="E78" s="930"/>
      <c r="F78" s="930"/>
      <c r="G78" s="930"/>
      <c r="H78" s="930"/>
      <c r="I78" s="930"/>
      <c r="J78" s="930"/>
      <c r="K78" s="930"/>
      <c r="L78" s="930"/>
      <c r="M78" s="154"/>
      <c r="N78" s="86"/>
      <c r="O78" s="424"/>
      <c r="P78" s="79"/>
      <c r="T78" s="404"/>
    </row>
    <row r="79" spans="1:25" ht="14.5" x14ac:dyDescent="0.25">
      <c r="A79" s="153" t="s">
        <v>186</v>
      </c>
      <c r="B79" s="153" t="s">
        <v>187</v>
      </c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208"/>
      <c r="N79" s="86"/>
      <c r="O79" s="424"/>
      <c r="P79" s="79"/>
      <c r="T79" s="404"/>
    </row>
    <row r="80" spans="1:25" ht="14.5" x14ac:dyDescent="0.25">
      <c r="A80" s="140"/>
      <c r="B80" s="877" t="s">
        <v>488</v>
      </c>
      <c r="C80" s="877"/>
      <c r="D80" s="877"/>
      <c r="E80" s="877"/>
      <c r="F80" s="877"/>
      <c r="G80" s="877"/>
      <c r="H80" s="877"/>
      <c r="I80" s="877"/>
      <c r="J80" s="877"/>
      <c r="K80" s="877"/>
      <c r="L80" s="877"/>
      <c r="M80" s="208"/>
      <c r="N80" s="86"/>
      <c r="O80" s="424"/>
      <c r="P80" s="79"/>
      <c r="T80" s="404"/>
    </row>
    <row r="81" spans="1:16" ht="14.5" x14ac:dyDescent="0.25">
      <c r="A81" s="140"/>
      <c r="B81" s="877" t="s">
        <v>189</v>
      </c>
      <c r="C81" s="877"/>
      <c r="D81" s="877"/>
      <c r="E81" s="877"/>
      <c r="F81" s="877"/>
      <c r="G81" s="877"/>
      <c r="H81" s="877"/>
      <c r="I81" s="877"/>
      <c r="J81" s="877"/>
      <c r="K81" s="877"/>
      <c r="L81" s="877"/>
      <c r="M81" s="208"/>
      <c r="N81" s="86"/>
      <c r="O81" s="86"/>
      <c r="P81" s="79"/>
    </row>
    <row r="82" spans="1:16" ht="14.5" x14ac:dyDescent="0.25">
      <c r="A82" s="140"/>
      <c r="B82" s="877" t="s">
        <v>190</v>
      </c>
      <c r="C82" s="877"/>
      <c r="D82" s="877"/>
      <c r="E82" s="877"/>
      <c r="F82" s="877"/>
      <c r="G82" s="877"/>
      <c r="H82" s="877"/>
      <c r="I82" s="877"/>
      <c r="J82" s="877"/>
      <c r="K82" s="877"/>
      <c r="L82" s="877"/>
      <c r="M82" s="208"/>
      <c r="N82" s="86"/>
      <c r="O82" s="86"/>
      <c r="P82" s="79"/>
    </row>
    <row r="83" spans="1:16" ht="9" customHeight="1" x14ac:dyDescent="0.25">
      <c r="A83" s="338"/>
      <c r="B83" s="140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86"/>
      <c r="O83" s="86"/>
      <c r="P83" s="79"/>
    </row>
    <row r="84" spans="1:16" ht="14.5" x14ac:dyDescent="0.25">
      <c r="A84" s="153" t="s">
        <v>191</v>
      </c>
      <c r="B84" s="153" t="s">
        <v>192</v>
      </c>
      <c r="C84" s="208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86"/>
      <c r="O84" s="86"/>
      <c r="P84" s="79"/>
    </row>
    <row r="85" spans="1:16" ht="15" customHeight="1" x14ac:dyDescent="0.25">
      <c r="A85" s="140"/>
      <c r="B85" s="878" t="str">
        <f>PENYELIA!B103</f>
        <v>Alat yang dikalibrasi dalam batas toleransi dan dinyatakan LAIK PAKAI, dimana hasil atau skor akhir sama dengan atau melampaui 70% berdasarkan Keputusan Direktur Jenderal Pelayanan Kesehatan No : HK.02.02/V/0412/2020</v>
      </c>
      <c r="C85" s="878"/>
      <c r="D85" s="878"/>
      <c r="E85" s="878"/>
      <c r="F85" s="878"/>
      <c r="G85" s="878"/>
      <c r="H85" s="878"/>
      <c r="I85" s="878"/>
      <c r="J85" s="878"/>
      <c r="K85" s="878"/>
      <c r="L85" s="878"/>
      <c r="M85" s="878"/>
      <c r="N85" s="878"/>
      <c r="O85" s="878"/>
      <c r="P85" s="79"/>
    </row>
    <row r="86" spans="1:16" ht="12" customHeight="1" x14ac:dyDescent="0.25">
      <c r="A86" s="338"/>
      <c r="B86" s="878"/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878"/>
      <c r="N86" s="878"/>
      <c r="O86" s="878"/>
      <c r="P86" s="79"/>
    </row>
    <row r="87" spans="1:16" ht="8.25" customHeight="1" x14ac:dyDescent="0.25">
      <c r="A87" s="338"/>
      <c r="B87" s="140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86"/>
      <c r="O87" s="86"/>
      <c r="P87" s="79"/>
    </row>
    <row r="88" spans="1:16" ht="14.5" x14ac:dyDescent="0.25">
      <c r="A88" s="153" t="s">
        <v>121</v>
      </c>
      <c r="B88" s="153" t="s">
        <v>135</v>
      </c>
      <c r="C88" s="140"/>
      <c r="D88" s="140"/>
      <c r="E88" s="140"/>
      <c r="F88" s="208"/>
      <c r="G88" s="140"/>
      <c r="H88" s="140"/>
      <c r="I88" s="140"/>
      <c r="J88" s="140"/>
      <c r="K88" s="140"/>
      <c r="L88" s="140"/>
      <c r="M88" s="140"/>
      <c r="N88" s="86"/>
      <c r="O88" s="86"/>
      <c r="P88" s="79"/>
    </row>
    <row r="89" spans="1:16" ht="14.5" x14ac:dyDescent="0.25">
      <c r="A89" s="140"/>
      <c r="B89" s="877" t="s">
        <v>193</v>
      </c>
      <c r="C89" s="877"/>
      <c r="D89" s="877"/>
      <c r="E89" s="877"/>
      <c r="F89" s="208"/>
      <c r="G89" s="140"/>
      <c r="H89" s="140"/>
      <c r="I89" s="140"/>
      <c r="J89" s="140"/>
      <c r="K89" s="140"/>
      <c r="L89" s="140"/>
      <c r="M89" s="140"/>
      <c r="N89" s="86"/>
      <c r="O89" s="86"/>
    </row>
    <row r="90" spans="1:16" ht="8.25" customHeight="1" x14ac:dyDescent="0.25">
      <c r="A90" s="338"/>
      <c r="B90" s="140"/>
      <c r="C90" s="138"/>
      <c r="D90" s="138"/>
      <c r="E90" s="138"/>
      <c r="F90" s="140"/>
      <c r="G90" s="140"/>
      <c r="H90" s="140"/>
      <c r="I90" s="140"/>
      <c r="J90" s="140"/>
      <c r="K90" s="140"/>
      <c r="L90" s="140"/>
      <c r="M90" s="140"/>
      <c r="N90" s="86"/>
      <c r="O90" s="86"/>
    </row>
    <row r="91" spans="1:16" ht="14.5" x14ac:dyDescent="0.25">
      <c r="A91" s="153" t="s">
        <v>124</v>
      </c>
      <c r="B91" s="153" t="s">
        <v>194</v>
      </c>
      <c r="C91" s="208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86"/>
      <c r="O91" s="86"/>
    </row>
    <row r="92" spans="1:16" ht="14.5" x14ac:dyDescent="0.25">
      <c r="A92" s="140"/>
      <c r="B92" s="765" t="s">
        <v>195</v>
      </c>
      <c r="C92" s="208"/>
      <c r="D92" s="152"/>
      <c r="E92" s="140"/>
      <c r="F92" s="140"/>
      <c r="G92" s="140"/>
      <c r="H92" s="140"/>
      <c r="I92" s="140"/>
      <c r="J92" s="140"/>
      <c r="K92" s="140"/>
      <c r="L92" s="140"/>
      <c r="M92" s="140"/>
      <c r="N92" s="86"/>
      <c r="O92" s="86"/>
    </row>
    <row r="97" spans="1:17" x14ac:dyDescent="0.25">
      <c r="L97" s="84"/>
    </row>
    <row r="102" spans="1:17" x14ac:dyDescent="0.25">
      <c r="A102" s="139"/>
    </row>
    <row r="103" spans="1:17" x14ac:dyDescent="0.25">
      <c r="A103" s="139"/>
      <c r="M103" s="406" t="s">
        <v>196</v>
      </c>
      <c r="N103" s="383" t="s">
        <v>197</v>
      </c>
    </row>
    <row r="104" spans="1:17" x14ac:dyDescent="0.25">
      <c r="M104" s="407" t="s">
        <v>198</v>
      </c>
      <c r="N104" s="387" t="s">
        <v>199</v>
      </c>
    </row>
    <row r="105" spans="1:17" x14ac:dyDescent="0.25">
      <c r="M105" s="139" t="s">
        <v>200</v>
      </c>
    </row>
    <row r="106" spans="1:17" x14ac:dyDescent="0.25">
      <c r="A106" s="408"/>
    </row>
    <row r="107" spans="1:17" x14ac:dyDescent="0.25">
      <c r="A107" s="408"/>
      <c r="M107" s="84"/>
    </row>
    <row r="108" spans="1:17" x14ac:dyDescent="0.25">
      <c r="A108" s="408"/>
      <c r="M108" s="84"/>
    </row>
    <row r="109" spans="1:17" x14ac:dyDescent="0.25">
      <c r="A109" s="408"/>
      <c r="M109" s="65" t="s">
        <v>201</v>
      </c>
    </row>
    <row r="110" spans="1:17" x14ac:dyDescent="0.25">
      <c r="A110" s="408"/>
      <c r="M110" s="65" t="s">
        <v>202</v>
      </c>
    </row>
    <row r="111" spans="1:17" ht="14.5" x14ac:dyDescent="0.25">
      <c r="A111" s="408"/>
      <c r="M111" s="65" t="s">
        <v>203</v>
      </c>
      <c r="Q111" s="79"/>
    </row>
    <row r="112" spans="1:17" ht="14.5" x14ac:dyDescent="0.3">
      <c r="A112" s="409"/>
      <c r="M112" s="65" t="s">
        <v>204</v>
      </c>
      <c r="Q112" s="79"/>
    </row>
    <row r="113" spans="1:26" ht="14.5" x14ac:dyDescent="0.25">
      <c r="M113" s="65" t="s">
        <v>205</v>
      </c>
      <c r="Q113" s="79"/>
    </row>
    <row r="114" spans="1:26" ht="14.5" x14ac:dyDescent="0.25">
      <c r="M114" s="65" t="s">
        <v>206</v>
      </c>
      <c r="Q114" s="79"/>
    </row>
    <row r="115" spans="1:26" ht="14.5" x14ac:dyDescent="0.25">
      <c r="A115" s="410"/>
      <c r="M115" s="65" t="s">
        <v>207</v>
      </c>
      <c r="Q115" s="79"/>
    </row>
    <row r="116" spans="1:26" ht="14.5" x14ac:dyDescent="0.25">
      <c r="A116" s="410"/>
      <c r="M116" s="65" t="s">
        <v>193</v>
      </c>
      <c r="Q116" s="79"/>
    </row>
    <row r="117" spans="1:26" ht="14.5" x14ac:dyDescent="0.25">
      <c r="A117" s="410"/>
      <c r="M117" s="65" t="s">
        <v>208</v>
      </c>
      <c r="Q117" s="79"/>
    </row>
    <row r="118" spans="1:26" ht="14.5" x14ac:dyDescent="0.25">
      <c r="A118" s="410"/>
      <c r="M118" s="65" t="s">
        <v>209</v>
      </c>
      <c r="Q118" s="79"/>
    </row>
    <row r="119" spans="1:26" ht="14.5" x14ac:dyDescent="0.25">
      <c r="A119" s="410"/>
      <c r="M119" s="65" t="s">
        <v>210</v>
      </c>
      <c r="Q119" s="79"/>
    </row>
    <row r="120" spans="1:26" ht="14.5" x14ac:dyDescent="0.25">
      <c r="A120" s="410"/>
      <c r="M120" s="65" t="s">
        <v>211</v>
      </c>
      <c r="Q120" s="79"/>
      <c r="R120" s="769"/>
      <c r="S120" s="769"/>
    </row>
    <row r="121" spans="1:26" ht="14.5" x14ac:dyDescent="0.25">
      <c r="A121" s="410"/>
      <c r="C121" s="124"/>
      <c r="M121" s="208" t="s">
        <v>212</v>
      </c>
      <c r="Q121" s="79"/>
      <c r="R121" s="769"/>
      <c r="S121" s="769"/>
    </row>
    <row r="122" spans="1:26" ht="14.5" x14ac:dyDescent="0.25">
      <c r="A122" s="410"/>
      <c r="C122" s="124"/>
      <c r="M122" s="208" t="s">
        <v>213</v>
      </c>
      <c r="Q122" s="79"/>
    </row>
    <row r="123" spans="1:26" ht="14.5" x14ac:dyDescent="0.25">
      <c r="A123" s="410"/>
      <c r="M123" s="208" t="s">
        <v>214</v>
      </c>
      <c r="Q123" s="79"/>
    </row>
    <row r="124" spans="1:26" ht="14.5" x14ac:dyDescent="0.25">
      <c r="A124" s="410"/>
      <c r="C124" s="124"/>
      <c r="M124" s="65" t="s">
        <v>215</v>
      </c>
      <c r="Q124" s="79"/>
      <c r="T124" s="769"/>
      <c r="U124" s="769"/>
      <c r="V124" s="769"/>
      <c r="W124" s="769"/>
      <c r="X124" s="769"/>
      <c r="Y124" s="769"/>
      <c r="Z124" s="769"/>
    </row>
    <row r="125" spans="1:26" ht="14.5" x14ac:dyDescent="0.25">
      <c r="A125" s="410"/>
      <c r="C125" s="124"/>
      <c r="M125" s="65" t="s">
        <v>216</v>
      </c>
      <c r="Q125" s="79"/>
      <c r="T125" s="769"/>
      <c r="U125" s="769"/>
      <c r="V125" s="769"/>
      <c r="W125" s="769"/>
      <c r="X125" s="769"/>
      <c r="Y125" s="769"/>
      <c r="Z125" s="769"/>
    </row>
    <row r="126" spans="1:26" ht="14.5" x14ac:dyDescent="0.25">
      <c r="A126" s="231"/>
      <c r="C126" s="140"/>
      <c r="M126" s="65" t="s">
        <v>217</v>
      </c>
      <c r="Q126" s="79"/>
    </row>
    <row r="127" spans="1:26" ht="14.5" x14ac:dyDescent="0.25">
      <c r="C127" s="140"/>
      <c r="M127" s="65" t="s">
        <v>218</v>
      </c>
      <c r="Q127" s="79"/>
    </row>
    <row r="128" spans="1:26" ht="14.5" x14ac:dyDescent="0.25">
      <c r="C128" s="140"/>
      <c r="M128" s="208" t="s">
        <v>219</v>
      </c>
      <c r="Q128" s="79"/>
    </row>
    <row r="129" spans="3:17" ht="14.5" x14ac:dyDescent="0.25">
      <c r="C129" s="140"/>
      <c r="M129" s="208" t="s">
        <v>220</v>
      </c>
      <c r="Q129" s="79"/>
    </row>
    <row r="130" spans="3:17" ht="14.5" x14ac:dyDescent="0.25">
      <c r="C130" s="140"/>
      <c r="M130" s="208" t="s">
        <v>221</v>
      </c>
      <c r="Q130" s="79"/>
    </row>
    <row r="131" spans="3:17" ht="14.5" x14ac:dyDescent="0.25">
      <c r="C131" s="140"/>
      <c r="M131" s="208" t="s">
        <v>222</v>
      </c>
      <c r="Q131" s="79"/>
    </row>
    <row r="132" spans="3:17" ht="14.5" x14ac:dyDescent="0.25">
      <c r="C132" s="140"/>
      <c r="M132" s="208" t="s">
        <v>223</v>
      </c>
      <c r="Q132" s="79"/>
    </row>
    <row r="133" spans="3:17" ht="14.5" x14ac:dyDescent="0.25">
      <c r="C133" s="140"/>
      <c r="Q133" s="79"/>
    </row>
    <row r="134" spans="3:17" ht="14.5" x14ac:dyDescent="0.25">
      <c r="C134" s="140"/>
      <c r="Q134" s="79"/>
    </row>
    <row r="135" spans="3:17" ht="14.5" x14ac:dyDescent="0.25">
      <c r="C135" s="140"/>
      <c r="Q135" s="79"/>
    </row>
    <row r="136" spans="3:17" ht="14.5" x14ac:dyDescent="0.25">
      <c r="C136" s="140"/>
      <c r="Q136" s="80"/>
    </row>
    <row r="137" spans="3:17" ht="14.5" x14ac:dyDescent="0.25">
      <c r="C137" s="140"/>
      <c r="Q137" s="80"/>
    </row>
    <row r="138" spans="3:17" ht="14.5" x14ac:dyDescent="0.25">
      <c r="C138" s="140"/>
      <c r="Q138" s="80"/>
    </row>
    <row r="139" spans="3:17" ht="14.5" x14ac:dyDescent="0.25">
      <c r="C139" s="140"/>
      <c r="Q139" s="80"/>
    </row>
    <row r="140" spans="3:17" ht="14.5" x14ac:dyDescent="0.25">
      <c r="C140" s="140"/>
      <c r="Q140" s="80"/>
    </row>
    <row r="141" spans="3:17" ht="14.5" x14ac:dyDescent="0.25">
      <c r="C141" s="140"/>
      <c r="Q141" s="80"/>
    </row>
    <row r="142" spans="3:17" ht="14.5" x14ac:dyDescent="0.25">
      <c r="C142" s="140"/>
      <c r="Q142" s="80"/>
    </row>
    <row r="143" spans="3:17" ht="14.5" x14ac:dyDescent="0.25">
      <c r="C143" s="140"/>
      <c r="Q143" s="80"/>
    </row>
    <row r="144" spans="3:17" ht="14.5" x14ac:dyDescent="0.35">
      <c r="C144" s="159"/>
      <c r="Q144" s="80"/>
    </row>
    <row r="145" spans="3:17" ht="14.5" x14ac:dyDescent="0.35">
      <c r="C145" s="159"/>
      <c r="Q145" s="80"/>
    </row>
    <row r="146" spans="3:17" ht="14" x14ac:dyDescent="0.25">
      <c r="C146" s="140"/>
    </row>
    <row r="147" spans="3:17" ht="14" x14ac:dyDescent="0.25">
      <c r="C147" s="140"/>
    </row>
    <row r="148" spans="3:17" ht="14" x14ac:dyDescent="0.25">
      <c r="C148" s="140"/>
    </row>
    <row r="149" spans="3:17" ht="14" x14ac:dyDescent="0.25">
      <c r="C149" s="140"/>
    </row>
    <row r="150" spans="3:17" ht="14" x14ac:dyDescent="0.25">
      <c r="C150" s="140"/>
    </row>
    <row r="151" spans="3:17" ht="14" x14ac:dyDescent="0.25">
      <c r="C151" s="140"/>
    </row>
    <row r="152" spans="3:17" ht="14" x14ac:dyDescent="0.25">
      <c r="C152" s="140"/>
    </row>
    <row r="153" spans="3:17" ht="14" x14ac:dyDescent="0.25">
      <c r="C153" s="140"/>
    </row>
    <row r="154" spans="3:17" ht="14" x14ac:dyDescent="0.25">
      <c r="C154" s="140"/>
    </row>
    <row r="155" spans="3:17" ht="14" x14ac:dyDescent="0.25">
      <c r="C155" s="140"/>
    </row>
    <row r="156" spans="3:17" ht="14" x14ac:dyDescent="0.25">
      <c r="C156" s="140"/>
    </row>
    <row r="157" spans="3:17" ht="14" x14ac:dyDescent="0.25">
      <c r="C157" s="140"/>
    </row>
    <row r="158" spans="3:17" ht="14" x14ac:dyDescent="0.25">
      <c r="C158" s="140"/>
    </row>
    <row r="159" spans="3:17" ht="14" x14ac:dyDescent="0.25">
      <c r="C159" s="140"/>
    </row>
    <row r="160" spans="3:17" ht="14" x14ac:dyDescent="0.25">
      <c r="C160" s="140"/>
    </row>
    <row r="161" spans="3:7" ht="14" x14ac:dyDescent="0.25">
      <c r="C161" s="140"/>
    </row>
    <row r="162" spans="3:7" x14ac:dyDescent="0.25">
      <c r="C162" s="229"/>
    </row>
    <row r="163" spans="3:7" x14ac:dyDescent="0.25">
      <c r="C163" s="229"/>
    </row>
    <row r="164" spans="3:7" x14ac:dyDescent="0.25">
      <c r="C164" s="229"/>
    </row>
    <row r="165" spans="3:7" x14ac:dyDescent="0.25">
      <c r="C165" s="229"/>
    </row>
    <row r="166" spans="3:7" x14ac:dyDescent="0.25">
      <c r="C166" s="229"/>
    </row>
    <row r="167" spans="3:7" x14ac:dyDescent="0.25">
      <c r="C167" s="229"/>
    </row>
    <row r="168" spans="3:7" x14ac:dyDescent="0.25">
      <c r="C168" s="229"/>
    </row>
    <row r="169" spans="3:7" x14ac:dyDescent="0.25">
      <c r="C169" s="229"/>
    </row>
    <row r="170" spans="3:7" x14ac:dyDescent="0.25">
      <c r="C170" s="229"/>
    </row>
    <row r="171" spans="3:7" x14ac:dyDescent="0.25">
      <c r="C171" s="229"/>
    </row>
    <row r="172" spans="3:7" x14ac:dyDescent="0.25">
      <c r="C172" s="229"/>
    </row>
    <row r="173" spans="3:7" x14ac:dyDescent="0.25">
      <c r="C173" s="230"/>
    </row>
    <row r="174" spans="3:7" x14ac:dyDescent="0.25">
      <c r="G174" s="84"/>
    </row>
    <row r="175" spans="3:7" x14ac:dyDescent="0.25">
      <c r="G175" s="84"/>
    </row>
    <row r="184" spans="7:7" x14ac:dyDescent="0.25">
      <c r="G184" s="139" t="s">
        <v>151</v>
      </c>
    </row>
    <row r="185" spans="7:7" x14ac:dyDescent="0.25">
      <c r="G185" s="139" t="s">
        <v>168</v>
      </c>
    </row>
  </sheetData>
  <sheetProtection formatCells="0" formatColumns="0" formatRows="0" insertColumns="0" insertRows="0" deleteColumns="0" deleteRows="0"/>
  <mergeCells count="68">
    <mergeCell ref="F37:G37"/>
    <mergeCell ref="P26:Q27"/>
    <mergeCell ref="R26:R27"/>
    <mergeCell ref="S26:S27"/>
    <mergeCell ref="B77:L77"/>
    <mergeCell ref="B49:B50"/>
    <mergeCell ref="F51:G54"/>
    <mergeCell ref="F71:I71"/>
    <mergeCell ref="B63:B66"/>
    <mergeCell ref="F63:G66"/>
    <mergeCell ref="C49:C50"/>
    <mergeCell ref="B59:B62"/>
    <mergeCell ref="F59:G62"/>
    <mergeCell ref="B51:B54"/>
    <mergeCell ref="B55:B58"/>
    <mergeCell ref="F55:G58"/>
    <mergeCell ref="F35:G35"/>
    <mergeCell ref="A1:O1"/>
    <mergeCell ref="B42:B46"/>
    <mergeCell ref="C42:C46"/>
    <mergeCell ref="F40:G41"/>
    <mergeCell ref="B40:B41"/>
    <mergeCell ref="C40:C41"/>
    <mergeCell ref="H40:L40"/>
    <mergeCell ref="C33:C34"/>
    <mergeCell ref="G14:I14"/>
    <mergeCell ref="G15:I15"/>
    <mergeCell ref="G16:I16"/>
    <mergeCell ref="G17:I17"/>
    <mergeCell ref="E17:F17"/>
    <mergeCell ref="F36:G36"/>
    <mergeCell ref="D37:E37"/>
    <mergeCell ref="L24:M24"/>
    <mergeCell ref="L25:M25"/>
    <mergeCell ref="J24:K25"/>
    <mergeCell ref="B33:B34"/>
    <mergeCell ref="F33:G34"/>
    <mergeCell ref="B24:B25"/>
    <mergeCell ref="C24:I25"/>
    <mergeCell ref="D33:E34"/>
    <mergeCell ref="C27:I27"/>
    <mergeCell ref="C28:I28"/>
    <mergeCell ref="D35:E35"/>
    <mergeCell ref="D36:E36"/>
    <mergeCell ref="D40:E40"/>
    <mergeCell ref="D49:E49"/>
    <mergeCell ref="C51:C70"/>
    <mergeCell ref="AF40:AF41"/>
    <mergeCell ref="Y40:AC40"/>
    <mergeCell ref="AD40:AD41"/>
    <mergeCell ref="O40:O41"/>
    <mergeCell ref="M40:M41"/>
    <mergeCell ref="N40:N41"/>
    <mergeCell ref="O49:O50"/>
    <mergeCell ref="AE40:AE41"/>
    <mergeCell ref="N49:N50"/>
    <mergeCell ref="B89:E89"/>
    <mergeCell ref="B80:L80"/>
    <mergeCell ref="B81:L81"/>
    <mergeCell ref="B82:L82"/>
    <mergeCell ref="B85:O86"/>
    <mergeCell ref="F42:G46"/>
    <mergeCell ref="F49:G50"/>
    <mergeCell ref="B67:B70"/>
    <mergeCell ref="F67:G70"/>
    <mergeCell ref="H49:L49"/>
    <mergeCell ref="M49:M50"/>
    <mergeCell ref="B78:L78"/>
  </mergeCells>
  <dataValidations count="9">
    <dataValidation type="list" showInputMessage="1" showErrorMessage="1" sqref="C83:M83" xr:uid="{00000000-0002-0000-0100-000001000000}">
      <formula1>$C$162:$C$168</formula1>
    </dataValidation>
    <dataValidation type="list" allowBlank="1" showInputMessage="1" showErrorMessage="1" sqref="N80" xr:uid="{00000000-0002-0000-0100-000002000000}">
      <formula1>$C$124:$C$130</formula1>
    </dataValidation>
    <dataValidation type="list" allowBlank="1" showInputMessage="1" sqref="N2:P2" xr:uid="{00000000-0002-0000-0100-000003000000}">
      <formula1>$M$103:$M$104</formula1>
    </dataValidation>
    <dataValidation type="list" allowBlank="1" showInputMessage="1" sqref="F10:J10" xr:uid="{00000000-0002-0000-0100-000005000000}">
      <formula1>$O$10</formula1>
    </dataValidation>
    <dataValidation type="list" allowBlank="1" showInputMessage="1" showErrorMessage="1" sqref="E20:E21" xr:uid="{00000000-0002-0000-0100-000006000000}">
      <formula1>$G$184:$G$185</formula1>
    </dataValidation>
    <dataValidation allowBlank="1" showInputMessage="1" sqref="B2 E10" xr:uid="{00000000-0002-0000-0100-000007000000}"/>
    <dataValidation type="list" allowBlank="1" showInputMessage="1" showErrorMessage="1" sqref="F35:F37" xr:uid="{00000000-0002-0000-0100-00000B000000}">
      <formula1>$AA$35:$AA$36</formula1>
    </dataValidation>
    <dataValidation type="list" allowBlank="1" showInputMessage="1" showErrorMessage="1" sqref="C90:E90" xr:uid="{00000000-0002-0000-0100-000008000000}">
      <formula1>$M$111:$M$117</formula1>
    </dataValidation>
    <dataValidation type="list" allowBlank="1" showInputMessage="1" showErrorMessage="1" sqref="B89:E89" xr:uid="{DE0C0026-1182-4B48-8C5B-1A96C5EF665E}">
      <formula1>$M$109:$M$135</formula1>
    </dataValidation>
  </dataValidations>
  <printOptions horizontalCentered="1"/>
  <pageMargins left="0.4" right="0.25" top="0.4" bottom="0.25" header="0.25" footer="0.25"/>
  <pageSetup paperSize="9" scale="73" orientation="portrait" horizontalDpi="4294967294" verticalDpi="4294967293" r:id="rId1"/>
  <headerFooter>
    <oddHeader>&amp;R&amp;"-,Regular"&amp;8KL.ID - 021-18 / REV : 1</oddHeader>
  </headerFooter>
  <rowBreaks count="1" manualBreakCount="1">
    <brk id="71" max="1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132F9C27-3C7E-49A3-A7CF-AAC124D28408}">
          <x14:formula1>
            <xm:f>'DB SUHU'!$A$390:$A$409</xm:f>
          </x14:formula1>
          <xm:sqref>B82:L82</xm:sqref>
        </x14:dataValidation>
        <x14:dataValidation type="list" allowBlank="1" showInputMessage="1" showErrorMessage="1" xr:uid="{D99395BB-D33D-4243-8764-9E8CAFC8BFF8}">
          <x14:formula1>
            <xm:f>'DB ESA'!$A$299:$A$310</xm:f>
          </x14:formula1>
          <xm:sqref>B81:L81</xm:sqref>
        </x14:dataValidation>
        <x14:dataValidation type="list" allowBlank="1" showInputMessage="1" showErrorMessage="1" xr:uid="{E4D870A2-3B23-479E-80A1-A6BE76502673}">
          <x14:formula1>
            <xm:f>PENYELIA!$S$26:$S$27</xm:f>
          </x14:formula1>
          <xm:sqref>P26:Q27</xm:sqref>
        </x14:dataValidation>
        <x14:dataValidation type="list" allowBlank="1" showInputMessage="1" showErrorMessage="1" xr:uid="{00000000-0002-0000-0100-00000C000000}">
          <x14:formula1>
            <xm:f>PENYELIA!$V$25:$V$26</xm:f>
          </x14:formula1>
          <xm:sqref>C27:I27</xm:sqref>
        </x14:dataValidation>
        <x14:dataValidation type="list" allowBlank="1" showInputMessage="1" showErrorMessage="1" xr:uid="{00000000-0002-0000-0100-00000D000000}">
          <x14:formula1>
            <xm:f>PENYELIA!$V$27:$V$28</xm:f>
          </x14:formula1>
          <xm:sqref>C28:I28</xm:sqref>
        </x14:dataValidation>
        <x14:dataValidation type="list" allowBlank="1" showInputMessage="1" showErrorMessage="1" xr:uid="{7D1677FE-0FB3-4823-AD2E-A5FABB1330EF}">
          <x14:formula1>
            <xm:f>'DB EEG'!$H$169:$H$170</xm:f>
          </x14:formula1>
          <xm:sqref>B80:L80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I113"/>
  <sheetViews>
    <sheetView showGridLines="0" view="pageBreakPreview" topLeftCell="A35" zoomScale="93" zoomScaleNormal="93" zoomScaleSheetLayoutView="93" workbookViewId="0">
      <selection activeCell="J41" sqref="J41"/>
    </sheetView>
  </sheetViews>
  <sheetFormatPr defaultColWidth="9.1796875" defaultRowHeight="13" x14ac:dyDescent="0.25"/>
  <cols>
    <col min="1" max="1" width="4.26953125" style="139" customWidth="1"/>
    <col min="2" max="2" width="4.54296875" style="139" customWidth="1"/>
    <col min="3" max="3" width="17.26953125" style="139" customWidth="1"/>
    <col min="4" max="4" width="16.54296875" style="139" customWidth="1"/>
    <col min="5" max="6" width="14" style="139" customWidth="1"/>
    <col min="7" max="8" width="10.1796875" style="139" customWidth="1"/>
    <col min="9" max="9" width="10.7265625" style="139" customWidth="1"/>
    <col min="10" max="10" width="16.81640625" style="139" customWidth="1"/>
    <col min="11" max="11" width="9.54296875" style="139" customWidth="1"/>
    <col min="12" max="12" width="7.81640625" style="139" customWidth="1"/>
    <col min="13" max="13" width="9.1796875" style="139" customWidth="1"/>
    <col min="14" max="14" width="13.26953125" style="83" customWidth="1"/>
    <col min="15" max="15" width="7.54296875" style="83" customWidth="1"/>
    <col min="16" max="16" width="11.26953125" style="83" customWidth="1"/>
    <col min="17" max="17" width="10.81640625" style="84" customWidth="1"/>
    <col min="18" max="18" width="11.81640625" style="84" customWidth="1"/>
    <col min="19" max="19" width="9.1796875" style="84"/>
    <col min="20" max="20" width="13" style="84" customWidth="1"/>
    <col min="21" max="21" width="9.1796875" style="84" customWidth="1"/>
    <col min="22" max="16384" width="9.1796875" style="84"/>
  </cols>
  <sheetData>
    <row r="1" spans="1:17" ht="18.5" x14ac:dyDescent="0.25">
      <c r="A1" s="954" t="s">
        <v>273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87"/>
      <c r="O1" s="88"/>
      <c r="P1" s="88"/>
    </row>
    <row r="2" spans="1:17" ht="17" x14ac:dyDescent="0.25">
      <c r="A2" s="955" t="str">
        <f>ID!H2&amp;N2&amp;ID!I2</f>
        <v>Nomor Sertifikat : 20 / 1 / VIII - 22 / E - 008.27 DL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89" t="s">
        <v>78</v>
      </c>
      <c r="O2" s="90"/>
      <c r="P2" s="90"/>
    </row>
    <row r="3" spans="1:17" ht="1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79"/>
      <c r="O3" s="79"/>
      <c r="P3" s="79"/>
      <c r="Q3" s="91"/>
    </row>
    <row r="4" spans="1:17" ht="15" customHeight="1" x14ac:dyDescent="0.25">
      <c r="A4" s="124" t="s">
        <v>25</v>
      </c>
      <c r="B4" s="124"/>
      <c r="C4" s="198"/>
      <c r="D4" s="124" t="str">
        <f>P15&amp;P14&amp;ID!E4</f>
        <v>NIHON KOHDEN</v>
      </c>
      <c r="F4" s="124"/>
      <c r="G4" s="124"/>
      <c r="H4" s="124"/>
      <c r="I4" s="124"/>
      <c r="J4" s="124"/>
      <c r="K4" s="124"/>
      <c r="L4" s="124"/>
      <c r="M4" s="124"/>
      <c r="N4" s="79"/>
      <c r="O4" s="79"/>
      <c r="P4" s="79"/>
      <c r="Q4" s="91"/>
    </row>
    <row r="5" spans="1:17" ht="14.5" x14ac:dyDescent="0.25">
      <c r="A5" s="124" t="s">
        <v>28</v>
      </c>
      <c r="B5" s="124"/>
      <c r="C5" s="198"/>
      <c r="D5" s="124" t="str">
        <f>P15&amp;P14&amp;ID!E5</f>
        <v>NEUROFAX</v>
      </c>
      <c r="F5" s="124"/>
      <c r="G5" s="124"/>
      <c r="H5" s="124"/>
      <c r="I5" s="124"/>
      <c r="J5" s="124"/>
      <c r="K5" s="124"/>
      <c r="L5" s="124"/>
      <c r="M5" s="124"/>
      <c r="N5" s="79"/>
      <c r="O5" s="79"/>
      <c r="P5" s="79"/>
      <c r="Q5" s="91"/>
    </row>
    <row r="6" spans="1:17" ht="14.25" customHeight="1" x14ac:dyDescent="0.25">
      <c r="A6" s="124" t="s">
        <v>29</v>
      </c>
      <c r="B6" s="124"/>
      <c r="C6" s="198"/>
      <c r="D6" s="124" t="str">
        <f>P15&amp;P14&amp;ID!E6</f>
        <v>20827</v>
      </c>
      <c r="F6" s="124"/>
      <c r="G6" s="124"/>
      <c r="H6" s="124"/>
      <c r="I6" s="124"/>
      <c r="J6" s="124"/>
      <c r="K6" s="124"/>
      <c r="L6" s="124"/>
      <c r="M6" s="124"/>
      <c r="N6" s="79"/>
      <c r="O6" s="79"/>
      <c r="P6" s="79"/>
      <c r="Q6" s="91"/>
    </row>
    <row r="7" spans="1:17" ht="14.5" x14ac:dyDescent="0.25">
      <c r="A7" s="124" t="s">
        <v>30</v>
      </c>
      <c r="B7" s="124"/>
      <c r="C7" s="198"/>
      <c r="D7" s="124" t="str">
        <f>ID!E7&amp;" "&amp;ID!F7&amp;" "&amp;ID!G7&amp;" "&amp;ID!H7</f>
        <v>0.01 Hz 0.01 µv</v>
      </c>
      <c r="F7" s="124"/>
      <c r="G7" s="124"/>
      <c r="H7" s="124"/>
      <c r="I7" s="124"/>
      <c r="J7" s="124"/>
      <c r="K7" s="124"/>
      <c r="L7" s="124"/>
      <c r="M7" s="124"/>
      <c r="N7" s="79"/>
      <c r="O7" s="79"/>
      <c r="P7" s="79"/>
      <c r="Q7" s="91"/>
    </row>
    <row r="8" spans="1:17" ht="14.5" x14ac:dyDescent="0.25">
      <c r="A8" s="124" t="str">
        <f>ID!A8</f>
        <v>Tanggal Penerimaan Alat</v>
      </c>
      <c r="B8" s="124"/>
      <c r="C8" s="198"/>
      <c r="D8" s="124" t="str">
        <f>$P$15&amp;$P$14&amp;ID!E8</f>
        <v>2 Agustus 2022</v>
      </c>
      <c r="F8" s="124"/>
      <c r="G8" s="124"/>
      <c r="H8" s="124"/>
      <c r="I8" s="124"/>
      <c r="J8" s="124"/>
      <c r="K8" s="124"/>
      <c r="L8" s="124"/>
      <c r="M8" s="124"/>
      <c r="N8" s="79"/>
      <c r="O8" s="79"/>
      <c r="P8" s="79"/>
      <c r="Q8" s="91"/>
    </row>
    <row r="9" spans="1:17" ht="14.5" x14ac:dyDescent="0.25">
      <c r="A9" s="124" t="str">
        <f>ID!A9</f>
        <v>Tanggal Kalibrasi</v>
      </c>
      <c r="B9" s="124"/>
      <c r="C9" s="198"/>
      <c r="D9" s="124" t="str">
        <f>$P$15&amp;$P$14&amp;ID!E9</f>
        <v>2 Agustus 2022</v>
      </c>
      <c r="F9" s="124"/>
      <c r="G9" s="124"/>
      <c r="H9" s="124"/>
      <c r="I9" s="124"/>
      <c r="J9" s="124"/>
      <c r="K9" s="124"/>
      <c r="L9" s="124"/>
      <c r="M9" s="124"/>
      <c r="N9" s="79"/>
      <c r="O9" s="79"/>
      <c r="P9" s="79"/>
      <c r="Q9" s="91"/>
    </row>
    <row r="10" spans="1:17" ht="14.5" x14ac:dyDescent="0.25">
      <c r="A10" s="124" t="str">
        <f>ID!A10</f>
        <v>Tempat Kalibrasi</v>
      </c>
      <c r="B10" s="124"/>
      <c r="C10" s="198"/>
      <c r="D10" s="124" t="str">
        <f>P15&amp;P14&amp;ID!E10</f>
        <v>Ruang EEG</v>
      </c>
      <c r="F10" s="124"/>
      <c r="G10" s="124"/>
      <c r="H10" s="124"/>
      <c r="I10" s="124"/>
      <c r="J10" s="124"/>
      <c r="K10" s="124"/>
      <c r="L10" s="124"/>
      <c r="M10" s="124"/>
      <c r="N10" s="79"/>
      <c r="O10" s="79"/>
      <c r="P10" s="79"/>
      <c r="Q10" s="91"/>
    </row>
    <row r="11" spans="1:17" ht="14.5" x14ac:dyDescent="0.25">
      <c r="A11" s="124" t="s">
        <v>33</v>
      </c>
      <c r="B11" s="124"/>
      <c r="C11" s="198"/>
      <c r="D11" s="124" t="str">
        <f>P15&amp;P14&amp;ID!E11</f>
        <v>Ruang EEG</v>
      </c>
      <c r="F11" s="124"/>
      <c r="G11" s="124"/>
      <c r="H11" s="124"/>
      <c r="I11" s="124"/>
      <c r="J11" s="124"/>
      <c r="K11" s="124"/>
      <c r="L11" s="124"/>
      <c r="M11" s="124"/>
      <c r="N11" s="79"/>
      <c r="O11" s="79"/>
      <c r="P11" s="79"/>
      <c r="Q11" s="91"/>
    </row>
    <row r="12" spans="1:17" ht="14.5" x14ac:dyDescent="0.25">
      <c r="A12" s="124" t="s">
        <v>148</v>
      </c>
      <c r="B12" s="124"/>
      <c r="C12" s="198"/>
      <c r="D12" s="124" t="str">
        <f>P15&amp;P14&amp;ID!E12</f>
        <v>MK 021-18</v>
      </c>
      <c r="F12" s="124"/>
      <c r="G12" s="124"/>
      <c r="H12" s="124"/>
      <c r="I12" s="124"/>
      <c r="J12" s="124"/>
      <c r="K12" s="124"/>
      <c r="L12" s="124"/>
      <c r="M12" s="124"/>
      <c r="N12" s="79"/>
      <c r="O12" s="79"/>
      <c r="P12" s="79"/>
      <c r="Q12" s="91"/>
    </row>
    <row r="13" spans="1:17" ht="15" customHeight="1" x14ac:dyDescent="0.25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79"/>
      <c r="O13" s="79"/>
      <c r="P13" s="79"/>
    </row>
    <row r="14" spans="1:17" ht="14.5" x14ac:dyDescent="0.25">
      <c r="A14" s="125" t="s">
        <v>34</v>
      </c>
      <c r="B14" s="125" t="s">
        <v>35</v>
      </c>
      <c r="C14" s="125"/>
      <c r="D14" s="125"/>
      <c r="E14" s="125"/>
      <c r="F14" s="125"/>
      <c r="G14" s="125"/>
      <c r="H14" s="124"/>
      <c r="I14" s="124"/>
      <c r="J14" s="124"/>
      <c r="K14" s="124"/>
      <c r="L14" s="124"/>
      <c r="M14" s="124"/>
      <c r="N14" s="79"/>
      <c r="O14" s="79"/>
      <c r="P14" s="438"/>
    </row>
    <row r="15" spans="1:17" ht="15" customHeight="1" x14ac:dyDescent="0.25">
      <c r="A15" s="124"/>
      <c r="B15" s="124" t="s">
        <v>38</v>
      </c>
      <c r="C15" s="198"/>
      <c r="D15" s="199" t="str">
        <f>LH!P11</f>
        <v>( 22.6 ± 0.1 ) °C</v>
      </c>
      <c r="E15" s="200"/>
      <c r="F15" s="124"/>
      <c r="H15" s="201"/>
      <c r="I15" s="124"/>
      <c r="J15" s="124"/>
      <c r="K15" s="124"/>
      <c r="L15" s="124"/>
      <c r="M15" s="124"/>
      <c r="N15" s="79"/>
      <c r="O15" s="79"/>
      <c r="P15" s="81"/>
    </row>
    <row r="16" spans="1:17" ht="14.5" x14ac:dyDescent="0.25">
      <c r="A16" s="124"/>
      <c r="B16" s="124" t="s">
        <v>274</v>
      </c>
      <c r="C16" s="198"/>
      <c r="D16" s="199" t="str">
        <f>LH!P12</f>
        <v>( 51.6 ± 1.5 ) %RH</v>
      </c>
      <c r="E16" s="200"/>
      <c r="F16" s="124"/>
      <c r="H16" s="201"/>
      <c r="I16" s="124"/>
      <c r="J16" s="124"/>
      <c r="K16" s="124"/>
      <c r="L16" s="124"/>
      <c r="M16" s="124"/>
      <c r="N16" s="79"/>
      <c r="O16" s="79"/>
      <c r="P16" s="81" t="s">
        <v>43</v>
      </c>
    </row>
    <row r="17" spans="1:35" ht="14.5" x14ac:dyDescent="0.25">
      <c r="A17" s="124"/>
      <c r="B17" s="136" t="s">
        <v>42</v>
      </c>
      <c r="C17" s="124"/>
      <c r="D17" s="134" t="str">
        <f>LH!P13</f>
        <v>( 219.8 ± 2.6 ) Volt</v>
      </c>
      <c r="E17" s="202"/>
      <c r="F17" s="202"/>
      <c r="G17" s="203"/>
      <c r="H17" s="201"/>
      <c r="I17" s="124"/>
      <c r="J17" s="124"/>
      <c r="K17" s="124"/>
      <c r="L17" s="124"/>
      <c r="M17" s="124"/>
      <c r="N17" s="79"/>
      <c r="O17" s="79"/>
    </row>
    <row r="18" spans="1:35" ht="9" customHeight="1" x14ac:dyDescent="0.25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79"/>
      <c r="O18" s="79"/>
      <c r="P18" s="79"/>
      <c r="Q18" s="81"/>
    </row>
    <row r="19" spans="1:35" ht="28" x14ac:dyDescent="0.25">
      <c r="A19" s="125" t="s">
        <v>44</v>
      </c>
      <c r="B19" s="125" t="str">
        <f>ID!B19</f>
        <v>Pemeriksaan Kondisi Fisik dan Fungsi Alat</v>
      </c>
      <c r="C19" s="125"/>
      <c r="D19" s="125"/>
      <c r="E19" s="125"/>
      <c r="F19" s="125"/>
      <c r="G19" s="125"/>
      <c r="H19" s="125"/>
      <c r="I19" s="125"/>
      <c r="J19" s="124"/>
      <c r="K19" s="124"/>
      <c r="L19" s="124"/>
      <c r="M19" s="455" t="s">
        <v>275</v>
      </c>
      <c r="N19" s="79"/>
      <c r="O19" s="79"/>
      <c r="P19" s="948" t="str">
        <f>IF(OR(I27="-",I28="-"),S27,ID!P26)</f>
        <v>G</v>
      </c>
      <c r="Q19" s="948"/>
      <c r="R19" s="828" t="s">
        <v>67</v>
      </c>
      <c r="S19" s="828" t="s">
        <v>276</v>
      </c>
      <c r="T19" s="828" t="s">
        <v>81</v>
      </c>
      <c r="V19" s="820" t="str">
        <f>IF(OR(I27="-",P19=S27),V20,IF(OR(S21&gt;T21,C27=V28),"",IF(I27&gt;K27,V21,"")))</f>
        <v>Alat tidak boleh digunakan pada instalasi tanpa dilengkapi grounding</v>
      </c>
      <c r="W19" s="820"/>
      <c r="X19" s="820"/>
      <c r="Y19" s="820"/>
      <c r="Z19" s="820"/>
      <c r="AA19" s="820"/>
      <c r="AB19" s="820"/>
      <c r="AC19" s="820"/>
      <c r="AD19" s="820"/>
    </row>
    <row r="20" spans="1:35" ht="14.5" x14ac:dyDescent="0.3">
      <c r="A20" s="124"/>
      <c r="B20" s="124" t="s">
        <v>47</v>
      </c>
      <c r="C20" s="198"/>
      <c r="D20" s="124" t="str">
        <f>P15&amp;P14&amp;ID!E20</f>
        <v>Baik</v>
      </c>
      <c r="F20" s="124"/>
      <c r="G20" s="124"/>
      <c r="H20" s="124"/>
      <c r="I20" s="124"/>
      <c r="J20" s="124"/>
      <c r="K20" s="124"/>
      <c r="L20" s="124"/>
      <c r="M20" s="448">
        <f>IF(ID!E20="Baik",5,"0")</f>
        <v>5</v>
      </c>
      <c r="N20" s="947">
        <f>SUM(M20:M21)</f>
        <v>10</v>
      </c>
      <c r="O20" s="79"/>
      <c r="P20" s="948"/>
      <c r="Q20" s="948"/>
      <c r="R20" s="828"/>
      <c r="S20" s="828"/>
      <c r="T20" s="828"/>
      <c r="U20" s="124"/>
      <c r="V20" s="946" t="s">
        <v>277</v>
      </c>
      <c r="W20" s="946"/>
      <c r="X20" s="946"/>
      <c r="Y20" s="946"/>
      <c r="Z20" s="946"/>
      <c r="AA20" s="946"/>
      <c r="AB20" s="946"/>
      <c r="AC20" s="946"/>
      <c r="AD20" s="946"/>
      <c r="AE20" s="124"/>
      <c r="AF20" s="124"/>
      <c r="AG20" s="124"/>
      <c r="AH20" s="124"/>
      <c r="AI20" s="124"/>
    </row>
    <row r="21" spans="1:35" ht="15" customHeight="1" x14ac:dyDescent="0.3">
      <c r="A21" s="124"/>
      <c r="B21" s="124" t="s">
        <v>50</v>
      </c>
      <c r="C21" s="198"/>
      <c r="D21" s="124" t="str">
        <f>P15&amp;P14&amp;ID!E21</f>
        <v>Baik</v>
      </c>
      <c r="F21" s="124"/>
      <c r="G21" s="124"/>
      <c r="H21" s="124"/>
      <c r="I21" s="124"/>
      <c r="J21" s="124"/>
      <c r="K21" s="124"/>
      <c r="L21" s="124"/>
      <c r="M21" s="448">
        <f>IF(ID!E21="Baik",5,"0")</f>
        <v>5</v>
      </c>
      <c r="N21" s="947"/>
      <c r="O21" s="79"/>
      <c r="P21" s="129" t="s">
        <v>163</v>
      </c>
      <c r="Q21" s="430" t="s">
        <v>164</v>
      </c>
      <c r="R21" s="221">
        <f>ID!R28</f>
        <v>10</v>
      </c>
      <c r="S21" s="327">
        <f>'DB ESA'!O272</f>
        <v>11.366888701481241</v>
      </c>
      <c r="T21" s="347">
        <v>100</v>
      </c>
      <c r="V21" s="946" t="s">
        <v>278</v>
      </c>
      <c r="W21" s="946"/>
      <c r="X21" s="946"/>
      <c r="Y21" s="946"/>
      <c r="Z21" s="946"/>
      <c r="AA21" s="946"/>
      <c r="AB21" s="946"/>
      <c r="AC21" s="946"/>
      <c r="AD21" s="946"/>
      <c r="AI21" s="124"/>
    </row>
    <row r="22" spans="1:35" ht="15" customHeight="1" x14ac:dyDescent="0.25">
      <c r="A22" s="125"/>
      <c r="B22" s="125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O22" s="79"/>
      <c r="AI22" s="124"/>
    </row>
    <row r="23" spans="1:35" ht="14.5" x14ac:dyDescent="0.25">
      <c r="A23" s="125" t="s">
        <v>51</v>
      </c>
      <c r="B23" s="125" t="str">
        <f>ID!B23</f>
        <v xml:space="preserve">Pengujian Keselamatan Listrik 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79"/>
      <c r="O23" s="79"/>
      <c r="Q23" s="91"/>
      <c r="W23" s="124"/>
      <c r="Y23" s="124"/>
      <c r="AI23" s="124"/>
    </row>
    <row r="24" spans="1:35" ht="34.5" customHeight="1" x14ac:dyDescent="0.25">
      <c r="A24" s="84"/>
      <c r="B24" s="221" t="s">
        <v>0</v>
      </c>
      <c r="C24" s="820" t="s">
        <v>54</v>
      </c>
      <c r="D24" s="820"/>
      <c r="E24" s="820"/>
      <c r="F24" s="820"/>
      <c r="G24" s="820"/>
      <c r="H24" s="820"/>
      <c r="I24" s="820" t="s">
        <v>55</v>
      </c>
      <c r="J24" s="820"/>
      <c r="K24" s="847" t="s">
        <v>279</v>
      </c>
      <c r="L24" s="847"/>
      <c r="M24" s="455" t="s">
        <v>275</v>
      </c>
      <c r="N24" s="79"/>
      <c r="O24" s="79"/>
      <c r="P24" s="79"/>
      <c r="Q24" s="91"/>
      <c r="R24" s="124"/>
      <c r="S24" s="124"/>
      <c r="T24" s="124"/>
      <c r="U24" s="124"/>
      <c r="V24" s="844" t="s">
        <v>280</v>
      </c>
      <c r="W24" s="845"/>
      <c r="X24" s="845"/>
      <c r="Y24" s="845"/>
      <c r="Z24" s="845"/>
      <c r="AA24" s="846"/>
      <c r="AB24" s="365" t="s">
        <v>281</v>
      </c>
      <c r="AC24" s="366"/>
      <c r="AD24" s="366"/>
      <c r="AF24" s="124"/>
      <c r="AG24" s="124"/>
      <c r="AH24" s="124"/>
      <c r="AI24" s="124"/>
    </row>
    <row r="25" spans="1:35" ht="15.75" customHeight="1" x14ac:dyDescent="0.25">
      <c r="A25" s="84"/>
      <c r="B25" s="204">
        <v>1</v>
      </c>
      <c r="C25" s="205" t="str">
        <f>ID!C26</f>
        <v>Resistensi Isolasi</v>
      </c>
      <c r="D25" s="206"/>
      <c r="E25" s="206"/>
      <c r="F25" s="206"/>
      <c r="G25" s="206"/>
      <c r="H25" s="206"/>
      <c r="I25" s="950" t="str">
        <f>'DB ESA'!O269</f>
        <v>OL</v>
      </c>
      <c r="J25" s="951"/>
      <c r="K25" s="961">
        <f>ID!L26</f>
        <v>2</v>
      </c>
      <c r="L25" s="962"/>
      <c r="M25" s="956">
        <f>IF(OR(I27="-",I28="-",N27+N28=20),SUM(N25:N28),0)</f>
        <v>40</v>
      </c>
      <c r="N25" s="348">
        <f>IF(OR(I25="-",I25="OL",I25&gt;K25),10,0)</f>
        <v>10</v>
      </c>
      <c r="P25" s="856" t="s">
        <v>282</v>
      </c>
      <c r="Q25" s="856" t="s">
        <v>81</v>
      </c>
      <c r="S25" s="129" t="s">
        <v>283</v>
      </c>
      <c r="T25" s="124"/>
      <c r="U25" s="124"/>
      <c r="V25" s="450" t="s">
        <v>161</v>
      </c>
      <c r="W25" s="367"/>
      <c r="X25" s="367"/>
      <c r="Y25" s="367"/>
      <c r="Z25" s="367"/>
      <c r="AA25" s="185"/>
      <c r="AB25" s="368">
        <v>0.2</v>
      </c>
      <c r="AC25" s="124" t="s">
        <v>284</v>
      </c>
      <c r="AD25" s="366"/>
    </row>
    <row r="26" spans="1:35" ht="15.75" customHeight="1" x14ac:dyDescent="0.25">
      <c r="A26" s="84"/>
      <c r="B26" s="204">
        <v>2</v>
      </c>
      <c r="C26" s="205" t="str">
        <f>V24</f>
        <v>Resistansi pembumian protektif</v>
      </c>
      <c r="D26" s="206"/>
      <c r="E26" s="206"/>
      <c r="F26" s="206"/>
      <c r="G26" s="206"/>
      <c r="H26" s="206"/>
      <c r="I26" s="952">
        <f>'DB ESA'!O270</f>
        <v>0.10120218680256682</v>
      </c>
      <c r="J26" s="953"/>
      <c r="K26" s="963">
        <f>ID!L27</f>
        <v>0.2</v>
      </c>
      <c r="L26" s="964"/>
      <c r="M26" s="957"/>
      <c r="N26" s="348">
        <f>IF(OR(I26="-",I26="OL",I26&lt;=K26,C27=V28),10,0)</f>
        <v>10</v>
      </c>
      <c r="P26" s="858"/>
      <c r="Q26" s="858"/>
      <c r="S26" s="129" t="s">
        <v>159</v>
      </c>
      <c r="T26" s="124"/>
      <c r="U26" s="124"/>
      <c r="V26" s="451" t="s">
        <v>285</v>
      </c>
      <c r="W26" s="369"/>
      <c r="X26" s="369"/>
      <c r="Y26" s="369"/>
      <c r="Z26" s="369"/>
      <c r="AA26" s="189"/>
      <c r="AB26" s="368">
        <v>0.3</v>
      </c>
      <c r="AC26" s="124" t="s">
        <v>286</v>
      </c>
      <c r="AD26" s="366"/>
    </row>
    <row r="27" spans="1:35" ht="15.75" customHeight="1" x14ac:dyDescent="0.25">
      <c r="A27" s="84"/>
      <c r="B27" s="204">
        <v>3</v>
      </c>
      <c r="C27" s="205" t="str">
        <f>ID!C28</f>
        <v>Arus bocor peralatan untuk peralatan elektromedik kelas I</v>
      </c>
      <c r="D27" s="206"/>
      <c r="E27" s="206"/>
      <c r="F27" s="206"/>
      <c r="G27" s="206"/>
      <c r="H27" s="206"/>
      <c r="I27" s="959">
        <f>'DB ESA'!O271</f>
        <v>594.65008986917508</v>
      </c>
      <c r="J27" s="960"/>
      <c r="K27" s="965">
        <f>ID!L28</f>
        <v>500</v>
      </c>
      <c r="L27" s="966"/>
      <c r="M27" s="957"/>
      <c r="N27" s="348">
        <f>IF(P27&lt;=Q27,10,0)</f>
        <v>10</v>
      </c>
      <c r="P27" s="327">
        <f>IF(OR(R21="",C27=V28,P19=S27),I27,IF(I27&gt;K27,S21,I27))</f>
        <v>11.366888701481241</v>
      </c>
      <c r="Q27" s="129">
        <f>IF(OR(R21="",C27=V28,P19=S27),K27,IF(I27&gt;K27,T21,K27))</f>
        <v>100</v>
      </c>
      <c r="S27" s="129" t="s">
        <v>287</v>
      </c>
      <c r="T27" s="124"/>
      <c r="U27" s="124"/>
      <c r="V27" s="370" t="s">
        <v>160</v>
      </c>
      <c r="W27" s="371"/>
      <c r="X27" s="371"/>
      <c r="Y27" s="371"/>
      <c r="Z27" s="371"/>
      <c r="AA27" s="189"/>
      <c r="AB27" s="368">
        <v>500</v>
      </c>
      <c r="AC27" s="366"/>
      <c r="AD27" s="366"/>
    </row>
    <row r="28" spans="1:35" ht="15.75" customHeight="1" x14ac:dyDescent="0.25">
      <c r="A28" s="84"/>
      <c r="B28" s="204">
        <v>4</v>
      </c>
      <c r="C28" s="205" t="str">
        <f>ID!C29</f>
        <v>Arus bocor peralatan yang diaplikasikan</v>
      </c>
      <c r="D28" s="206"/>
      <c r="E28" s="206"/>
      <c r="F28" s="206"/>
      <c r="G28" s="206"/>
      <c r="H28" s="206"/>
      <c r="I28" s="959">
        <f>'DB ESA'!O273</f>
        <v>41.02535655746567</v>
      </c>
      <c r="J28" s="960"/>
      <c r="K28" s="965">
        <f>ID!L29</f>
        <v>50</v>
      </c>
      <c r="L28" s="966"/>
      <c r="M28" s="958"/>
      <c r="N28" s="348">
        <f>IF(I28&lt;=K28,10,0)</f>
        <v>10</v>
      </c>
      <c r="R28" s="124"/>
      <c r="S28" s="124"/>
      <c r="T28" s="124"/>
      <c r="U28" s="124"/>
      <c r="V28" s="370" t="s">
        <v>162</v>
      </c>
      <c r="W28" s="371"/>
      <c r="X28" s="371"/>
      <c r="Y28" s="371"/>
      <c r="Z28" s="371"/>
      <c r="AA28" s="189"/>
      <c r="AB28" s="368">
        <v>100</v>
      </c>
      <c r="AC28" s="366"/>
      <c r="AD28" s="366"/>
    </row>
    <row r="29" spans="1:35" ht="15" customHeight="1" x14ac:dyDescent="0.2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34"/>
      <c r="L29" s="124"/>
      <c r="M29" s="124"/>
      <c r="N29" s="79"/>
      <c r="O29" s="79"/>
      <c r="R29" s="124"/>
      <c r="S29" s="124"/>
      <c r="T29" s="124"/>
      <c r="U29" s="124"/>
    </row>
    <row r="30" spans="1:35" ht="14.5" x14ac:dyDescent="0.25">
      <c r="A30" s="125" t="s">
        <v>75</v>
      </c>
      <c r="B30" s="125" t="str">
        <f>ID!B31</f>
        <v>Pengujian Kinerja</v>
      </c>
      <c r="O30" s="79"/>
    </row>
    <row r="31" spans="1:35" ht="14.5" x14ac:dyDescent="0.25">
      <c r="A31" s="125"/>
      <c r="B31" s="125" t="str">
        <f>ID!B32</f>
        <v>a. Kualitas Elektroda</v>
      </c>
      <c r="C31" s="84"/>
      <c r="D31" s="124"/>
      <c r="E31" s="124"/>
      <c r="F31" s="124"/>
      <c r="G31" s="124"/>
      <c r="H31" s="124"/>
      <c r="I31" s="124"/>
      <c r="J31" s="124"/>
      <c r="K31" s="124" t="s">
        <v>78</v>
      </c>
      <c r="L31" s="124"/>
      <c r="M31" s="124"/>
      <c r="N31" s="79"/>
      <c r="O31" s="79"/>
      <c r="P31" s="79"/>
      <c r="Q31" s="91"/>
    </row>
    <row r="32" spans="1:35" ht="15" customHeight="1" x14ac:dyDescent="0.25">
      <c r="A32" s="125"/>
      <c r="B32" s="820" t="s">
        <v>53</v>
      </c>
      <c r="C32" s="820" t="s">
        <v>54</v>
      </c>
      <c r="D32" s="814" t="str">
        <f>ID!D33</f>
        <v>Setting Alat</v>
      </c>
      <c r="E32" s="949" t="s">
        <v>165</v>
      </c>
      <c r="F32" s="349"/>
      <c r="G32" s="84"/>
      <c r="H32" s="125"/>
      <c r="I32" s="125"/>
      <c r="J32" s="125"/>
      <c r="K32" s="124"/>
      <c r="L32" s="124"/>
      <c r="M32" s="124"/>
      <c r="N32" s="79"/>
      <c r="O32" s="79"/>
      <c r="P32" s="79"/>
    </row>
    <row r="33" spans="1:21" ht="14.5" x14ac:dyDescent="0.25">
      <c r="A33" s="125"/>
      <c r="B33" s="820"/>
      <c r="C33" s="820"/>
      <c r="D33" s="815"/>
      <c r="E33" s="949"/>
      <c r="F33" s="349"/>
      <c r="G33" s="84"/>
      <c r="H33" s="125"/>
      <c r="I33" s="125"/>
      <c r="J33" s="125"/>
      <c r="K33" s="124"/>
      <c r="L33" s="124"/>
      <c r="M33" s="124"/>
      <c r="N33" s="79"/>
      <c r="O33" s="79"/>
      <c r="P33" s="350"/>
    </row>
    <row r="34" spans="1:21" ht="14.5" x14ac:dyDescent="0.25">
      <c r="A34" s="125"/>
      <c r="B34" s="129">
        <v>1</v>
      </c>
      <c r="C34" s="430" t="str">
        <f>ID!C35</f>
        <v>Impedansi</v>
      </c>
      <c r="D34" s="456" t="str">
        <f>ID!D35</f>
        <v>Threshold</v>
      </c>
      <c r="E34" s="325" t="str">
        <f>ID!F35</f>
        <v>Baik</v>
      </c>
      <c r="F34" s="351"/>
      <c r="G34" s="84"/>
      <c r="H34" s="352"/>
      <c r="I34" s="352"/>
      <c r="J34" s="352"/>
      <c r="K34" s="124"/>
      <c r="L34" s="124"/>
      <c r="M34" s="124"/>
      <c r="N34" s="353"/>
      <c r="O34" s="79"/>
      <c r="P34" s="350"/>
    </row>
    <row r="35" spans="1:21" ht="14" x14ac:dyDescent="0.25">
      <c r="A35" s="125"/>
      <c r="B35" s="129">
        <v>2</v>
      </c>
      <c r="C35" s="430" t="str">
        <f>ID!C36</f>
        <v>Noise</v>
      </c>
      <c r="D35" s="481">
        <f>ID!D36</f>
        <v>5</v>
      </c>
      <c r="E35" s="325" t="str">
        <f>ID!F36</f>
        <v>Baik</v>
      </c>
      <c r="F35" s="351"/>
      <c r="G35" s="84"/>
      <c r="H35" s="352"/>
      <c r="I35" s="352"/>
      <c r="J35" s="352"/>
      <c r="K35" s="124"/>
      <c r="L35" s="124"/>
      <c r="M35" s="124"/>
      <c r="N35" s="354"/>
      <c r="P35" s="350"/>
      <c r="Q35" s="355"/>
    </row>
    <row r="36" spans="1:21" ht="14.25" customHeight="1" x14ac:dyDescent="0.25">
      <c r="A36" s="126"/>
      <c r="B36" s="129">
        <f>ID!B37</f>
        <v>3</v>
      </c>
      <c r="C36" s="430" t="str">
        <f>ID!C37</f>
        <v>Amplitudo</v>
      </c>
      <c r="D36" s="430" t="str">
        <f>ID!D37</f>
        <v>50 µv</v>
      </c>
      <c r="E36" s="325" t="str">
        <f>ID!F37</f>
        <v>Baik</v>
      </c>
      <c r="F36" s="124"/>
      <c r="G36" s="124"/>
      <c r="H36" s="124"/>
      <c r="I36" s="124"/>
      <c r="J36" s="124"/>
      <c r="K36" s="124"/>
      <c r="L36" s="124"/>
      <c r="M36" s="124"/>
      <c r="N36" s="79"/>
      <c r="P36" s="350"/>
      <c r="Q36" s="74"/>
    </row>
    <row r="37" spans="1:21" ht="14.25" customHeight="1" x14ac:dyDescent="0.25">
      <c r="A37" s="126"/>
      <c r="B37" s="126"/>
      <c r="C37" s="127"/>
      <c r="D37" s="352"/>
      <c r="E37" s="124"/>
      <c r="F37" s="124"/>
      <c r="G37" s="124"/>
      <c r="H37" s="124"/>
      <c r="I37" s="124"/>
      <c r="J37" s="124"/>
      <c r="K37" s="124"/>
      <c r="L37" s="124"/>
      <c r="M37" s="124"/>
      <c r="N37" s="79"/>
      <c r="P37" s="350"/>
      <c r="Q37" s="74"/>
    </row>
    <row r="38" spans="1:21" ht="16.5" customHeight="1" x14ac:dyDescent="0.25">
      <c r="A38" s="125"/>
      <c r="B38" s="125" t="str">
        <f>ID!B39</f>
        <v>b. Kalibrasi Frekuensi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79"/>
      <c r="P38" s="350"/>
      <c r="Q38" s="74"/>
    </row>
    <row r="39" spans="1:21" ht="23.25" customHeight="1" x14ac:dyDescent="0.25">
      <c r="A39" s="125"/>
      <c r="B39" s="820" t="s">
        <v>53</v>
      </c>
      <c r="C39" s="820" t="s">
        <v>54</v>
      </c>
      <c r="D39" s="847" t="s">
        <v>288</v>
      </c>
      <c r="E39" s="847" t="str">
        <f>ID!F40</f>
        <v xml:space="preserve">Setting Montage Alat </v>
      </c>
      <c r="F39" s="847" t="str">
        <f>ID!H40</f>
        <v>Hasil Pengukuran (Hz)</v>
      </c>
      <c r="G39" s="847" t="s">
        <v>289</v>
      </c>
      <c r="H39" s="847" t="s">
        <v>290</v>
      </c>
      <c r="I39" s="847" t="s">
        <v>291</v>
      </c>
      <c r="J39" s="847" t="s">
        <v>292</v>
      </c>
      <c r="K39" s="935" t="s">
        <v>293</v>
      </c>
      <c r="L39" s="935"/>
      <c r="M39" s="847" t="s">
        <v>275</v>
      </c>
      <c r="N39" s="79"/>
      <c r="P39" s="350"/>
      <c r="Q39" s="74"/>
      <c r="T39" s="356"/>
      <c r="U39" s="357"/>
    </row>
    <row r="40" spans="1:21" ht="23.25" customHeight="1" x14ac:dyDescent="0.25">
      <c r="A40" s="125"/>
      <c r="B40" s="820"/>
      <c r="C40" s="820"/>
      <c r="D40" s="847"/>
      <c r="E40" s="847"/>
      <c r="F40" s="847"/>
      <c r="G40" s="847"/>
      <c r="H40" s="847"/>
      <c r="I40" s="847"/>
      <c r="J40" s="847"/>
      <c r="K40" s="935"/>
      <c r="L40" s="935"/>
      <c r="M40" s="847"/>
      <c r="N40" s="79"/>
      <c r="P40" s="259" t="s">
        <v>245</v>
      </c>
      <c r="S40" s="358"/>
      <c r="T40" s="356"/>
      <c r="U40" s="357"/>
    </row>
    <row r="41" spans="1:21" ht="15" customHeight="1" x14ac:dyDescent="0.25">
      <c r="A41" s="359"/>
      <c r="B41" s="854">
        <v>1</v>
      </c>
      <c r="C41" s="937" t="s">
        <v>100</v>
      </c>
      <c r="D41" s="787" t="str">
        <f>LK!D46</f>
        <v>100 µv, 0.1 Hz</v>
      </c>
      <c r="E41" s="938" t="str">
        <f>ID!F42</f>
        <v>Fp2 - Fp1</v>
      </c>
      <c r="F41" s="327">
        <f>IFERROR(ID!N42,"-")</f>
        <v>0.11001100000000001</v>
      </c>
      <c r="G41" s="327">
        <f>IFERROR(P41-F41,"-")</f>
        <v>-1.0011000000000006E-2</v>
      </c>
      <c r="H41" s="360">
        <f>IF(F41="-","-",(ABS(G41)/F41)*100)</f>
        <v>9.0999990909999955</v>
      </c>
      <c r="I41" s="932">
        <v>10</v>
      </c>
      <c r="J41" s="328">
        <f>IF(F41="-","-",'UB Hz'!K19)</f>
        <v>5.7984681882584619</v>
      </c>
      <c r="K41" s="936">
        <f>IFERROR(ABS(H41+J41),"-")</f>
        <v>14.898467279258458</v>
      </c>
      <c r="L41" s="936"/>
      <c r="M41" s="934">
        <f>IF(SUM(N41:N45)&gt;=17.5,25,0)</f>
        <v>25</v>
      </c>
      <c r="N41" s="447">
        <f>IF(OR(F41="-",K41&lt;$I$41),5,0)</f>
        <v>0</v>
      </c>
      <c r="P41" s="259">
        <v>0.1</v>
      </c>
      <c r="Q41" s="74"/>
      <c r="S41" s="356"/>
      <c r="T41" s="357"/>
    </row>
    <row r="42" spans="1:21" ht="15" customHeight="1" x14ac:dyDescent="0.25">
      <c r="A42" s="125"/>
      <c r="B42" s="854"/>
      <c r="C42" s="937"/>
      <c r="D42" s="787" t="str">
        <f>LK!D47</f>
        <v>100 µv, 2 Hz</v>
      </c>
      <c r="E42" s="938"/>
      <c r="F42" s="327">
        <f>IFERROR(ID!N43,"-")</f>
        <v>1.9901989999999998</v>
      </c>
      <c r="G42" s="327">
        <f t="shared" ref="G42:G45" si="0">IFERROR(P42-F42,"-")</f>
        <v>9.8010000000001707E-3</v>
      </c>
      <c r="H42" s="360">
        <f>IF(F42="-","-",(ABS(G42)/F42)*100)</f>
        <v>0.49246331648243075</v>
      </c>
      <c r="I42" s="932"/>
      <c r="J42" s="801">
        <f>IF(F42="-","-",'UB Hz'!K33)</f>
        <v>0.1449874802716036</v>
      </c>
      <c r="K42" s="936">
        <f t="shared" ref="K42:K45" si="1">IFERROR(ABS(H42+J42),"-")</f>
        <v>0.63745079675403438</v>
      </c>
      <c r="L42" s="936"/>
      <c r="M42" s="934"/>
      <c r="N42" s="447">
        <f>IF(OR(F42="-",K42&lt;$I$41),5,0)</f>
        <v>5</v>
      </c>
      <c r="P42" s="259">
        <v>2</v>
      </c>
      <c r="Q42" s="74"/>
      <c r="S42" s="356"/>
      <c r="T42" s="357"/>
    </row>
    <row r="43" spans="1:21" ht="15" customHeight="1" x14ac:dyDescent="0.25">
      <c r="A43" s="125"/>
      <c r="B43" s="854"/>
      <c r="C43" s="937"/>
      <c r="D43" s="787" t="str">
        <f>LK!D48</f>
        <v>100 µv, 5 Hz</v>
      </c>
      <c r="E43" s="938"/>
      <c r="F43" s="327">
        <f>IFERROR(ID!N44,"-")</f>
        <v>5.0205019999999996</v>
      </c>
      <c r="G43" s="327">
        <f t="shared" si="0"/>
        <v>-2.0501999999999576E-2</v>
      </c>
      <c r="H43" s="360">
        <f t="shared" ref="H43:H45" si="2">IF(F43="-","-",(ABS(G43)/F43)*100)</f>
        <v>0.40836553794818881</v>
      </c>
      <c r="I43" s="932"/>
      <c r="J43" s="801">
        <f>IF(F43="-","-",'UB Hz'!K47)</f>
        <v>0.1451261156827508</v>
      </c>
      <c r="K43" s="936">
        <f t="shared" si="1"/>
        <v>0.55349165363093955</v>
      </c>
      <c r="L43" s="936"/>
      <c r="M43" s="934"/>
      <c r="N43" s="447">
        <f>IF(OR(F43="-",K43&lt;$I$41),5,0)</f>
        <v>5</v>
      </c>
      <c r="P43" s="259">
        <v>5</v>
      </c>
      <c r="Q43" s="74"/>
      <c r="S43" s="356"/>
      <c r="T43" s="357"/>
    </row>
    <row r="44" spans="1:21" ht="15" customHeight="1" x14ac:dyDescent="0.25">
      <c r="A44" s="158"/>
      <c r="B44" s="854"/>
      <c r="C44" s="937"/>
      <c r="D44" s="787" t="str">
        <f>LK!D49</f>
        <v>100 µv, 50 Hz</v>
      </c>
      <c r="E44" s="938"/>
      <c r="F44" s="327">
        <f>IFERROR(ID!N45,"-")</f>
        <v>51.205120000000001</v>
      </c>
      <c r="G44" s="327">
        <f t="shared" si="0"/>
        <v>-1.2051200000000009</v>
      </c>
      <c r="H44" s="360">
        <f t="shared" si="2"/>
        <v>2.3535146485351479</v>
      </c>
      <c r="I44" s="932"/>
      <c r="J44" s="801">
        <f>IF(F44="-","-",'UB Hz'!X20)</f>
        <v>1.2923056434590642E-2</v>
      </c>
      <c r="K44" s="936">
        <f t="shared" si="1"/>
        <v>2.3664377049697385</v>
      </c>
      <c r="L44" s="936"/>
      <c r="M44" s="934"/>
      <c r="N44" s="447">
        <f>IF(OR(F44="-",K44&lt;$I$41),5,0)</f>
        <v>5</v>
      </c>
      <c r="P44" s="259">
        <v>50</v>
      </c>
      <c r="Q44" s="74"/>
      <c r="S44" s="356"/>
      <c r="T44" s="357"/>
    </row>
    <row r="45" spans="1:21" ht="15" customHeight="1" x14ac:dyDescent="0.25">
      <c r="A45" s="125"/>
      <c r="B45" s="854"/>
      <c r="C45" s="937"/>
      <c r="D45" s="787" t="str">
        <f>LK!D50</f>
        <v>100 µv, 60 Hz</v>
      </c>
      <c r="E45" s="938"/>
      <c r="F45" s="327">
        <f>IFERROR(ID!N46,"-")</f>
        <v>56.895688999999997</v>
      </c>
      <c r="G45" s="327">
        <f t="shared" si="0"/>
        <v>3.1043110000000027</v>
      </c>
      <c r="H45" s="360">
        <f t="shared" si="2"/>
        <v>5.4561444892599908</v>
      </c>
      <c r="I45" s="932"/>
      <c r="J45" s="801">
        <f>IF(F45="-","-",'UB Hz'!X35)</f>
        <v>1.1017535149978733E-2</v>
      </c>
      <c r="K45" s="936">
        <f t="shared" si="1"/>
        <v>5.4671620244099692</v>
      </c>
      <c r="L45" s="936"/>
      <c r="M45" s="934"/>
      <c r="N45" s="447">
        <f>IF(OR(F45="-",K45&lt;$I$41),5,0)</f>
        <v>5</v>
      </c>
      <c r="P45" s="259">
        <v>60</v>
      </c>
      <c r="Q45" s="74"/>
      <c r="R45" s="358"/>
      <c r="S45" s="356"/>
      <c r="T45" s="357"/>
    </row>
    <row r="46" spans="1:21" ht="15" customHeight="1" x14ac:dyDescent="0.3">
      <c r="A46" s="125"/>
      <c r="B46" s="125"/>
      <c r="C46" s="329"/>
      <c r="D46" s="329"/>
      <c r="E46" s="330"/>
      <c r="F46" s="329"/>
      <c r="G46" s="125"/>
      <c r="H46" s="329"/>
      <c r="I46" s="331"/>
      <c r="J46" s="332"/>
      <c r="K46" s="329"/>
      <c r="L46" s="329"/>
      <c r="M46" s="329"/>
      <c r="Q46" s="74"/>
      <c r="R46" s="74"/>
      <c r="S46" s="358"/>
      <c r="U46" s="357"/>
    </row>
    <row r="47" spans="1:21" ht="14.25" customHeight="1" x14ac:dyDescent="0.3">
      <c r="A47" s="125"/>
      <c r="B47" s="125" t="str">
        <f>ID!B48</f>
        <v>c. Kalibrasi Amplitudo</v>
      </c>
      <c r="C47" s="329"/>
      <c r="D47" s="329"/>
      <c r="E47" s="330"/>
      <c r="F47" s="329"/>
      <c r="G47" s="125"/>
      <c r="H47" s="329"/>
      <c r="I47" s="329"/>
      <c r="J47" s="332"/>
      <c r="K47" s="329"/>
      <c r="L47" s="329"/>
      <c r="M47" s="329"/>
      <c r="Q47" s="74"/>
      <c r="R47" s="74"/>
      <c r="S47" s="358"/>
      <c r="U47" s="357"/>
    </row>
    <row r="48" spans="1:21" ht="19.5" customHeight="1" x14ac:dyDescent="0.25">
      <c r="A48" s="361"/>
      <c r="B48" s="820" t="s">
        <v>53</v>
      </c>
      <c r="C48" s="820" t="s">
        <v>54</v>
      </c>
      <c r="D48" s="847" t="s">
        <v>288</v>
      </c>
      <c r="E48" s="847" t="str">
        <f>ID!F49</f>
        <v>Setting Montage Alat</v>
      </c>
      <c r="F48" s="847" t="str">
        <f>ID!H49</f>
        <v>Hasil Pengukuran (µV)</v>
      </c>
      <c r="G48" s="847" t="s">
        <v>294</v>
      </c>
      <c r="H48" s="847" t="s">
        <v>290</v>
      </c>
      <c r="I48" s="847" t="s">
        <v>291</v>
      </c>
      <c r="J48" s="847" t="s">
        <v>292</v>
      </c>
      <c r="K48" s="935" t="s">
        <v>293</v>
      </c>
      <c r="L48" s="935"/>
      <c r="M48" s="847" t="s">
        <v>275</v>
      </c>
      <c r="Q48" s="74"/>
      <c r="R48" s="74"/>
      <c r="S48" s="358"/>
      <c r="U48" s="357"/>
    </row>
    <row r="49" spans="1:19" ht="27" customHeight="1" x14ac:dyDescent="0.25">
      <c r="A49" s="361"/>
      <c r="B49" s="820"/>
      <c r="C49" s="820"/>
      <c r="D49" s="847"/>
      <c r="E49" s="847"/>
      <c r="F49" s="847"/>
      <c r="G49" s="847"/>
      <c r="H49" s="847"/>
      <c r="I49" s="847"/>
      <c r="J49" s="847"/>
      <c r="K49" s="935"/>
      <c r="L49" s="935"/>
      <c r="M49" s="847"/>
      <c r="P49" s="259" t="s">
        <v>169</v>
      </c>
      <c r="S49" s="356"/>
    </row>
    <row r="50" spans="1:19" ht="15" customHeight="1" x14ac:dyDescent="0.25">
      <c r="A50" s="125"/>
      <c r="B50" s="820">
        <v>1</v>
      </c>
      <c r="C50" s="828" t="str">
        <f>ID!C51</f>
        <v>Amplitudo (µv)</v>
      </c>
      <c r="D50" s="129" t="s">
        <v>111</v>
      </c>
      <c r="E50" s="828" t="s">
        <v>174</v>
      </c>
      <c r="F50" s="327">
        <f>IFERROR(ID!N51,"-")</f>
        <v>10.10101</v>
      </c>
      <c r="G50" s="327">
        <f>IFERROR(P50-F50,"-")</f>
        <v>-0.10101000000000049</v>
      </c>
      <c r="H50" s="327">
        <f>IF(F50="-","-",ABS(G50/F50)*100)</f>
        <v>0.99999900999999491</v>
      </c>
      <c r="I50" s="932">
        <v>10</v>
      </c>
      <c r="J50" s="328">
        <f>IFERROR('UB Amplitudo'!K16,"-")</f>
        <v>1.0203109904638641</v>
      </c>
      <c r="K50" s="936">
        <f>IFERROR(ABS(H50+J50),"-")</f>
        <v>2.020310000463859</v>
      </c>
      <c r="L50" s="936"/>
      <c r="M50" s="934">
        <f>IF(SUM(N50:N69)&gt;=17.5,25,0)</f>
        <v>25</v>
      </c>
      <c r="N50" s="449">
        <f t="shared" ref="N50:N69" si="3">IF(OR(F50="-",K50&lt;$I$50),1.25,0)</f>
        <v>1.25</v>
      </c>
      <c r="P50" s="259">
        <v>10</v>
      </c>
      <c r="R50" s="356"/>
      <c r="S50" s="357"/>
    </row>
    <row r="51" spans="1:19" ht="15" customHeight="1" x14ac:dyDescent="0.25">
      <c r="A51" s="125"/>
      <c r="B51" s="820"/>
      <c r="C51" s="828"/>
      <c r="D51" s="129" t="s">
        <v>113</v>
      </c>
      <c r="E51" s="828"/>
      <c r="F51" s="327">
        <f>IFERROR(ID!N52,"-")</f>
        <v>30.903089999999999</v>
      </c>
      <c r="G51" s="327">
        <f t="shared" ref="G51:G69" si="4">IFERROR(P51-F51,"-")</f>
        <v>-0.90308999999999884</v>
      </c>
      <c r="H51" s="327">
        <f t="shared" ref="H51:H69" si="5">IF(F51="-","-",ABS(G51/F51)*100)</f>
        <v>2.9223291263106663</v>
      </c>
      <c r="I51" s="932"/>
      <c r="J51" s="328">
        <f>IFERROR('UB Amplitudo'!X16,"-")</f>
        <v>1.0350844321324577</v>
      </c>
      <c r="K51" s="936">
        <f t="shared" ref="K51:K69" si="6">IFERROR(ABS(H51+J51),"-")</f>
        <v>3.957413558443124</v>
      </c>
      <c r="L51" s="936"/>
      <c r="M51" s="934"/>
      <c r="N51" s="449">
        <f t="shared" si="3"/>
        <v>1.25</v>
      </c>
      <c r="P51" s="259">
        <v>30</v>
      </c>
      <c r="R51" s="356"/>
      <c r="S51" s="357"/>
    </row>
    <row r="52" spans="1:19" ht="15" customHeight="1" x14ac:dyDescent="0.25">
      <c r="A52" s="125"/>
      <c r="B52" s="820"/>
      <c r="C52" s="828"/>
      <c r="D52" s="129" t="s">
        <v>114</v>
      </c>
      <c r="E52" s="828"/>
      <c r="F52" s="327">
        <f>IFERROR(ID!N53,"-")</f>
        <v>50.635063000000002</v>
      </c>
      <c r="G52" s="327">
        <f t="shared" si="4"/>
        <v>-0.63506300000000238</v>
      </c>
      <c r="H52" s="327">
        <f t="shared" si="5"/>
        <v>1.2541961288761552</v>
      </c>
      <c r="I52" s="932"/>
      <c r="J52" s="328">
        <f>IFERROR('UB Amplitudo'!K31,"-")</f>
        <v>1.0171972343015296</v>
      </c>
      <c r="K52" s="936">
        <f t="shared" si="6"/>
        <v>2.271393363177685</v>
      </c>
      <c r="L52" s="936"/>
      <c r="M52" s="934"/>
      <c r="N52" s="449">
        <f t="shared" si="3"/>
        <v>1.25</v>
      </c>
      <c r="P52" s="259">
        <v>50</v>
      </c>
      <c r="R52" s="356"/>
      <c r="S52" s="357"/>
    </row>
    <row r="53" spans="1:19" ht="15" customHeight="1" x14ac:dyDescent="0.25">
      <c r="A53" s="125"/>
      <c r="B53" s="820"/>
      <c r="C53" s="828"/>
      <c r="D53" s="129" t="s">
        <v>103</v>
      </c>
      <c r="E53" s="828"/>
      <c r="F53" s="327">
        <f>IFERROR(ID!N54,"-")</f>
        <v>102.720271</v>
      </c>
      <c r="G53" s="327">
        <f t="shared" si="4"/>
        <v>-2.7202709999999968</v>
      </c>
      <c r="H53" s="327">
        <f t="shared" si="5"/>
        <v>2.6482319151981177</v>
      </c>
      <c r="I53" s="932"/>
      <c r="J53" s="328">
        <f>IFERROR('UB Amplitudo'!X31,"-")</f>
        <v>1.0315801357531895</v>
      </c>
      <c r="K53" s="936">
        <f t="shared" si="6"/>
        <v>3.6798120509513073</v>
      </c>
      <c r="L53" s="936"/>
      <c r="M53" s="934"/>
      <c r="N53" s="449">
        <f t="shared" si="3"/>
        <v>1.25</v>
      </c>
      <c r="P53" s="259">
        <v>100</v>
      </c>
      <c r="R53" s="356"/>
      <c r="S53" s="357"/>
    </row>
    <row r="54" spans="1:19" ht="15" customHeight="1" x14ac:dyDescent="0.25">
      <c r="A54" s="361"/>
      <c r="B54" s="820">
        <v>2</v>
      </c>
      <c r="C54" s="828"/>
      <c r="D54" s="129" t="s">
        <v>111</v>
      </c>
      <c r="E54" s="827" t="s">
        <v>175</v>
      </c>
      <c r="F54" s="327">
        <f>IFERROR(ID!N55,"-")</f>
        <v>10.10101</v>
      </c>
      <c r="G54" s="327">
        <f t="shared" si="4"/>
        <v>-0.10101000000000049</v>
      </c>
      <c r="H54" s="327">
        <f t="shared" si="5"/>
        <v>0.99999900999999491</v>
      </c>
      <c r="I54" s="932"/>
      <c r="J54" s="328">
        <f>IFERROR('UB Amplitudo'!K46,"-")</f>
        <v>1.0203109904638641</v>
      </c>
      <c r="K54" s="936">
        <f t="shared" si="6"/>
        <v>2.020310000463859</v>
      </c>
      <c r="L54" s="936"/>
      <c r="M54" s="934"/>
      <c r="N54" s="449">
        <f t="shared" si="3"/>
        <v>1.25</v>
      </c>
      <c r="P54" s="259">
        <v>10</v>
      </c>
      <c r="R54" s="356"/>
      <c r="S54" s="357"/>
    </row>
    <row r="55" spans="1:19" ht="15" customHeight="1" x14ac:dyDescent="0.25">
      <c r="A55" s="125"/>
      <c r="B55" s="820"/>
      <c r="C55" s="828"/>
      <c r="D55" s="129" t="s">
        <v>113</v>
      </c>
      <c r="E55" s="827"/>
      <c r="F55" s="327">
        <f>IFERROR(ID!N56,"-")</f>
        <v>30.903089999999999</v>
      </c>
      <c r="G55" s="327">
        <f t="shared" si="4"/>
        <v>-0.90308999999999884</v>
      </c>
      <c r="H55" s="327">
        <f t="shared" si="5"/>
        <v>2.9223291263106663</v>
      </c>
      <c r="I55" s="932"/>
      <c r="J55" s="328">
        <f>IFERROR('UB Amplitudo'!X46,"-")</f>
        <v>1.0350844321324577</v>
      </c>
      <c r="K55" s="936">
        <f t="shared" si="6"/>
        <v>3.957413558443124</v>
      </c>
      <c r="L55" s="936"/>
      <c r="M55" s="934"/>
      <c r="N55" s="449">
        <f t="shared" si="3"/>
        <v>1.25</v>
      </c>
      <c r="P55" s="259">
        <v>30</v>
      </c>
      <c r="R55" s="356"/>
      <c r="S55" s="357"/>
    </row>
    <row r="56" spans="1:19" ht="15" customHeight="1" x14ac:dyDescent="0.25">
      <c r="A56" s="125"/>
      <c r="B56" s="820"/>
      <c r="C56" s="828"/>
      <c r="D56" s="129" t="s">
        <v>114</v>
      </c>
      <c r="E56" s="827"/>
      <c r="F56" s="327">
        <f>IFERROR(ID!N57,"-")</f>
        <v>50.635063000000002</v>
      </c>
      <c r="G56" s="327">
        <f t="shared" si="4"/>
        <v>-0.63506300000000238</v>
      </c>
      <c r="H56" s="327">
        <f t="shared" si="5"/>
        <v>1.2541961288761552</v>
      </c>
      <c r="I56" s="932"/>
      <c r="J56" s="328">
        <f>IFERROR('UB Amplitudo'!K61,"-")</f>
        <v>1.0171972343015296</v>
      </c>
      <c r="K56" s="936">
        <f t="shared" si="6"/>
        <v>2.271393363177685</v>
      </c>
      <c r="L56" s="936"/>
      <c r="M56" s="934"/>
      <c r="N56" s="449">
        <f t="shared" si="3"/>
        <v>1.25</v>
      </c>
      <c r="P56" s="259">
        <v>50</v>
      </c>
      <c r="R56" s="356"/>
      <c r="S56" s="357"/>
    </row>
    <row r="57" spans="1:19" ht="15" customHeight="1" x14ac:dyDescent="0.25">
      <c r="A57" s="125"/>
      <c r="B57" s="820"/>
      <c r="C57" s="828"/>
      <c r="D57" s="129" t="s">
        <v>103</v>
      </c>
      <c r="E57" s="827"/>
      <c r="F57" s="327">
        <f>IFERROR(ID!N58,"-")</f>
        <v>102.720271</v>
      </c>
      <c r="G57" s="327">
        <f t="shared" si="4"/>
        <v>-2.7202709999999968</v>
      </c>
      <c r="H57" s="327">
        <f t="shared" si="5"/>
        <v>2.6482319151981177</v>
      </c>
      <c r="I57" s="932"/>
      <c r="J57" s="328">
        <f>IFERROR('UB Amplitudo'!X61,"-")</f>
        <v>1.0315801357531895</v>
      </c>
      <c r="K57" s="936">
        <f t="shared" si="6"/>
        <v>3.6798120509513073</v>
      </c>
      <c r="L57" s="936"/>
      <c r="M57" s="934"/>
      <c r="N57" s="449">
        <f t="shared" si="3"/>
        <v>1.25</v>
      </c>
      <c r="P57" s="259">
        <v>100</v>
      </c>
    </row>
    <row r="58" spans="1:19" ht="15" customHeight="1" x14ac:dyDescent="0.25">
      <c r="A58" s="125"/>
      <c r="B58" s="820">
        <v>3</v>
      </c>
      <c r="C58" s="828"/>
      <c r="D58" s="129" t="s">
        <v>111</v>
      </c>
      <c r="E58" s="827" t="s">
        <v>176</v>
      </c>
      <c r="F58" s="327">
        <f>IFERROR(ID!N59,"-")</f>
        <v>10.10101</v>
      </c>
      <c r="G58" s="327">
        <f t="shared" si="4"/>
        <v>-0.10101000000000049</v>
      </c>
      <c r="H58" s="327">
        <f t="shared" si="5"/>
        <v>0.99999900999999491</v>
      </c>
      <c r="I58" s="932"/>
      <c r="J58" s="362">
        <f>IFERROR('UB Amplitudo'!K76,"-")</f>
        <v>1.0203109904638641</v>
      </c>
      <c r="K58" s="936">
        <f t="shared" si="6"/>
        <v>2.020310000463859</v>
      </c>
      <c r="L58" s="936"/>
      <c r="M58" s="934"/>
      <c r="N58" s="449">
        <f t="shared" si="3"/>
        <v>1.25</v>
      </c>
      <c r="P58" s="259">
        <v>10</v>
      </c>
    </row>
    <row r="59" spans="1:19" ht="15" customHeight="1" x14ac:dyDescent="0.25">
      <c r="A59" s="361"/>
      <c r="B59" s="820"/>
      <c r="C59" s="828"/>
      <c r="D59" s="129" t="s">
        <v>113</v>
      </c>
      <c r="E59" s="827"/>
      <c r="F59" s="327">
        <f>IFERROR(ID!N60,"-")</f>
        <v>30.903089999999999</v>
      </c>
      <c r="G59" s="327">
        <f t="shared" si="4"/>
        <v>-0.90308999999999884</v>
      </c>
      <c r="H59" s="327">
        <f t="shared" si="5"/>
        <v>2.9223291263106663</v>
      </c>
      <c r="I59" s="932"/>
      <c r="J59" s="362">
        <f>IFERROR('UB Amplitudo'!X76,"-")</f>
        <v>1.0350844321324577</v>
      </c>
      <c r="K59" s="936">
        <f t="shared" si="6"/>
        <v>3.957413558443124</v>
      </c>
      <c r="L59" s="936"/>
      <c r="M59" s="934"/>
      <c r="N59" s="449">
        <f t="shared" si="3"/>
        <v>1.25</v>
      </c>
      <c r="P59" s="259">
        <v>30</v>
      </c>
    </row>
    <row r="60" spans="1:19" ht="15" customHeight="1" x14ac:dyDescent="0.25">
      <c r="A60" s="131"/>
      <c r="B60" s="820"/>
      <c r="C60" s="828"/>
      <c r="D60" s="129" t="s">
        <v>114</v>
      </c>
      <c r="E60" s="827"/>
      <c r="F60" s="327">
        <f>IFERROR(ID!N61,"-")</f>
        <v>50.635063000000002</v>
      </c>
      <c r="G60" s="327">
        <f t="shared" si="4"/>
        <v>-0.63506300000000238</v>
      </c>
      <c r="H60" s="327">
        <f t="shared" si="5"/>
        <v>1.2541961288761552</v>
      </c>
      <c r="I60" s="932"/>
      <c r="J60" s="362">
        <f>IFERROR('UB Amplitudo'!K91,"-")</f>
        <v>1.0171972343015296</v>
      </c>
      <c r="K60" s="936">
        <f t="shared" si="6"/>
        <v>2.271393363177685</v>
      </c>
      <c r="L60" s="936"/>
      <c r="M60" s="934"/>
      <c r="N60" s="449">
        <f t="shared" si="3"/>
        <v>1.25</v>
      </c>
      <c r="P60" s="259">
        <v>50</v>
      </c>
    </row>
    <row r="61" spans="1:19" ht="15" customHeight="1" x14ac:dyDescent="0.25">
      <c r="B61" s="820"/>
      <c r="C61" s="828"/>
      <c r="D61" s="129" t="s">
        <v>103</v>
      </c>
      <c r="E61" s="827"/>
      <c r="F61" s="327">
        <f>IFERROR(ID!N62,"-")</f>
        <v>102.720271</v>
      </c>
      <c r="G61" s="327">
        <f t="shared" si="4"/>
        <v>-2.7202709999999968</v>
      </c>
      <c r="H61" s="327">
        <f t="shared" si="5"/>
        <v>2.6482319151981177</v>
      </c>
      <c r="I61" s="932"/>
      <c r="J61" s="362">
        <f>IFERROR('UB Amplitudo'!X91,"-")</f>
        <v>1.0315801357531895</v>
      </c>
      <c r="K61" s="936">
        <f t="shared" si="6"/>
        <v>3.6798120509513073</v>
      </c>
      <c r="L61" s="936"/>
      <c r="M61" s="934"/>
      <c r="N61" s="449">
        <f t="shared" si="3"/>
        <v>1.25</v>
      </c>
      <c r="P61" s="259">
        <v>100</v>
      </c>
    </row>
    <row r="62" spans="1:19" ht="15" customHeight="1" x14ac:dyDescent="0.25">
      <c r="B62" s="820">
        <v>4</v>
      </c>
      <c r="C62" s="828"/>
      <c r="D62" s="129" t="s">
        <v>111</v>
      </c>
      <c r="E62" s="933" t="s">
        <v>177</v>
      </c>
      <c r="F62" s="327">
        <f>IFERROR(ID!N63,"-")</f>
        <v>10.10101</v>
      </c>
      <c r="G62" s="327">
        <f t="shared" si="4"/>
        <v>-0.10101000000000049</v>
      </c>
      <c r="H62" s="327">
        <f t="shared" si="5"/>
        <v>0.99999900999999491</v>
      </c>
      <c r="I62" s="932"/>
      <c r="J62" s="362">
        <f>IFERROR('UB Amplitudo'!K106,"-")</f>
        <v>1.0203109904638641</v>
      </c>
      <c r="K62" s="936">
        <f t="shared" si="6"/>
        <v>2.020310000463859</v>
      </c>
      <c r="L62" s="936"/>
      <c r="M62" s="934"/>
      <c r="N62" s="449">
        <f t="shared" si="3"/>
        <v>1.25</v>
      </c>
      <c r="P62" s="259">
        <v>10</v>
      </c>
    </row>
    <row r="63" spans="1:19" ht="15" customHeight="1" x14ac:dyDescent="0.25">
      <c r="B63" s="820"/>
      <c r="C63" s="828"/>
      <c r="D63" s="129" t="s">
        <v>113</v>
      </c>
      <c r="E63" s="933"/>
      <c r="F63" s="327">
        <f>IFERROR(ID!N64,"-")</f>
        <v>30.903089999999999</v>
      </c>
      <c r="G63" s="327">
        <f t="shared" si="4"/>
        <v>-0.90308999999999884</v>
      </c>
      <c r="H63" s="327">
        <f t="shared" si="5"/>
        <v>2.9223291263106663</v>
      </c>
      <c r="I63" s="932"/>
      <c r="J63" s="362">
        <f>IFERROR('UB Amplitudo'!X106,"-")</f>
        <v>1.0350844321324577</v>
      </c>
      <c r="K63" s="936">
        <f t="shared" si="6"/>
        <v>3.957413558443124</v>
      </c>
      <c r="L63" s="936"/>
      <c r="M63" s="934"/>
      <c r="N63" s="449">
        <f t="shared" si="3"/>
        <v>1.25</v>
      </c>
      <c r="P63" s="259">
        <v>30</v>
      </c>
    </row>
    <row r="64" spans="1:19" ht="15" customHeight="1" x14ac:dyDescent="0.25">
      <c r="B64" s="820"/>
      <c r="C64" s="828"/>
      <c r="D64" s="129" t="s">
        <v>114</v>
      </c>
      <c r="E64" s="933"/>
      <c r="F64" s="327">
        <f>IFERROR(ID!N65,"-")</f>
        <v>50.635063000000002</v>
      </c>
      <c r="G64" s="327">
        <f t="shared" si="4"/>
        <v>-0.63506300000000238</v>
      </c>
      <c r="H64" s="327">
        <f t="shared" si="5"/>
        <v>1.2541961288761552</v>
      </c>
      <c r="I64" s="932"/>
      <c r="J64" s="362">
        <f>IFERROR('UB Amplitudo'!K121,"-")</f>
        <v>1.0171972343015296</v>
      </c>
      <c r="K64" s="936">
        <f t="shared" si="6"/>
        <v>2.271393363177685</v>
      </c>
      <c r="L64" s="936"/>
      <c r="M64" s="934"/>
      <c r="N64" s="449">
        <f t="shared" si="3"/>
        <v>1.25</v>
      </c>
      <c r="P64" s="259">
        <v>50</v>
      </c>
    </row>
    <row r="65" spans="1:17" ht="15" customHeight="1" x14ac:dyDescent="0.25">
      <c r="B65" s="820"/>
      <c r="C65" s="828"/>
      <c r="D65" s="129" t="s">
        <v>103</v>
      </c>
      <c r="E65" s="933"/>
      <c r="F65" s="327">
        <f>IFERROR(ID!N66,"-")</f>
        <v>102.720271</v>
      </c>
      <c r="G65" s="327">
        <f t="shared" si="4"/>
        <v>-2.7202709999999968</v>
      </c>
      <c r="H65" s="327">
        <f t="shared" si="5"/>
        <v>2.6482319151981177</v>
      </c>
      <c r="I65" s="932"/>
      <c r="J65" s="362">
        <f>IFERROR('UB Amplitudo'!X121,"-")</f>
        <v>1.0315801357531895</v>
      </c>
      <c r="K65" s="936">
        <f t="shared" si="6"/>
        <v>3.6798120509513073</v>
      </c>
      <c r="L65" s="936"/>
      <c r="M65" s="934"/>
      <c r="N65" s="449">
        <f t="shared" si="3"/>
        <v>1.25</v>
      </c>
      <c r="P65" s="259">
        <v>100</v>
      </c>
    </row>
    <row r="66" spans="1:17" ht="15" customHeight="1" x14ac:dyDescent="0.25">
      <c r="B66" s="820">
        <v>5</v>
      </c>
      <c r="C66" s="828"/>
      <c r="D66" s="129" t="s">
        <v>111</v>
      </c>
      <c r="E66" s="933" t="s">
        <v>178</v>
      </c>
      <c r="F66" s="327">
        <f>IFERROR(ID!N67,"-")</f>
        <v>10.10101</v>
      </c>
      <c r="G66" s="327">
        <f t="shared" si="4"/>
        <v>-0.10101000000000049</v>
      </c>
      <c r="H66" s="327">
        <f t="shared" si="5"/>
        <v>0.99999900999999491</v>
      </c>
      <c r="I66" s="932"/>
      <c r="J66" s="362">
        <f>IFERROR('UB Amplitudo'!K136,"-")</f>
        <v>1.0203109904638641</v>
      </c>
      <c r="K66" s="936">
        <f t="shared" si="6"/>
        <v>2.020310000463859</v>
      </c>
      <c r="L66" s="936"/>
      <c r="M66" s="934"/>
      <c r="N66" s="449">
        <f t="shared" si="3"/>
        <v>1.25</v>
      </c>
      <c r="P66" s="259">
        <v>10</v>
      </c>
    </row>
    <row r="67" spans="1:17" ht="15" customHeight="1" x14ac:dyDescent="0.25">
      <c r="B67" s="820"/>
      <c r="C67" s="828"/>
      <c r="D67" s="129" t="s">
        <v>113</v>
      </c>
      <c r="E67" s="933"/>
      <c r="F67" s="327">
        <f>IFERROR(ID!N68,"-")</f>
        <v>30.903089999999999</v>
      </c>
      <c r="G67" s="327">
        <f t="shared" si="4"/>
        <v>-0.90308999999999884</v>
      </c>
      <c r="H67" s="327">
        <f t="shared" si="5"/>
        <v>2.9223291263106663</v>
      </c>
      <c r="I67" s="932"/>
      <c r="J67" s="362">
        <f>IFERROR('UB Amplitudo'!X136,"-")</f>
        <v>1.0350844321324577</v>
      </c>
      <c r="K67" s="936">
        <f t="shared" si="6"/>
        <v>3.957413558443124</v>
      </c>
      <c r="L67" s="936"/>
      <c r="M67" s="934"/>
      <c r="N67" s="449">
        <f t="shared" si="3"/>
        <v>1.25</v>
      </c>
      <c r="P67" s="259">
        <v>30</v>
      </c>
    </row>
    <row r="68" spans="1:17" ht="15" customHeight="1" x14ac:dyDescent="0.25">
      <c r="B68" s="820"/>
      <c r="C68" s="828"/>
      <c r="D68" s="129" t="s">
        <v>114</v>
      </c>
      <c r="E68" s="933"/>
      <c r="F68" s="327">
        <f>IFERROR(ID!N69,"-")</f>
        <v>50.635063000000002</v>
      </c>
      <c r="G68" s="327">
        <f t="shared" si="4"/>
        <v>-0.63506300000000238</v>
      </c>
      <c r="H68" s="327">
        <f t="shared" si="5"/>
        <v>1.2541961288761552</v>
      </c>
      <c r="I68" s="932"/>
      <c r="J68" s="362">
        <f>IFERROR('UB Amplitudo'!K151,"-")</f>
        <v>1.0171972343015296</v>
      </c>
      <c r="K68" s="936">
        <f t="shared" si="6"/>
        <v>2.271393363177685</v>
      </c>
      <c r="L68" s="936"/>
      <c r="M68" s="934"/>
      <c r="N68" s="449">
        <f t="shared" si="3"/>
        <v>1.25</v>
      </c>
      <c r="P68" s="259">
        <v>50</v>
      </c>
    </row>
    <row r="69" spans="1:17" ht="15" customHeight="1" x14ac:dyDescent="0.25">
      <c r="B69" s="820"/>
      <c r="C69" s="828"/>
      <c r="D69" s="129" t="s">
        <v>103</v>
      </c>
      <c r="E69" s="933"/>
      <c r="F69" s="327">
        <f>IFERROR(ID!N70,"-")</f>
        <v>102.720271</v>
      </c>
      <c r="G69" s="327">
        <f t="shared" si="4"/>
        <v>-2.7202709999999968</v>
      </c>
      <c r="H69" s="327">
        <f t="shared" si="5"/>
        <v>2.6482319151981177</v>
      </c>
      <c r="I69" s="932"/>
      <c r="J69" s="362">
        <f>IFERROR('UB Amplitudo'!X151,"-")</f>
        <v>1.0315801357531895</v>
      </c>
      <c r="K69" s="936">
        <f t="shared" si="6"/>
        <v>3.6798120509513073</v>
      </c>
      <c r="L69" s="936"/>
      <c r="M69" s="934"/>
      <c r="N69" s="449">
        <f t="shared" si="3"/>
        <v>1.25</v>
      </c>
      <c r="P69" s="259">
        <v>100</v>
      </c>
    </row>
    <row r="70" spans="1:17" ht="15" customHeight="1" x14ac:dyDescent="0.25">
      <c r="A70" s="208"/>
      <c r="B70" s="390"/>
      <c r="C70" s="335"/>
      <c r="D70" s="336"/>
      <c r="E70" s="335"/>
      <c r="F70" s="154"/>
      <c r="G70" s="154"/>
      <c r="H70" s="154"/>
      <c r="I70" s="335"/>
      <c r="J70" s="337"/>
      <c r="K70" s="208"/>
      <c r="L70" s="208"/>
      <c r="M70" s="945">
        <f>IF((M41+M50&gt;=35),M41+M50,0)</f>
        <v>50</v>
      </c>
      <c r="O70" s="79"/>
      <c r="P70" s="79"/>
      <c r="Q70" s="91"/>
    </row>
    <row r="71" spans="1:17" ht="14.5" x14ac:dyDescent="0.25">
      <c r="A71" s="389" t="s">
        <v>179</v>
      </c>
      <c r="B71" s="389" t="s">
        <v>180</v>
      </c>
      <c r="C71" s="390"/>
      <c r="D71" s="335"/>
      <c r="E71" s="335"/>
      <c r="F71" s="335"/>
      <c r="G71" s="335"/>
      <c r="H71" s="335"/>
      <c r="I71" s="335"/>
      <c r="J71" s="154"/>
      <c r="K71" s="154"/>
      <c r="L71" s="154"/>
      <c r="M71" s="945"/>
      <c r="P71" s="79"/>
      <c r="Q71" s="91"/>
    </row>
    <row r="72" spans="1:17" ht="15" customHeight="1" x14ac:dyDescent="0.25">
      <c r="A72" s="153"/>
      <c r="B72" s="140" t="str">
        <f>ID!B74</f>
        <v>Ketidakpastian pengukuran dilaporkan pada tingkat kepercayaan 95 % dengan faktor cakupan k = 2</v>
      </c>
      <c r="C72" s="140"/>
      <c r="D72" s="140"/>
      <c r="E72" s="140"/>
      <c r="F72" s="140"/>
      <c r="G72" s="140"/>
      <c r="H72" s="140"/>
      <c r="I72" s="140"/>
      <c r="J72" s="140"/>
      <c r="K72" s="154"/>
      <c r="L72" s="154"/>
      <c r="M72" s="945"/>
      <c r="O72" s="79"/>
      <c r="P72" s="79"/>
      <c r="Q72" s="91"/>
    </row>
    <row r="73" spans="1:17" ht="15" customHeight="1" x14ac:dyDescent="0.25">
      <c r="A73" s="153"/>
      <c r="B73" s="140" t="str">
        <f>ID!B75</f>
        <v>Hasil pengukuran keselamatan listrik tertelusur ke Satuan Internasional ( SI ) melalui PT. Kaliman (LK-032-IDN)</v>
      </c>
      <c r="C73" s="140"/>
      <c r="D73" s="140"/>
      <c r="E73" s="140"/>
      <c r="F73" s="140"/>
      <c r="G73" s="140"/>
      <c r="H73" s="140"/>
      <c r="I73" s="140"/>
      <c r="J73" s="140"/>
      <c r="K73" s="154"/>
      <c r="L73" s="154"/>
      <c r="M73" s="945"/>
      <c r="O73" s="79"/>
      <c r="P73" s="79"/>
      <c r="Q73" s="91"/>
    </row>
    <row r="74" spans="1:17" ht="14.5" x14ac:dyDescent="0.25">
      <c r="A74" s="153"/>
      <c r="B74" s="140" t="str">
        <f>ID!B76</f>
        <v>Hasil kalibrasi Frekuensi dan Amplitudo tertelusur ke Satuan Internasional melalui CALTEK PTE LTD</v>
      </c>
      <c r="C74" s="140"/>
      <c r="D74" s="140"/>
      <c r="E74" s="140"/>
      <c r="F74" s="140"/>
      <c r="G74" s="140"/>
      <c r="H74" s="140"/>
      <c r="I74" s="140"/>
      <c r="J74" s="140"/>
      <c r="K74" s="154"/>
      <c r="L74" s="154"/>
      <c r="M74" s="154"/>
      <c r="N74" s="79"/>
      <c r="O74" s="79"/>
      <c r="P74" s="79"/>
      <c r="Q74" s="91"/>
    </row>
    <row r="75" spans="1:17" ht="15" customHeight="1" x14ac:dyDescent="0.25">
      <c r="A75" s="153"/>
      <c r="B75" s="140" t="str">
        <f>ID!B77</f>
        <v>Alat tidak boleh digunakan pada instalasi tanpa dilengkapi grounding</v>
      </c>
      <c r="C75" s="140"/>
      <c r="D75" s="140"/>
      <c r="E75" s="140"/>
      <c r="F75" s="140"/>
      <c r="G75" s="140"/>
      <c r="H75" s="140"/>
      <c r="I75" s="140"/>
      <c r="J75" s="140"/>
      <c r="K75" s="154"/>
      <c r="L75" s="154"/>
      <c r="M75" s="154"/>
      <c r="N75" s="79"/>
      <c r="O75" s="79"/>
      <c r="P75" s="79"/>
      <c r="Q75" s="91"/>
    </row>
    <row r="76" spans="1:17" ht="15" customHeight="1" x14ac:dyDescent="0.25">
      <c r="A76" s="461" t="s">
        <v>295</v>
      </c>
      <c r="B76" s="140"/>
      <c r="C76" s="140"/>
      <c r="D76" s="140"/>
      <c r="E76" s="140"/>
      <c r="F76" s="140"/>
      <c r="G76" s="140"/>
      <c r="H76" s="140"/>
      <c r="I76" s="140"/>
      <c r="J76" s="140"/>
      <c r="K76" s="154"/>
      <c r="L76" s="154"/>
      <c r="M76" s="154"/>
      <c r="N76" s="79"/>
      <c r="O76" s="79"/>
      <c r="P76" s="79"/>
      <c r="Q76" s="91"/>
    </row>
    <row r="77" spans="1:17" ht="15" customHeight="1" x14ac:dyDescent="0.25">
      <c r="A77" s="153"/>
      <c r="B77" s="462" t="s">
        <v>295</v>
      </c>
      <c r="C77" s="140"/>
      <c r="D77" s="140"/>
      <c r="E77" s="140"/>
      <c r="F77" s="140"/>
      <c r="G77" s="140"/>
      <c r="H77" s="140"/>
      <c r="I77" s="140"/>
      <c r="J77" s="140"/>
      <c r="K77" s="154"/>
      <c r="L77" s="154"/>
      <c r="M77" s="154"/>
      <c r="N77" s="79"/>
      <c r="O77" s="79"/>
      <c r="P77" s="79"/>
      <c r="Q77" s="91"/>
    </row>
    <row r="78" spans="1:17" ht="14.5" x14ac:dyDescent="0.25">
      <c r="A78" s="153" t="s">
        <v>186</v>
      </c>
      <c r="B78" s="153" t="s">
        <v>187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79"/>
      <c r="O78" s="79"/>
      <c r="P78" s="79"/>
      <c r="Q78" s="91"/>
    </row>
    <row r="79" spans="1:17" ht="14.5" x14ac:dyDescent="0.25">
      <c r="A79" s="140"/>
      <c r="B79" s="156" t="str">
        <f>ID!B80</f>
        <v>EEG Simulator, Merek : NETECH, Model : 330, SN : 31487</v>
      </c>
      <c r="C79" s="140"/>
      <c r="D79" s="153"/>
      <c r="E79" s="153"/>
      <c r="F79" s="153"/>
      <c r="G79" s="153"/>
      <c r="H79" s="140"/>
      <c r="I79" s="140"/>
      <c r="J79" s="140"/>
      <c r="K79" s="140"/>
      <c r="L79" s="140"/>
      <c r="M79" s="140"/>
      <c r="N79" s="79"/>
      <c r="O79" s="79"/>
      <c r="P79" s="79"/>
      <c r="Q79" s="91"/>
    </row>
    <row r="80" spans="1:17" ht="14.5" x14ac:dyDescent="0.25">
      <c r="A80" s="140"/>
      <c r="B80" s="156" t="str">
        <f>ID!B81</f>
        <v>Electrical Safety Analyzer, Merek : Fluke, Model : ESA 615, SN : 4670010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79"/>
      <c r="O80" s="79"/>
      <c r="P80" s="79"/>
      <c r="Q80" s="91"/>
    </row>
    <row r="81" spans="1:17" ht="14.5" x14ac:dyDescent="0.25">
      <c r="A81" s="140"/>
      <c r="B81" s="156" t="str">
        <f>ID!B82</f>
        <v>Thermohygrobarometer, Merek : EXTECH, Model : SD700, SN : A.100615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79"/>
      <c r="O81" s="79"/>
      <c r="P81" s="79"/>
      <c r="Q81" s="91"/>
    </row>
    <row r="82" spans="1:17" ht="15" customHeight="1" x14ac:dyDescent="0.25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79"/>
      <c r="O82" s="79"/>
      <c r="P82" s="79"/>
      <c r="Q82" s="91"/>
    </row>
    <row r="83" spans="1:17" ht="14.5" x14ac:dyDescent="0.25">
      <c r="A83" s="153" t="s">
        <v>191</v>
      </c>
      <c r="B83" s="153" t="s">
        <v>192</v>
      </c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79"/>
      <c r="O83" s="79"/>
      <c r="P83" s="79"/>
      <c r="Q83" s="91"/>
    </row>
    <row r="84" spans="1:17" ht="15" customHeight="1" x14ac:dyDescent="0.25">
      <c r="A84" s="140"/>
      <c r="B84" s="878" t="str">
        <f>ID!B85</f>
        <v>Alat yang dikalibrasi dalam batas toleransi dan dinyatakan LAIK PAKAI, dimana hasil atau skor akhir sama dengan atau melampaui 70% berdasarkan Keputusan Direktur Jenderal Pelayanan Kesehatan No : HK.02.02/V/0412/2020</v>
      </c>
      <c r="C84" s="878"/>
      <c r="D84" s="878"/>
      <c r="E84" s="878"/>
      <c r="F84" s="878"/>
      <c r="G84" s="878"/>
      <c r="H84" s="878"/>
      <c r="I84" s="878"/>
      <c r="J84" s="878"/>
      <c r="K84" s="878"/>
      <c r="L84" s="140"/>
      <c r="M84" s="140"/>
      <c r="N84" s="79"/>
      <c r="O84" s="79"/>
      <c r="P84" s="79"/>
      <c r="Q84" s="91"/>
    </row>
    <row r="85" spans="1:17" ht="15" customHeight="1" x14ac:dyDescent="0.25">
      <c r="A85" s="140"/>
      <c r="B85" s="878"/>
      <c r="C85" s="878"/>
      <c r="D85" s="878"/>
      <c r="E85" s="878"/>
      <c r="F85" s="878"/>
      <c r="G85" s="878"/>
      <c r="H85" s="878"/>
      <c r="I85" s="878"/>
      <c r="J85" s="878"/>
      <c r="K85" s="878"/>
      <c r="L85" s="140"/>
      <c r="M85" s="140"/>
      <c r="N85" s="79"/>
      <c r="O85" s="79"/>
      <c r="P85" s="79"/>
      <c r="Q85" s="91"/>
    </row>
    <row r="86" spans="1:17" ht="14.5" x14ac:dyDescent="0.25">
      <c r="A86" s="153" t="s">
        <v>121</v>
      </c>
      <c r="B86" s="153" t="s">
        <v>135</v>
      </c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79"/>
      <c r="O86" s="79"/>
      <c r="P86" s="79"/>
      <c r="Q86" s="91"/>
    </row>
    <row r="87" spans="1:17" ht="14.5" x14ac:dyDescent="0.25">
      <c r="A87" s="140"/>
      <c r="B87" s="138" t="str">
        <f>ID!B89</f>
        <v>Gusti Arya Dinata</v>
      </c>
      <c r="C87" s="153"/>
      <c r="D87" s="140"/>
      <c r="E87" s="140"/>
      <c r="F87" s="140"/>
      <c r="G87" s="140"/>
      <c r="H87" s="140"/>
      <c r="I87" s="140"/>
      <c r="J87" s="944" t="s">
        <v>296</v>
      </c>
      <c r="K87" s="944"/>
      <c r="L87" s="140"/>
      <c r="M87" s="140"/>
      <c r="N87" s="79"/>
      <c r="O87" s="79"/>
      <c r="P87" s="85"/>
      <c r="Q87" s="91"/>
    </row>
    <row r="88" spans="1:17" ht="15" customHeight="1" x14ac:dyDescent="0.25">
      <c r="A88" s="140"/>
      <c r="B88" s="138"/>
      <c r="C88" s="140"/>
      <c r="D88" s="140"/>
      <c r="E88" s="140"/>
      <c r="F88" s="140"/>
      <c r="G88" s="140"/>
      <c r="H88" s="140"/>
      <c r="I88" s="140"/>
      <c r="J88" s="939">
        <f>SUM(M20,M21,M25,M70)</f>
        <v>100</v>
      </c>
      <c r="K88" s="940"/>
      <c r="L88" s="140"/>
      <c r="M88" s="140"/>
      <c r="N88" s="79"/>
      <c r="O88" s="79"/>
      <c r="P88" s="79"/>
      <c r="Q88" s="91"/>
    </row>
    <row r="89" spans="1:17" ht="14.5" x14ac:dyDescent="0.25">
      <c r="A89" s="140"/>
      <c r="B89" s="942" t="s">
        <v>297</v>
      </c>
      <c r="C89" s="942"/>
      <c r="D89" s="942"/>
      <c r="E89" s="942"/>
      <c r="F89" s="942" t="s">
        <v>1</v>
      </c>
      <c r="G89" s="942"/>
      <c r="H89" s="463" t="s">
        <v>298</v>
      </c>
      <c r="I89" s="208"/>
      <c r="J89" s="940"/>
      <c r="K89" s="940"/>
      <c r="L89" s="140"/>
      <c r="M89" s="140"/>
      <c r="N89" s="79"/>
      <c r="O89" s="79"/>
      <c r="P89" s="79"/>
      <c r="Q89" s="91"/>
    </row>
    <row r="90" spans="1:17" ht="14.5" x14ac:dyDescent="0.25">
      <c r="A90" s="140"/>
      <c r="B90" s="464" t="s">
        <v>299</v>
      </c>
      <c r="C90" s="338"/>
      <c r="D90" s="465" t="str">
        <f>ID!B89</f>
        <v>Gusti Arya Dinata</v>
      </c>
      <c r="E90" s="466"/>
      <c r="F90" s="943" t="str">
        <f>ID!B92</f>
        <v>7/8/2022</v>
      </c>
      <c r="G90" s="943"/>
      <c r="H90" s="467"/>
      <c r="I90" s="208"/>
      <c r="J90" s="940"/>
      <c r="K90" s="940"/>
      <c r="L90" s="140"/>
      <c r="M90" s="140"/>
      <c r="N90" s="79"/>
      <c r="O90" s="79"/>
      <c r="P90" s="79"/>
      <c r="Q90" s="91"/>
    </row>
    <row r="91" spans="1:17" ht="14.5" x14ac:dyDescent="0.25">
      <c r="A91" s="140"/>
      <c r="B91" s="464" t="s">
        <v>300</v>
      </c>
      <c r="C91" s="468"/>
      <c r="D91" s="468"/>
      <c r="E91" s="469"/>
      <c r="F91" s="941"/>
      <c r="G91" s="941"/>
      <c r="H91" s="467"/>
      <c r="I91" s="208"/>
      <c r="J91" s="940"/>
      <c r="K91" s="940"/>
      <c r="L91" s="140"/>
      <c r="M91" s="140"/>
      <c r="N91" s="79"/>
      <c r="O91" s="363"/>
      <c r="P91" s="363"/>
    </row>
    <row r="92" spans="1:17" ht="14.5" x14ac:dyDescent="0.25">
      <c r="A92" s="140"/>
      <c r="B92" s="207"/>
      <c r="C92" s="207"/>
      <c r="D92" s="207"/>
      <c r="E92" s="207"/>
      <c r="F92" s="207"/>
      <c r="G92" s="208"/>
      <c r="H92" s="208"/>
      <c r="I92" s="208"/>
      <c r="J92" s="140"/>
      <c r="K92" s="140"/>
      <c r="L92" s="140"/>
      <c r="M92" s="140"/>
      <c r="N92" s="79"/>
    </row>
    <row r="93" spans="1:17" ht="14.5" x14ac:dyDescent="0.25">
      <c r="A93" s="124"/>
      <c r="B93" s="364"/>
      <c r="C93" s="364"/>
      <c r="D93" s="364"/>
      <c r="E93" s="364"/>
      <c r="F93" s="364"/>
      <c r="J93" s="124"/>
      <c r="K93" s="124"/>
      <c r="L93" s="124"/>
      <c r="M93" s="124"/>
      <c r="N93" s="93"/>
    </row>
    <row r="94" spans="1:17" ht="14.5" x14ac:dyDescent="0.25">
      <c r="A94" s="124"/>
      <c r="B94" s="124"/>
      <c r="C94" s="124"/>
      <c r="D94" s="124"/>
      <c r="E94" s="124"/>
      <c r="F94" s="124"/>
      <c r="J94" s="124"/>
      <c r="K94" s="124"/>
      <c r="L94" s="124"/>
      <c r="M94" s="124"/>
      <c r="N94" s="80"/>
    </row>
    <row r="95" spans="1:17" ht="14.5" x14ac:dyDescent="0.2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79"/>
    </row>
    <row r="96" spans="1:17" x14ac:dyDescent="0.25">
      <c r="B96" s="65" t="s">
        <v>151</v>
      </c>
      <c r="C96"/>
      <c r="D96" s="84"/>
    </row>
    <row r="97" spans="1:22" x14ac:dyDescent="0.25">
      <c r="B97" s="65" t="s">
        <v>168</v>
      </c>
      <c r="C97"/>
      <c r="D97" s="233"/>
    </row>
    <row r="98" spans="1:22" ht="14" x14ac:dyDescent="0.25">
      <c r="A98" s="124"/>
      <c r="K98" s="366"/>
      <c r="L98" s="366"/>
      <c r="M98" s="366"/>
      <c r="N98" s="366"/>
      <c r="O98" s="366"/>
      <c r="P98" s="366"/>
      <c r="Q98" s="124"/>
      <c r="R98" s="124"/>
      <c r="S98" s="124"/>
      <c r="T98" s="124"/>
      <c r="U98" s="124"/>
      <c r="V98" s="124"/>
    </row>
    <row r="99" spans="1:22" ht="14" x14ac:dyDescent="0.3">
      <c r="A99" s="124"/>
      <c r="B99" s="41" t="str">
        <f>IF(PENYELIA!J88&gt;=70,PENYELIA!B100,PENYELIA!B101)</f>
        <v>Nomor Sertifikat : 20 /</v>
      </c>
      <c r="C99"/>
      <c r="D99"/>
      <c r="E99"/>
      <c r="F99"/>
      <c r="G99" s="375"/>
      <c r="H99"/>
      <c r="I99"/>
      <c r="J99"/>
      <c r="K99"/>
      <c r="L99"/>
      <c r="M99" s="366"/>
      <c r="N99" s="366"/>
      <c r="O99" s="366"/>
      <c r="P99" s="366"/>
      <c r="Q99" s="124"/>
      <c r="R99" s="124"/>
      <c r="S99" s="124"/>
      <c r="T99" s="124"/>
      <c r="U99" s="124"/>
      <c r="V99" s="124"/>
    </row>
    <row r="100" spans="1:22" ht="14" x14ac:dyDescent="0.3">
      <c r="A100" s="124"/>
      <c r="B100" s="376" t="s">
        <v>196</v>
      </c>
      <c r="C100" s="377"/>
      <c r="D100" s="377"/>
      <c r="E100" s="378"/>
      <c r="F100" s="378"/>
      <c r="G100" s="378"/>
      <c r="H100" s="378"/>
      <c r="I100" s="378"/>
      <c r="J100" s="378"/>
      <c r="K100" s="379"/>
      <c r="L100" s="380">
        <v>1</v>
      </c>
      <c r="M100" s="366"/>
      <c r="N100" s="366"/>
      <c r="O100" s="366"/>
      <c r="P100" s="366"/>
      <c r="Q100" s="124"/>
      <c r="R100" s="124"/>
      <c r="S100" s="124"/>
      <c r="T100" s="124"/>
      <c r="U100" s="124"/>
      <c r="V100" s="124"/>
    </row>
    <row r="101" spans="1:22" ht="14" x14ac:dyDescent="0.3">
      <c r="A101" s="124"/>
      <c r="B101" s="376" t="s">
        <v>301</v>
      </c>
      <c r="C101" s="377"/>
      <c r="D101" s="377"/>
      <c r="E101" s="378"/>
      <c r="F101" s="378"/>
      <c r="G101" s="378"/>
      <c r="H101" s="378"/>
      <c r="I101" s="378"/>
      <c r="J101" s="378"/>
      <c r="K101" s="379"/>
      <c r="L101" s="380">
        <v>2</v>
      </c>
      <c r="M101" s="366"/>
      <c r="N101" s="366"/>
      <c r="O101" s="366"/>
      <c r="P101" s="366"/>
      <c r="Q101" s="124"/>
      <c r="R101" s="124"/>
      <c r="S101" s="124"/>
      <c r="T101" s="124"/>
      <c r="U101" s="124"/>
      <c r="V101" s="124"/>
    </row>
    <row r="102" spans="1:22" ht="14" x14ac:dyDescent="0.25">
      <c r="A102" s="124"/>
      <c r="K102" s="366"/>
      <c r="L102" s="366"/>
      <c r="M102" s="366"/>
      <c r="N102" s="366"/>
      <c r="O102" s="366"/>
      <c r="P102" s="366"/>
      <c r="Q102" s="124"/>
      <c r="R102" s="124"/>
      <c r="S102" s="124"/>
      <c r="T102" s="124"/>
      <c r="U102" s="124"/>
      <c r="V102" s="124"/>
    </row>
    <row r="103" spans="1:22" ht="14" x14ac:dyDescent="0.3">
      <c r="A103" s="124"/>
      <c r="B103" s="382" t="str">
        <f>IF(PENYELIA!J88&gt;=70,PENYELIA!C104,PENYELIA!C105)</f>
        <v>Alat yang dikalibrasi dalam batas toleransi dan dinyatakan LAIK PAKAI, dimana hasil atau skor akhir sama dengan atau melampaui 70% berdasarkan Keputusan Direktur Jenderal Pelayanan Kesehatan No : HK.02.02/V/0412/2020</v>
      </c>
      <c r="C103" s="377"/>
      <c r="D103" s="377"/>
      <c r="E103" s="378"/>
      <c r="F103" s="378"/>
      <c r="G103" s="378"/>
      <c r="H103" s="378"/>
      <c r="I103" s="378"/>
      <c r="J103" s="378"/>
      <c r="K103" s="378"/>
      <c r="L103" s="378"/>
      <c r="M103" s="378"/>
      <c r="N103" s="367"/>
      <c r="O103" s="367"/>
      <c r="P103" s="367"/>
      <c r="Q103" s="367"/>
      <c r="R103" s="185"/>
      <c r="S103"/>
      <c r="T103"/>
      <c r="U103" s="124"/>
      <c r="V103" s="124"/>
    </row>
    <row r="104" spans="1:22" ht="14" x14ac:dyDescent="0.3">
      <c r="A104" s="124"/>
      <c r="B104" s="434">
        <v>1</v>
      </c>
      <c r="C104" s="383" t="s">
        <v>302</v>
      </c>
      <c r="D104" s="377"/>
      <c r="E104" s="378"/>
      <c r="F104" s="378"/>
      <c r="G104" s="378"/>
      <c r="H104" s="378"/>
      <c r="I104" s="378"/>
      <c r="J104" s="384"/>
      <c r="K104" s="385"/>
      <c r="L104" s="385"/>
      <c r="M104" s="385"/>
      <c r="N104" s="386"/>
      <c r="O104" s="386"/>
      <c r="P104" s="386"/>
      <c r="Q104" s="386"/>
      <c r="R104" s="435"/>
      <c r="S104" s="437"/>
      <c r="T104"/>
      <c r="U104" s="124"/>
      <c r="V104" s="124"/>
    </row>
    <row r="105" spans="1:22" ht="14" x14ac:dyDescent="0.3">
      <c r="A105" s="124"/>
      <c r="B105" s="380">
        <v>2</v>
      </c>
      <c r="C105" s="436" t="s">
        <v>303</v>
      </c>
      <c r="D105" s="377"/>
      <c r="E105" s="378"/>
      <c r="F105" s="378"/>
      <c r="G105" s="378"/>
      <c r="H105" s="378"/>
      <c r="I105" s="378"/>
      <c r="J105" s="384"/>
      <c r="K105" s="388"/>
      <c r="L105" s="388"/>
      <c r="M105" s="388"/>
      <c r="N105" s="369"/>
      <c r="O105" s="369"/>
      <c r="P105" s="369"/>
      <c r="Q105" s="369"/>
      <c r="R105" s="189"/>
      <c r="S105"/>
      <c r="T105"/>
      <c r="U105" s="124"/>
      <c r="V105" s="124"/>
    </row>
    <row r="106" spans="1:22" ht="14" x14ac:dyDescent="0.3">
      <c r="A106" s="124"/>
      <c r="B106" s="65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372"/>
      <c r="Q106" s="373"/>
      <c r="R106" s="374"/>
      <c r="S106" s="374"/>
      <c r="T106" s="374"/>
      <c r="U106" s="124"/>
      <c r="V106" s="124"/>
    </row>
    <row r="107" spans="1:22" ht="14" x14ac:dyDescent="0.25">
      <c r="A107" s="124"/>
      <c r="M107"/>
      <c r="N107"/>
      <c r="O107"/>
      <c r="P107"/>
      <c r="Q107"/>
      <c r="R107"/>
      <c r="S107"/>
      <c r="T107"/>
      <c r="U107" s="124"/>
      <c r="V107" s="124"/>
    </row>
    <row r="108" spans="1:22" ht="14" x14ac:dyDescent="0.25">
      <c r="A108" s="124"/>
      <c r="M108" s="355"/>
      <c r="N108"/>
      <c r="O108"/>
      <c r="P108"/>
      <c r="Q108"/>
      <c r="R108"/>
      <c r="S108"/>
      <c r="T108"/>
      <c r="U108" s="124"/>
      <c r="V108" s="124"/>
    </row>
    <row r="109" spans="1:22" ht="14" x14ac:dyDescent="0.25">
      <c r="A109" s="124"/>
      <c r="M109" s="355"/>
      <c r="N109"/>
      <c r="O109"/>
      <c r="P109"/>
      <c r="Q109"/>
      <c r="R109"/>
      <c r="S109"/>
      <c r="T109"/>
      <c r="U109" s="124"/>
      <c r="V109" s="124"/>
    </row>
    <row r="110" spans="1:22" ht="14" x14ac:dyDescent="0.3">
      <c r="A110" s="124"/>
      <c r="B110" s="381"/>
      <c r="C110" s="355"/>
      <c r="D110" s="355"/>
      <c r="E110" s="381"/>
      <c r="F110" s="381"/>
      <c r="G110" s="381"/>
      <c r="H110" s="381"/>
      <c r="I110" s="381"/>
      <c r="J110" s="381"/>
      <c r="K110" s="381"/>
      <c r="L110" s="355"/>
      <c r="M110" s="355"/>
      <c r="N110"/>
      <c r="O110"/>
      <c r="P110"/>
      <c r="Q110"/>
      <c r="R110"/>
      <c r="S110"/>
      <c r="T110"/>
      <c r="U110" s="124"/>
      <c r="V110" s="124"/>
    </row>
    <row r="111" spans="1:22" ht="14" x14ac:dyDescent="0.25">
      <c r="A111" s="124"/>
    </row>
    <row r="112" spans="1:22" ht="14" x14ac:dyDescent="0.25">
      <c r="A112" s="124"/>
    </row>
    <row r="113" spans="1:1" ht="14" x14ac:dyDescent="0.25">
      <c r="A113" s="124"/>
    </row>
  </sheetData>
  <sheetProtection formatCells="0" formatColumns="0" formatRows="0" insertColumns="0" insertRows="0" deleteColumns="0" deleteRows="0"/>
  <mergeCells count="102">
    <mergeCell ref="K48:L49"/>
    <mergeCell ref="K50:L50"/>
    <mergeCell ref="K51:L51"/>
    <mergeCell ref="K52:L52"/>
    <mergeCell ref="K66:L66"/>
    <mergeCell ref="K67:L67"/>
    <mergeCell ref="K68:L68"/>
    <mergeCell ref="K69:L69"/>
    <mergeCell ref="K61:L61"/>
    <mergeCell ref="K62:L62"/>
    <mergeCell ref="K63:L63"/>
    <mergeCell ref="K64:L64"/>
    <mergeCell ref="K65:L65"/>
    <mergeCell ref="C24:H24"/>
    <mergeCell ref="I25:J25"/>
    <mergeCell ref="I26:J26"/>
    <mergeCell ref="S19:S20"/>
    <mergeCell ref="A1:M1"/>
    <mergeCell ref="A2:M2"/>
    <mergeCell ref="V24:AA24"/>
    <mergeCell ref="V21:AD21"/>
    <mergeCell ref="P25:P26"/>
    <mergeCell ref="Q25:Q26"/>
    <mergeCell ref="M25:M28"/>
    <mergeCell ref="I27:J27"/>
    <mergeCell ref="I28:J28"/>
    <mergeCell ref="K25:L25"/>
    <mergeCell ref="K26:L26"/>
    <mergeCell ref="K27:L27"/>
    <mergeCell ref="K28:L28"/>
    <mergeCell ref="M70:M73"/>
    <mergeCell ref="K24:L24"/>
    <mergeCell ref="D32:D33"/>
    <mergeCell ref="T19:T20"/>
    <mergeCell ref="V19:AD19"/>
    <mergeCell ref="V20:AD20"/>
    <mergeCell ref="B41:B45"/>
    <mergeCell ref="M41:M45"/>
    <mergeCell ref="G39:G40"/>
    <mergeCell ref="J39:J40"/>
    <mergeCell ref="H39:H40"/>
    <mergeCell ref="I39:I40"/>
    <mergeCell ref="I41:I45"/>
    <mergeCell ref="N20:N21"/>
    <mergeCell ref="E39:E40"/>
    <mergeCell ref="D39:D40"/>
    <mergeCell ref="P19:Q20"/>
    <mergeCell ref="R19:R20"/>
    <mergeCell ref="F39:F40"/>
    <mergeCell ref="E32:E33"/>
    <mergeCell ref="B39:B40"/>
    <mergeCell ref="E54:E57"/>
    <mergeCell ref="B32:B33"/>
    <mergeCell ref="I24:J24"/>
    <mergeCell ref="B48:B49"/>
    <mergeCell ref="C41:C45"/>
    <mergeCell ref="C32:C33"/>
    <mergeCell ref="C48:C49"/>
    <mergeCell ref="E41:E45"/>
    <mergeCell ref="C39:C40"/>
    <mergeCell ref="J88:K91"/>
    <mergeCell ref="F91:G91"/>
    <mergeCell ref="F89:G89"/>
    <mergeCell ref="F90:G90"/>
    <mergeCell ref="C50:C69"/>
    <mergeCell ref="J87:K87"/>
    <mergeCell ref="B84:K85"/>
    <mergeCell ref="B50:B53"/>
    <mergeCell ref="B89:E89"/>
    <mergeCell ref="B54:B57"/>
    <mergeCell ref="B66:B69"/>
    <mergeCell ref="B62:B65"/>
    <mergeCell ref="B58:B61"/>
    <mergeCell ref="K53:L53"/>
    <mergeCell ref="K54:L54"/>
    <mergeCell ref="K55:L55"/>
    <mergeCell ref="I48:I49"/>
    <mergeCell ref="K45:L45"/>
    <mergeCell ref="M39:M40"/>
    <mergeCell ref="M48:M49"/>
    <mergeCell ref="J48:J49"/>
    <mergeCell ref="I50:I69"/>
    <mergeCell ref="E66:E69"/>
    <mergeCell ref="D48:D49"/>
    <mergeCell ref="F48:F49"/>
    <mergeCell ref="G48:G49"/>
    <mergeCell ref="E58:E61"/>
    <mergeCell ref="E62:E65"/>
    <mergeCell ref="H48:H49"/>
    <mergeCell ref="E48:E49"/>
    <mergeCell ref="E50:E53"/>
    <mergeCell ref="M50:M69"/>
    <mergeCell ref="K39:L40"/>
    <mergeCell ref="K41:L41"/>
    <mergeCell ref="K42:L42"/>
    <mergeCell ref="K43:L43"/>
    <mergeCell ref="K44:L44"/>
    <mergeCell ref="K56:L56"/>
    <mergeCell ref="K57:L57"/>
    <mergeCell ref="K58:L58"/>
    <mergeCell ref="K59:L59"/>
    <mergeCell ref="K60:L60"/>
  </mergeCells>
  <phoneticPr fontId="0" type="noConversion"/>
  <printOptions horizontalCentered="1"/>
  <pageMargins left="0.4" right="0.25" top="0.4" bottom="0.25" header="0.25" footer="0.25"/>
  <pageSetup paperSize="9" scale="56" orientation="portrait" horizontalDpi="4294967294" verticalDpi="4294967294" r:id="rId1"/>
  <headerFooter>
    <oddHeader>&amp;R&amp;"-,Regular"&amp;8KL.LP - 021-18 / REV : 1</oddHeader>
    <oddFooter>&amp;R&amp;K00-032EEG 13.7.2022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997" r:id="rId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3997" r:id="rId4"/>
      </mc:Fallback>
    </mc:AlternateContent>
    <mc:AlternateContent xmlns:mc="http://schemas.openxmlformats.org/markup-compatibility/2006">
      <mc:Choice Requires="x14">
        <oleObject progId="Equation.3" shapeId="3998" r:id="rId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3998" r:id="rId6"/>
      </mc:Fallback>
    </mc:AlternateContent>
    <mc:AlternateContent xmlns:mc="http://schemas.openxmlformats.org/markup-compatibility/2006">
      <mc:Choice Requires="x14">
        <oleObject progId="Equation.3" shapeId="3999" r:id="rId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3999" r:id="rId7"/>
      </mc:Fallback>
    </mc:AlternateContent>
    <mc:AlternateContent xmlns:mc="http://schemas.openxmlformats.org/markup-compatibility/2006">
      <mc:Choice Requires="x14">
        <oleObject progId="Equation.3" shapeId="4000" r:id="rId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0" r:id="rId8"/>
      </mc:Fallback>
    </mc:AlternateContent>
    <mc:AlternateContent xmlns:mc="http://schemas.openxmlformats.org/markup-compatibility/2006">
      <mc:Choice Requires="x14">
        <oleObject progId="Equation.3" shapeId="4001" r:id="rId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1" r:id="rId9"/>
      </mc:Fallback>
    </mc:AlternateContent>
    <mc:AlternateContent xmlns:mc="http://schemas.openxmlformats.org/markup-compatibility/2006">
      <mc:Choice Requires="x14">
        <oleObject progId="Equation.3" shapeId="4002" r:id="rId1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2" r:id="rId10"/>
      </mc:Fallback>
    </mc:AlternateContent>
    <mc:AlternateContent xmlns:mc="http://schemas.openxmlformats.org/markup-compatibility/2006">
      <mc:Choice Requires="x14">
        <oleObject progId="Equation.3" shapeId="4003" r:id="rId1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3" r:id="rId11"/>
      </mc:Fallback>
    </mc:AlternateContent>
    <mc:AlternateContent xmlns:mc="http://schemas.openxmlformats.org/markup-compatibility/2006">
      <mc:Choice Requires="x14">
        <oleObject progId="Equation.3" shapeId="4004" r:id="rId1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4" r:id="rId12"/>
      </mc:Fallback>
    </mc:AlternateContent>
    <mc:AlternateContent xmlns:mc="http://schemas.openxmlformats.org/markup-compatibility/2006">
      <mc:Choice Requires="x14">
        <oleObject progId="Equation.3" shapeId="4005" r:id="rId1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5" r:id="rId13"/>
      </mc:Fallback>
    </mc:AlternateContent>
    <mc:AlternateContent xmlns:mc="http://schemas.openxmlformats.org/markup-compatibility/2006">
      <mc:Choice Requires="x14">
        <oleObject progId="Equation.3" shapeId="4006" r:id="rId1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6" r:id="rId14"/>
      </mc:Fallback>
    </mc:AlternateContent>
    <mc:AlternateContent xmlns:mc="http://schemas.openxmlformats.org/markup-compatibility/2006">
      <mc:Choice Requires="x14">
        <oleObject progId="Equation.3" shapeId="4007" r:id="rId15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07" r:id="rId15"/>
      </mc:Fallback>
    </mc:AlternateContent>
    <mc:AlternateContent xmlns:mc="http://schemas.openxmlformats.org/markup-compatibility/2006">
      <mc:Choice Requires="x14">
        <oleObject progId="Equation.3" shapeId="4008" r:id="rId1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8" r:id="rId16"/>
      </mc:Fallback>
    </mc:AlternateContent>
    <mc:AlternateContent xmlns:mc="http://schemas.openxmlformats.org/markup-compatibility/2006">
      <mc:Choice Requires="x14">
        <oleObject progId="Equation.3" shapeId="4009" r:id="rId1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09" r:id="rId17"/>
      </mc:Fallback>
    </mc:AlternateContent>
    <mc:AlternateContent xmlns:mc="http://schemas.openxmlformats.org/markup-compatibility/2006">
      <mc:Choice Requires="x14">
        <oleObject progId="Equation.3" shapeId="4010" r:id="rId1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0" r:id="rId18"/>
      </mc:Fallback>
    </mc:AlternateContent>
    <mc:AlternateContent xmlns:mc="http://schemas.openxmlformats.org/markup-compatibility/2006">
      <mc:Choice Requires="x14">
        <oleObject progId="Equation.3" shapeId="4011" r:id="rId1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1" r:id="rId19"/>
      </mc:Fallback>
    </mc:AlternateContent>
    <mc:AlternateContent xmlns:mc="http://schemas.openxmlformats.org/markup-compatibility/2006">
      <mc:Choice Requires="x14">
        <oleObject progId="Equation.3" shapeId="4012" r:id="rId2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2" r:id="rId20"/>
      </mc:Fallback>
    </mc:AlternateContent>
    <mc:AlternateContent xmlns:mc="http://schemas.openxmlformats.org/markup-compatibility/2006">
      <mc:Choice Requires="x14">
        <oleObject progId="Equation.3" shapeId="4013" r:id="rId2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3" r:id="rId21"/>
      </mc:Fallback>
    </mc:AlternateContent>
    <mc:AlternateContent xmlns:mc="http://schemas.openxmlformats.org/markup-compatibility/2006">
      <mc:Choice Requires="x14">
        <oleObject progId="Equation.3" shapeId="4014" r:id="rId2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4" r:id="rId22"/>
      </mc:Fallback>
    </mc:AlternateContent>
    <mc:AlternateContent xmlns:mc="http://schemas.openxmlformats.org/markup-compatibility/2006">
      <mc:Choice Requires="x14">
        <oleObject progId="Equation.3" shapeId="4015" r:id="rId2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5" r:id="rId23"/>
      </mc:Fallback>
    </mc:AlternateContent>
    <mc:AlternateContent xmlns:mc="http://schemas.openxmlformats.org/markup-compatibility/2006">
      <mc:Choice Requires="x14">
        <oleObject progId="Equation.3" shapeId="4016" r:id="rId2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6" r:id="rId24"/>
      </mc:Fallback>
    </mc:AlternateContent>
    <mc:AlternateContent xmlns:mc="http://schemas.openxmlformats.org/markup-compatibility/2006">
      <mc:Choice Requires="x14">
        <oleObject progId="Equation.3" shapeId="4017" r:id="rId2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7" r:id="rId25"/>
      </mc:Fallback>
    </mc:AlternateContent>
    <mc:AlternateContent xmlns:mc="http://schemas.openxmlformats.org/markup-compatibility/2006">
      <mc:Choice Requires="x14">
        <oleObject progId="Equation.3" shapeId="4018" r:id="rId26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18" r:id="rId26"/>
      </mc:Fallback>
    </mc:AlternateContent>
    <mc:AlternateContent xmlns:mc="http://schemas.openxmlformats.org/markup-compatibility/2006">
      <mc:Choice Requires="x14">
        <oleObject progId="Equation.3" shapeId="4019" r:id="rId2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19" r:id="rId27"/>
      </mc:Fallback>
    </mc:AlternateContent>
    <mc:AlternateContent xmlns:mc="http://schemas.openxmlformats.org/markup-compatibility/2006">
      <mc:Choice Requires="x14">
        <oleObject progId="Equation.3" shapeId="4020" r:id="rId2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0" r:id="rId28"/>
      </mc:Fallback>
    </mc:AlternateContent>
    <mc:AlternateContent xmlns:mc="http://schemas.openxmlformats.org/markup-compatibility/2006">
      <mc:Choice Requires="x14">
        <oleObject progId="Equation.3" shapeId="4021" r:id="rId2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1" r:id="rId29"/>
      </mc:Fallback>
    </mc:AlternateContent>
    <mc:AlternateContent xmlns:mc="http://schemas.openxmlformats.org/markup-compatibility/2006">
      <mc:Choice Requires="x14">
        <oleObject progId="Equation.3" shapeId="4022" r:id="rId3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2" r:id="rId30"/>
      </mc:Fallback>
    </mc:AlternateContent>
    <mc:AlternateContent xmlns:mc="http://schemas.openxmlformats.org/markup-compatibility/2006">
      <mc:Choice Requires="x14">
        <oleObject progId="Equation.3" shapeId="4023" r:id="rId3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3" r:id="rId31"/>
      </mc:Fallback>
    </mc:AlternateContent>
    <mc:AlternateContent xmlns:mc="http://schemas.openxmlformats.org/markup-compatibility/2006">
      <mc:Choice Requires="x14">
        <oleObject progId="Equation.3" shapeId="4024" r:id="rId3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4" r:id="rId32"/>
      </mc:Fallback>
    </mc:AlternateContent>
    <mc:AlternateContent xmlns:mc="http://schemas.openxmlformats.org/markup-compatibility/2006">
      <mc:Choice Requires="x14">
        <oleObject progId="Equation.3" shapeId="4025" r:id="rId3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5" r:id="rId33"/>
      </mc:Fallback>
    </mc:AlternateContent>
    <mc:AlternateContent xmlns:mc="http://schemas.openxmlformats.org/markup-compatibility/2006">
      <mc:Choice Requires="x14">
        <oleObject progId="Equation.3" shapeId="4026" r:id="rId3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6" r:id="rId34"/>
      </mc:Fallback>
    </mc:AlternateContent>
    <mc:AlternateContent xmlns:mc="http://schemas.openxmlformats.org/markup-compatibility/2006">
      <mc:Choice Requires="x14">
        <oleObject progId="Equation.3" shapeId="4027" r:id="rId3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7" r:id="rId35"/>
      </mc:Fallback>
    </mc:AlternateContent>
    <mc:AlternateContent xmlns:mc="http://schemas.openxmlformats.org/markup-compatibility/2006">
      <mc:Choice Requires="x14">
        <oleObject progId="Equation.3" shapeId="4028" r:id="rId3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28" r:id="rId36"/>
      </mc:Fallback>
    </mc:AlternateContent>
    <mc:AlternateContent xmlns:mc="http://schemas.openxmlformats.org/markup-compatibility/2006">
      <mc:Choice Requires="x14">
        <oleObject progId="Equation.3" shapeId="4029" r:id="rId37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29" r:id="rId37"/>
      </mc:Fallback>
    </mc:AlternateContent>
    <mc:AlternateContent xmlns:mc="http://schemas.openxmlformats.org/markup-compatibility/2006">
      <mc:Choice Requires="x14">
        <oleObject progId="Equation.3" shapeId="4030" r:id="rId3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0" r:id="rId38"/>
      </mc:Fallback>
    </mc:AlternateContent>
    <mc:AlternateContent xmlns:mc="http://schemas.openxmlformats.org/markup-compatibility/2006">
      <mc:Choice Requires="x14">
        <oleObject progId="Equation.3" shapeId="4031" r:id="rId3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1" r:id="rId39"/>
      </mc:Fallback>
    </mc:AlternateContent>
    <mc:AlternateContent xmlns:mc="http://schemas.openxmlformats.org/markup-compatibility/2006">
      <mc:Choice Requires="x14">
        <oleObject progId="Equation.3" shapeId="4032" r:id="rId4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2" r:id="rId40"/>
      </mc:Fallback>
    </mc:AlternateContent>
    <mc:AlternateContent xmlns:mc="http://schemas.openxmlformats.org/markup-compatibility/2006">
      <mc:Choice Requires="x14">
        <oleObject progId="Equation.3" shapeId="4033" r:id="rId4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3" r:id="rId41"/>
      </mc:Fallback>
    </mc:AlternateContent>
    <mc:AlternateContent xmlns:mc="http://schemas.openxmlformats.org/markup-compatibility/2006">
      <mc:Choice Requires="x14">
        <oleObject progId="Equation.3" shapeId="4034" r:id="rId4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4" r:id="rId42"/>
      </mc:Fallback>
    </mc:AlternateContent>
    <mc:AlternateContent xmlns:mc="http://schemas.openxmlformats.org/markup-compatibility/2006">
      <mc:Choice Requires="x14">
        <oleObject progId="Equation.3" shapeId="4035" r:id="rId4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5" r:id="rId43"/>
      </mc:Fallback>
    </mc:AlternateContent>
    <mc:AlternateContent xmlns:mc="http://schemas.openxmlformats.org/markup-compatibility/2006">
      <mc:Choice Requires="x14">
        <oleObject progId="Equation.3" shapeId="4036" r:id="rId4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6" r:id="rId44"/>
      </mc:Fallback>
    </mc:AlternateContent>
    <mc:AlternateContent xmlns:mc="http://schemas.openxmlformats.org/markup-compatibility/2006">
      <mc:Choice Requires="x14">
        <oleObject progId="Equation.3" shapeId="4037" r:id="rId4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7" r:id="rId45"/>
      </mc:Fallback>
    </mc:AlternateContent>
    <mc:AlternateContent xmlns:mc="http://schemas.openxmlformats.org/markup-compatibility/2006">
      <mc:Choice Requires="x14">
        <oleObject progId="Equation.3" shapeId="4038" r:id="rId4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8" r:id="rId46"/>
      </mc:Fallback>
    </mc:AlternateContent>
    <mc:AlternateContent xmlns:mc="http://schemas.openxmlformats.org/markup-compatibility/2006">
      <mc:Choice Requires="x14">
        <oleObject progId="Equation.3" shapeId="4039" r:id="rId4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39" r:id="rId47"/>
      </mc:Fallback>
    </mc:AlternateContent>
    <mc:AlternateContent xmlns:mc="http://schemas.openxmlformats.org/markup-compatibility/2006">
      <mc:Choice Requires="x14">
        <oleObject progId="Equation.3" shapeId="4040" r:id="rId48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40" r:id="rId48"/>
      </mc:Fallback>
    </mc:AlternateContent>
    <mc:AlternateContent xmlns:mc="http://schemas.openxmlformats.org/markup-compatibility/2006">
      <mc:Choice Requires="x14">
        <oleObject progId="Equation.3" shapeId="4041" r:id="rId4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1" r:id="rId49"/>
      </mc:Fallback>
    </mc:AlternateContent>
    <mc:AlternateContent xmlns:mc="http://schemas.openxmlformats.org/markup-compatibility/2006">
      <mc:Choice Requires="x14">
        <oleObject progId="Equation.3" shapeId="4042" r:id="rId5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2" r:id="rId50"/>
      </mc:Fallback>
    </mc:AlternateContent>
    <mc:AlternateContent xmlns:mc="http://schemas.openxmlformats.org/markup-compatibility/2006">
      <mc:Choice Requires="x14">
        <oleObject progId="Equation.3" shapeId="4043" r:id="rId5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3" r:id="rId51"/>
      </mc:Fallback>
    </mc:AlternateContent>
    <mc:AlternateContent xmlns:mc="http://schemas.openxmlformats.org/markup-compatibility/2006">
      <mc:Choice Requires="x14">
        <oleObject progId="Equation.3" shapeId="4044" r:id="rId5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4" r:id="rId52"/>
      </mc:Fallback>
    </mc:AlternateContent>
    <mc:AlternateContent xmlns:mc="http://schemas.openxmlformats.org/markup-compatibility/2006">
      <mc:Choice Requires="x14">
        <oleObject progId="Equation.3" shapeId="4045" r:id="rId5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5" r:id="rId53"/>
      </mc:Fallback>
    </mc:AlternateContent>
    <mc:AlternateContent xmlns:mc="http://schemas.openxmlformats.org/markup-compatibility/2006">
      <mc:Choice Requires="x14">
        <oleObject progId="Equation.3" shapeId="4046" r:id="rId5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6" r:id="rId54"/>
      </mc:Fallback>
    </mc:AlternateContent>
    <mc:AlternateContent xmlns:mc="http://schemas.openxmlformats.org/markup-compatibility/2006">
      <mc:Choice Requires="x14">
        <oleObject progId="Equation.3" shapeId="4047" r:id="rId5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7" r:id="rId55"/>
      </mc:Fallback>
    </mc:AlternateContent>
    <mc:AlternateContent xmlns:mc="http://schemas.openxmlformats.org/markup-compatibility/2006">
      <mc:Choice Requires="x14">
        <oleObject progId="Equation.3" shapeId="4048" r:id="rId5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8" r:id="rId56"/>
      </mc:Fallback>
    </mc:AlternateContent>
    <mc:AlternateContent xmlns:mc="http://schemas.openxmlformats.org/markup-compatibility/2006">
      <mc:Choice Requires="x14">
        <oleObject progId="Equation.3" shapeId="4049" r:id="rId5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49" r:id="rId57"/>
      </mc:Fallback>
    </mc:AlternateContent>
    <mc:AlternateContent xmlns:mc="http://schemas.openxmlformats.org/markup-compatibility/2006">
      <mc:Choice Requires="x14">
        <oleObject progId="Equation.3" shapeId="4050" r:id="rId5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0" r:id="rId58"/>
      </mc:Fallback>
    </mc:AlternateContent>
    <mc:AlternateContent xmlns:mc="http://schemas.openxmlformats.org/markup-compatibility/2006">
      <mc:Choice Requires="x14">
        <oleObject progId="Equation.3" shapeId="4051" r:id="rId59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51" r:id="rId59"/>
      </mc:Fallback>
    </mc:AlternateContent>
    <mc:AlternateContent xmlns:mc="http://schemas.openxmlformats.org/markup-compatibility/2006">
      <mc:Choice Requires="x14">
        <oleObject progId="Equation.3" shapeId="4052" r:id="rId6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2" r:id="rId60"/>
      </mc:Fallback>
    </mc:AlternateContent>
    <mc:AlternateContent xmlns:mc="http://schemas.openxmlformats.org/markup-compatibility/2006">
      <mc:Choice Requires="x14">
        <oleObject progId="Equation.3" shapeId="4053" r:id="rId6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3" r:id="rId61"/>
      </mc:Fallback>
    </mc:AlternateContent>
    <mc:AlternateContent xmlns:mc="http://schemas.openxmlformats.org/markup-compatibility/2006">
      <mc:Choice Requires="x14">
        <oleObject progId="Equation.3" shapeId="4054" r:id="rId6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4" r:id="rId62"/>
      </mc:Fallback>
    </mc:AlternateContent>
    <mc:AlternateContent xmlns:mc="http://schemas.openxmlformats.org/markup-compatibility/2006">
      <mc:Choice Requires="x14">
        <oleObject progId="Equation.3" shapeId="4055" r:id="rId6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5" r:id="rId63"/>
      </mc:Fallback>
    </mc:AlternateContent>
    <mc:AlternateContent xmlns:mc="http://schemas.openxmlformats.org/markup-compatibility/2006">
      <mc:Choice Requires="x14">
        <oleObject progId="Equation.3" shapeId="4056" r:id="rId6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6" r:id="rId64"/>
      </mc:Fallback>
    </mc:AlternateContent>
    <mc:AlternateContent xmlns:mc="http://schemas.openxmlformats.org/markup-compatibility/2006">
      <mc:Choice Requires="x14">
        <oleObject progId="Equation.3" shapeId="4057" r:id="rId6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7" r:id="rId65"/>
      </mc:Fallback>
    </mc:AlternateContent>
    <mc:AlternateContent xmlns:mc="http://schemas.openxmlformats.org/markup-compatibility/2006">
      <mc:Choice Requires="x14">
        <oleObject progId="Equation.3" shapeId="4058" r:id="rId6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8" r:id="rId66"/>
      </mc:Fallback>
    </mc:AlternateContent>
    <mc:AlternateContent xmlns:mc="http://schemas.openxmlformats.org/markup-compatibility/2006">
      <mc:Choice Requires="x14">
        <oleObject progId="Equation.3" shapeId="4059" r:id="rId6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59" r:id="rId67"/>
      </mc:Fallback>
    </mc:AlternateContent>
    <mc:AlternateContent xmlns:mc="http://schemas.openxmlformats.org/markup-compatibility/2006">
      <mc:Choice Requires="x14">
        <oleObject progId="Equation.3" shapeId="4060" r:id="rId6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0" r:id="rId68"/>
      </mc:Fallback>
    </mc:AlternateContent>
    <mc:AlternateContent xmlns:mc="http://schemas.openxmlformats.org/markup-compatibility/2006">
      <mc:Choice Requires="x14">
        <oleObject progId="Equation.3" shapeId="4061" r:id="rId6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1" r:id="rId69"/>
      </mc:Fallback>
    </mc:AlternateContent>
    <mc:AlternateContent xmlns:mc="http://schemas.openxmlformats.org/markup-compatibility/2006">
      <mc:Choice Requires="x14">
        <oleObject progId="Equation.3" shapeId="4062" r:id="rId70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62" r:id="rId70"/>
      </mc:Fallback>
    </mc:AlternateContent>
    <mc:AlternateContent xmlns:mc="http://schemas.openxmlformats.org/markup-compatibility/2006">
      <mc:Choice Requires="x14">
        <oleObject progId="Equation.3" shapeId="4063" r:id="rId7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3" r:id="rId71"/>
      </mc:Fallback>
    </mc:AlternateContent>
    <mc:AlternateContent xmlns:mc="http://schemas.openxmlformats.org/markup-compatibility/2006">
      <mc:Choice Requires="x14">
        <oleObject progId="Equation.3" shapeId="4064" r:id="rId7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4" r:id="rId72"/>
      </mc:Fallback>
    </mc:AlternateContent>
    <mc:AlternateContent xmlns:mc="http://schemas.openxmlformats.org/markup-compatibility/2006">
      <mc:Choice Requires="x14">
        <oleObject progId="Equation.3" shapeId="4065" r:id="rId7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5" r:id="rId73"/>
      </mc:Fallback>
    </mc:AlternateContent>
    <mc:AlternateContent xmlns:mc="http://schemas.openxmlformats.org/markup-compatibility/2006">
      <mc:Choice Requires="x14">
        <oleObject progId="Equation.3" shapeId="4066" r:id="rId7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6" r:id="rId74"/>
      </mc:Fallback>
    </mc:AlternateContent>
    <mc:AlternateContent xmlns:mc="http://schemas.openxmlformats.org/markup-compatibility/2006">
      <mc:Choice Requires="x14">
        <oleObject progId="Equation.3" shapeId="4067" r:id="rId7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7" r:id="rId75"/>
      </mc:Fallback>
    </mc:AlternateContent>
    <mc:AlternateContent xmlns:mc="http://schemas.openxmlformats.org/markup-compatibility/2006">
      <mc:Choice Requires="x14">
        <oleObject progId="Equation.3" shapeId="4068" r:id="rId7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8" r:id="rId76"/>
      </mc:Fallback>
    </mc:AlternateContent>
    <mc:AlternateContent xmlns:mc="http://schemas.openxmlformats.org/markup-compatibility/2006">
      <mc:Choice Requires="x14">
        <oleObject progId="Equation.3" shapeId="4069" r:id="rId7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69" r:id="rId77"/>
      </mc:Fallback>
    </mc:AlternateContent>
    <mc:AlternateContent xmlns:mc="http://schemas.openxmlformats.org/markup-compatibility/2006">
      <mc:Choice Requires="x14">
        <oleObject progId="Equation.3" shapeId="4070" r:id="rId7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0" r:id="rId78"/>
      </mc:Fallback>
    </mc:AlternateContent>
    <mc:AlternateContent xmlns:mc="http://schemas.openxmlformats.org/markup-compatibility/2006">
      <mc:Choice Requires="x14">
        <oleObject progId="Equation.3" shapeId="4071" r:id="rId7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1" r:id="rId79"/>
      </mc:Fallback>
    </mc:AlternateContent>
    <mc:AlternateContent xmlns:mc="http://schemas.openxmlformats.org/markup-compatibility/2006">
      <mc:Choice Requires="x14">
        <oleObject progId="Equation.3" shapeId="4072" r:id="rId8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2" r:id="rId80"/>
      </mc:Fallback>
    </mc:AlternateContent>
    <mc:AlternateContent xmlns:mc="http://schemas.openxmlformats.org/markup-compatibility/2006">
      <mc:Choice Requires="x14">
        <oleObject progId="Equation.3" shapeId="4073" r:id="rId81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73" r:id="rId81"/>
      </mc:Fallback>
    </mc:AlternateContent>
    <mc:AlternateContent xmlns:mc="http://schemas.openxmlformats.org/markup-compatibility/2006">
      <mc:Choice Requires="x14">
        <oleObject progId="Equation.3" shapeId="4074" r:id="rId8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4" r:id="rId82"/>
      </mc:Fallback>
    </mc:AlternateContent>
    <mc:AlternateContent xmlns:mc="http://schemas.openxmlformats.org/markup-compatibility/2006">
      <mc:Choice Requires="x14">
        <oleObject progId="Equation.3" shapeId="4075" r:id="rId8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5" r:id="rId83"/>
      </mc:Fallback>
    </mc:AlternateContent>
    <mc:AlternateContent xmlns:mc="http://schemas.openxmlformats.org/markup-compatibility/2006">
      <mc:Choice Requires="x14">
        <oleObject progId="Equation.3" shapeId="4076" r:id="rId8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6" r:id="rId84"/>
      </mc:Fallback>
    </mc:AlternateContent>
    <mc:AlternateContent xmlns:mc="http://schemas.openxmlformats.org/markup-compatibility/2006">
      <mc:Choice Requires="x14">
        <oleObject progId="Equation.3" shapeId="4077" r:id="rId8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7" r:id="rId85"/>
      </mc:Fallback>
    </mc:AlternateContent>
    <mc:AlternateContent xmlns:mc="http://schemas.openxmlformats.org/markup-compatibility/2006">
      <mc:Choice Requires="x14">
        <oleObject progId="Equation.3" shapeId="4078" r:id="rId8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8" r:id="rId86"/>
      </mc:Fallback>
    </mc:AlternateContent>
    <mc:AlternateContent xmlns:mc="http://schemas.openxmlformats.org/markup-compatibility/2006">
      <mc:Choice Requires="x14">
        <oleObject progId="Equation.3" shapeId="4079" r:id="rId8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79" r:id="rId87"/>
      </mc:Fallback>
    </mc:AlternateContent>
    <mc:AlternateContent xmlns:mc="http://schemas.openxmlformats.org/markup-compatibility/2006">
      <mc:Choice Requires="x14">
        <oleObject progId="Equation.3" shapeId="4080" r:id="rId8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0" r:id="rId88"/>
      </mc:Fallback>
    </mc:AlternateContent>
    <mc:AlternateContent xmlns:mc="http://schemas.openxmlformats.org/markup-compatibility/2006">
      <mc:Choice Requires="x14">
        <oleObject progId="Equation.3" shapeId="4081" r:id="rId8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1" r:id="rId89"/>
      </mc:Fallback>
    </mc:AlternateContent>
    <mc:AlternateContent xmlns:mc="http://schemas.openxmlformats.org/markup-compatibility/2006">
      <mc:Choice Requires="x14">
        <oleObject progId="Equation.3" shapeId="4082" r:id="rId9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2" r:id="rId90"/>
      </mc:Fallback>
    </mc:AlternateContent>
    <mc:AlternateContent xmlns:mc="http://schemas.openxmlformats.org/markup-compatibility/2006">
      <mc:Choice Requires="x14">
        <oleObject progId="Equation.3" shapeId="4083" r:id="rId9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3" r:id="rId91"/>
      </mc:Fallback>
    </mc:AlternateContent>
    <mc:AlternateContent xmlns:mc="http://schemas.openxmlformats.org/markup-compatibility/2006">
      <mc:Choice Requires="x14">
        <oleObject progId="Equation.3" shapeId="4084" r:id="rId92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84" r:id="rId92"/>
      </mc:Fallback>
    </mc:AlternateContent>
    <mc:AlternateContent xmlns:mc="http://schemas.openxmlformats.org/markup-compatibility/2006">
      <mc:Choice Requires="x14">
        <oleObject progId="Equation.3" shapeId="4085" r:id="rId9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5" r:id="rId93"/>
      </mc:Fallback>
    </mc:AlternateContent>
    <mc:AlternateContent xmlns:mc="http://schemas.openxmlformats.org/markup-compatibility/2006">
      <mc:Choice Requires="x14">
        <oleObject progId="Equation.3" shapeId="4086" r:id="rId9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6" r:id="rId94"/>
      </mc:Fallback>
    </mc:AlternateContent>
    <mc:AlternateContent xmlns:mc="http://schemas.openxmlformats.org/markup-compatibility/2006">
      <mc:Choice Requires="x14">
        <oleObject progId="Equation.3" shapeId="4087" r:id="rId9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7" r:id="rId95"/>
      </mc:Fallback>
    </mc:AlternateContent>
    <mc:AlternateContent xmlns:mc="http://schemas.openxmlformats.org/markup-compatibility/2006">
      <mc:Choice Requires="x14">
        <oleObject progId="Equation.3" shapeId="4088" r:id="rId9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8" r:id="rId96"/>
      </mc:Fallback>
    </mc:AlternateContent>
    <mc:AlternateContent xmlns:mc="http://schemas.openxmlformats.org/markup-compatibility/2006">
      <mc:Choice Requires="x14">
        <oleObject progId="Equation.3" shapeId="4089" r:id="rId9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89" r:id="rId97"/>
      </mc:Fallback>
    </mc:AlternateContent>
    <mc:AlternateContent xmlns:mc="http://schemas.openxmlformats.org/markup-compatibility/2006">
      <mc:Choice Requires="x14">
        <oleObject progId="Equation.3" shapeId="4090" r:id="rId9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90" r:id="rId98"/>
      </mc:Fallback>
    </mc:AlternateContent>
    <mc:AlternateContent xmlns:mc="http://schemas.openxmlformats.org/markup-compatibility/2006">
      <mc:Choice Requires="x14">
        <oleObject progId="Equation.3" shapeId="4091" r:id="rId9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91" r:id="rId99"/>
      </mc:Fallback>
    </mc:AlternateContent>
    <mc:AlternateContent xmlns:mc="http://schemas.openxmlformats.org/markup-compatibility/2006">
      <mc:Choice Requires="x14">
        <oleObject progId="Equation.3" shapeId="4092" r:id="rId10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92" r:id="rId100"/>
      </mc:Fallback>
    </mc:AlternateContent>
    <mc:AlternateContent xmlns:mc="http://schemas.openxmlformats.org/markup-compatibility/2006">
      <mc:Choice Requires="x14">
        <oleObject progId="Equation.3" shapeId="4093" r:id="rId10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93" r:id="rId101"/>
      </mc:Fallback>
    </mc:AlternateContent>
    <mc:AlternateContent xmlns:mc="http://schemas.openxmlformats.org/markup-compatibility/2006">
      <mc:Choice Requires="x14">
        <oleObject progId="Equation.3" shapeId="4094" r:id="rId10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4094" r:id="rId102"/>
      </mc:Fallback>
    </mc:AlternateContent>
    <mc:AlternateContent xmlns:mc="http://schemas.openxmlformats.org/markup-compatibility/2006">
      <mc:Choice Requires="x14">
        <oleObject progId="Equation.3" shapeId="4095" r:id="rId103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4095" r:id="rId103"/>
      </mc:Fallback>
    </mc:AlternateContent>
    <mc:AlternateContent xmlns:mc="http://schemas.openxmlformats.org/markup-compatibility/2006">
      <mc:Choice Requires="x14">
        <oleObject progId="Equation.3" shapeId="11264" r:id="rId10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64" r:id="rId104"/>
      </mc:Fallback>
    </mc:AlternateContent>
    <mc:AlternateContent xmlns:mc="http://schemas.openxmlformats.org/markup-compatibility/2006">
      <mc:Choice Requires="x14">
        <oleObject progId="Equation.3" shapeId="11265" r:id="rId10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65" r:id="rId105"/>
      </mc:Fallback>
    </mc:AlternateContent>
    <mc:AlternateContent xmlns:mc="http://schemas.openxmlformats.org/markup-compatibility/2006">
      <mc:Choice Requires="x14">
        <oleObject progId="Equation.3" shapeId="11266" r:id="rId10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66" r:id="rId106"/>
      </mc:Fallback>
    </mc:AlternateContent>
    <mc:AlternateContent xmlns:mc="http://schemas.openxmlformats.org/markup-compatibility/2006">
      <mc:Choice Requires="x14">
        <oleObject progId="Equation.3" shapeId="11267" r:id="rId10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67" r:id="rId107"/>
      </mc:Fallback>
    </mc:AlternateContent>
    <mc:AlternateContent xmlns:mc="http://schemas.openxmlformats.org/markup-compatibility/2006">
      <mc:Choice Requires="x14">
        <oleObject progId="Equation.3" shapeId="11268" r:id="rId10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68" r:id="rId108"/>
      </mc:Fallback>
    </mc:AlternateContent>
    <mc:AlternateContent xmlns:mc="http://schemas.openxmlformats.org/markup-compatibility/2006">
      <mc:Choice Requires="x14">
        <oleObject progId="Equation.3" shapeId="11269" r:id="rId10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69" r:id="rId109"/>
      </mc:Fallback>
    </mc:AlternateContent>
    <mc:AlternateContent xmlns:mc="http://schemas.openxmlformats.org/markup-compatibility/2006">
      <mc:Choice Requires="x14">
        <oleObject progId="Equation.3" shapeId="11270" r:id="rId11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0" r:id="rId110"/>
      </mc:Fallback>
    </mc:AlternateContent>
    <mc:AlternateContent xmlns:mc="http://schemas.openxmlformats.org/markup-compatibility/2006">
      <mc:Choice Requires="x14">
        <oleObject progId="Equation.3" shapeId="11271" r:id="rId11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1" r:id="rId111"/>
      </mc:Fallback>
    </mc:AlternateContent>
    <mc:AlternateContent xmlns:mc="http://schemas.openxmlformats.org/markup-compatibility/2006">
      <mc:Choice Requires="x14">
        <oleObject progId="Equation.3" shapeId="11272" r:id="rId11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2" r:id="rId112"/>
      </mc:Fallback>
    </mc:AlternateContent>
    <mc:AlternateContent xmlns:mc="http://schemas.openxmlformats.org/markup-compatibility/2006">
      <mc:Choice Requires="x14">
        <oleObject progId="Equation.3" shapeId="11273" r:id="rId11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3" r:id="rId113"/>
      </mc:Fallback>
    </mc:AlternateContent>
    <mc:AlternateContent xmlns:mc="http://schemas.openxmlformats.org/markup-compatibility/2006">
      <mc:Choice Requires="x14">
        <oleObject progId="Equation.3" shapeId="11274" r:id="rId114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274" r:id="rId114"/>
      </mc:Fallback>
    </mc:AlternateContent>
    <mc:AlternateContent xmlns:mc="http://schemas.openxmlformats.org/markup-compatibility/2006">
      <mc:Choice Requires="x14">
        <oleObject progId="Equation.3" shapeId="11275" r:id="rId11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5" r:id="rId115"/>
      </mc:Fallback>
    </mc:AlternateContent>
    <mc:AlternateContent xmlns:mc="http://schemas.openxmlformats.org/markup-compatibility/2006">
      <mc:Choice Requires="x14">
        <oleObject progId="Equation.3" shapeId="11276" r:id="rId11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6" r:id="rId116"/>
      </mc:Fallback>
    </mc:AlternateContent>
    <mc:AlternateContent xmlns:mc="http://schemas.openxmlformats.org/markup-compatibility/2006">
      <mc:Choice Requires="x14">
        <oleObject progId="Equation.3" shapeId="11277" r:id="rId11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7" r:id="rId117"/>
      </mc:Fallback>
    </mc:AlternateContent>
    <mc:AlternateContent xmlns:mc="http://schemas.openxmlformats.org/markup-compatibility/2006">
      <mc:Choice Requires="x14">
        <oleObject progId="Equation.3" shapeId="11278" r:id="rId11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8" r:id="rId118"/>
      </mc:Fallback>
    </mc:AlternateContent>
    <mc:AlternateContent xmlns:mc="http://schemas.openxmlformats.org/markup-compatibility/2006">
      <mc:Choice Requires="x14">
        <oleObject progId="Equation.3" shapeId="11279" r:id="rId11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79" r:id="rId119"/>
      </mc:Fallback>
    </mc:AlternateContent>
    <mc:AlternateContent xmlns:mc="http://schemas.openxmlformats.org/markup-compatibility/2006">
      <mc:Choice Requires="x14">
        <oleObject progId="Equation.3" shapeId="11280" r:id="rId12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0" r:id="rId120"/>
      </mc:Fallback>
    </mc:AlternateContent>
    <mc:AlternateContent xmlns:mc="http://schemas.openxmlformats.org/markup-compatibility/2006">
      <mc:Choice Requires="x14">
        <oleObject progId="Equation.3" shapeId="11281" r:id="rId12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1" r:id="rId121"/>
      </mc:Fallback>
    </mc:AlternateContent>
    <mc:AlternateContent xmlns:mc="http://schemas.openxmlformats.org/markup-compatibility/2006">
      <mc:Choice Requires="x14">
        <oleObject progId="Equation.3" shapeId="11282" r:id="rId12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2" r:id="rId122"/>
      </mc:Fallback>
    </mc:AlternateContent>
    <mc:AlternateContent xmlns:mc="http://schemas.openxmlformats.org/markup-compatibility/2006">
      <mc:Choice Requires="x14">
        <oleObject progId="Equation.3" shapeId="11283" r:id="rId12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3" r:id="rId123"/>
      </mc:Fallback>
    </mc:AlternateContent>
    <mc:AlternateContent xmlns:mc="http://schemas.openxmlformats.org/markup-compatibility/2006">
      <mc:Choice Requires="x14">
        <oleObject progId="Equation.3" shapeId="11284" r:id="rId12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4" r:id="rId124"/>
      </mc:Fallback>
    </mc:AlternateContent>
    <mc:AlternateContent xmlns:mc="http://schemas.openxmlformats.org/markup-compatibility/2006">
      <mc:Choice Requires="x14">
        <oleObject progId="Equation.3" shapeId="11285" r:id="rId125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285" r:id="rId125"/>
      </mc:Fallback>
    </mc:AlternateContent>
    <mc:AlternateContent xmlns:mc="http://schemas.openxmlformats.org/markup-compatibility/2006">
      <mc:Choice Requires="x14">
        <oleObject progId="Equation.3" shapeId="11286" r:id="rId12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6" r:id="rId126"/>
      </mc:Fallback>
    </mc:AlternateContent>
    <mc:AlternateContent xmlns:mc="http://schemas.openxmlformats.org/markup-compatibility/2006">
      <mc:Choice Requires="x14">
        <oleObject progId="Equation.3" shapeId="11287" r:id="rId12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7" r:id="rId127"/>
      </mc:Fallback>
    </mc:AlternateContent>
    <mc:AlternateContent xmlns:mc="http://schemas.openxmlformats.org/markup-compatibility/2006">
      <mc:Choice Requires="x14">
        <oleObject progId="Equation.3" shapeId="11288" r:id="rId12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8" r:id="rId128"/>
      </mc:Fallback>
    </mc:AlternateContent>
    <mc:AlternateContent xmlns:mc="http://schemas.openxmlformats.org/markup-compatibility/2006">
      <mc:Choice Requires="x14">
        <oleObject progId="Equation.3" shapeId="11289" r:id="rId12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89" r:id="rId129"/>
      </mc:Fallback>
    </mc:AlternateContent>
    <mc:AlternateContent xmlns:mc="http://schemas.openxmlformats.org/markup-compatibility/2006">
      <mc:Choice Requires="x14">
        <oleObject progId="Equation.3" shapeId="11290" r:id="rId13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0" r:id="rId130"/>
      </mc:Fallback>
    </mc:AlternateContent>
    <mc:AlternateContent xmlns:mc="http://schemas.openxmlformats.org/markup-compatibility/2006">
      <mc:Choice Requires="x14">
        <oleObject progId="Equation.3" shapeId="11291" r:id="rId13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1" r:id="rId131"/>
      </mc:Fallback>
    </mc:AlternateContent>
    <mc:AlternateContent xmlns:mc="http://schemas.openxmlformats.org/markup-compatibility/2006">
      <mc:Choice Requires="x14">
        <oleObject progId="Equation.3" shapeId="11292" r:id="rId13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2" r:id="rId132"/>
      </mc:Fallback>
    </mc:AlternateContent>
    <mc:AlternateContent xmlns:mc="http://schemas.openxmlformats.org/markup-compatibility/2006">
      <mc:Choice Requires="x14">
        <oleObject progId="Equation.3" shapeId="11293" r:id="rId13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3" r:id="rId133"/>
      </mc:Fallback>
    </mc:AlternateContent>
    <mc:AlternateContent xmlns:mc="http://schemas.openxmlformats.org/markup-compatibility/2006">
      <mc:Choice Requires="x14">
        <oleObject progId="Equation.3" shapeId="11294" r:id="rId13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4" r:id="rId134"/>
      </mc:Fallback>
    </mc:AlternateContent>
    <mc:AlternateContent xmlns:mc="http://schemas.openxmlformats.org/markup-compatibility/2006">
      <mc:Choice Requires="x14">
        <oleObject progId="Equation.3" shapeId="11295" r:id="rId13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5" r:id="rId135"/>
      </mc:Fallback>
    </mc:AlternateContent>
    <mc:AlternateContent xmlns:mc="http://schemas.openxmlformats.org/markup-compatibility/2006">
      <mc:Choice Requires="x14">
        <oleObject progId="Equation.3" shapeId="11296" r:id="rId136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296" r:id="rId136"/>
      </mc:Fallback>
    </mc:AlternateContent>
    <mc:AlternateContent xmlns:mc="http://schemas.openxmlformats.org/markup-compatibility/2006">
      <mc:Choice Requires="x14">
        <oleObject progId="Equation.3" shapeId="11297" r:id="rId13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7" r:id="rId137"/>
      </mc:Fallback>
    </mc:AlternateContent>
    <mc:AlternateContent xmlns:mc="http://schemas.openxmlformats.org/markup-compatibility/2006">
      <mc:Choice Requires="x14">
        <oleObject progId="Equation.3" shapeId="11298" r:id="rId13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8" r:id="rId138"/>
      </mc:Fallback>
    </mc:AlternateContent>
    <mc:AlternateContent xmlns:mc="http://schemas.openxmlformats.org/markup-compatibility/2006">
      <mc:Choice Requires="x14">
        <oleObject progId="Equation.3" shapeId="11299" r:id="rId13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299" r:id="rId139"/>
      </mc:Fallback>
    </mc:AlternateContent>
    <mc:AlternateContent xmlns:mc="http://schemas.openxmlformats.org/markup-compatibility/2006">
      <mc:Choice Requires="x14">
        <oleObject progId="Equation.3" shapeId="11300" r:id="rId14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0" r:id="rId140"/>
      </mc:Fallback>
    </mc:AlternateContent>
    <mc:AlternateContent xmlns:mc="http://schemas.openxmlformats.org/markup-compatibility/2006">
      <mc:Choice Requires="x14">
        <oleObject progId="Equation.3" shapeId="11301" r:id="rId14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1" r:id="rId141"/>
      </mc:Fallback>
    </mc:AlternateContent>
    <mc:AlternateContent xmlns:mc="http://schemas.openxmlformats.org/markup-compatibility/2006">
      <mc:Choice Requires="x14">
        <oleObject progId="Equation.3" shapeId="11302" r:id="rId14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2" r:id="rId142"/>
      </mc:Fallback>
    </mc:AlternateContent>
    <mc:AlternateContent xmlns:mc="http://schemas.openxmlformats.org/markup-compatibility/2006">
      <mc:Choice Requires="x14">
        <oleObject progId="Equation.3" shapeId="11303" r:id="rId14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3" r:id="rId143"/>
      </mc:Fallback>
    </mc:AlternateContent>
    <mc:AlternateContent xmlns:mc="http://schemas.openxmlformats.org/markup-compatibility/2006">
      <mc:Choice Requires="x14">
        <oleObject progId="Equation.3" shapeId="11304" r:id="rId14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4" r:id="rId144"/>
      </mc:Fallback>
    </mc:AlternateContent>
    <mc:AlternateContent xmlns:mc="http://schemas.openxmlformats.org/markup-compatibility/2006">
      <mc:Choice Requires="x14">
        <oleObject progId="Equation.3" shapeId="11305" r:id="rId14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5" r:id="rId145"/>
      </mc:Fallback>
    </mc:AlternateContent>
    <mc:AlternateContent xmlns:mc="http://schemas.openxmlformats.org/markup-compatibility/2006">
      <mc:Choice Requires="x14">
        <oleObject progId="Equation.3" shapeId="11306" r:id="rId14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6" r:id="rId146"/>
      </mc:Fallback>
    </mc:AlternateContent>
    <mc:AlternateContent xmlns:mc="http://schemas.openxmlformats.org/markup-compatibility/2006">
      <mc:Choice Requires="x14">
        <oleObject progId="Equation.3" shapeId="11307" r:id="rId147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07" r:id="rId147"/>
      </mc:Fallback>
    </mc:AlternateContent>
    <mc:AlternateContent xmlns:mc="http://schemas.openxmlformats.org/markup-compatibility/2006">
      <mc:Choice Requires="x14">
        <oleObject progId="Equation.3" shapeId="11308" r:id="rId14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8" r:id="rId148"/>
      </mc:Fallback>
    </mc:AlternateContent>
    <mc:AlternateContent xmlns:mc="http://schemas.openxmlformats.org/markup-compatibility/2006">
      <mc:Choice Requires="x14">
        <oleObject progId="Equation.3" shapeId="11309" r:id="rId14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09" r:id="rId149"/>
      </mc:Fallback>
    </mc:AlternateContent>
    <mc:AlternateContent xmlns:mc="http://schemas.openxmlformats.org/markup-compatibility/2006">
      <mc:Choice Requires="x14">
        <oleObject progId="Equation.3" shapeId="11310" r:id="rId15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0" r:id="rId150"/>
      </mc:Fallback>
    </mc:AlternateContent>
    <mc:AlternateContent xmlns:mc="http://schemas.openxmlformats.org/markup-compatibility/2006">
      <mc:Choice Requires="x14">
        <oleObject progId="Equation.3" shapeId="11311" r:id="rId15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1" r:id="rId151"/>
      </mc:Fallback>
    </mc:AlternateContent>
    <mc:AlternateContent xmlns:mc="http://schemas.openxmlformats.org/markup-compatibility/2006">
      <mc:Choice Requires="x14">
        <oleObject progId="Equation.3" shapeId="11312" r:id="rId15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2" r:id="rId152"/>
      </mc:Fallback>
    </mc:AlternateContent>
    <mc:AlternateContent xmlns:mc="http://schemas.openxmlformats.org/markup-compatibility/2006">
      <mc:Choice Requires="x14">
        <oleObject progId="Equation.3" shapeId="11313" r:id="rId15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3" r:id="rId153"/>
      </mc:Fallback>
    </mc:AlternateContent>
    <mc:AlternateContent xmlns:mc="http://schemas.openxmlformats.org/markup-compatibility/2006">
      <mc:Choice Requires="x14">
        <oleObject progId="Equation.3" shapeId="11314" r:id="rId15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4" r:id="rId154"/>
      </mc:Fallback>
    </mc:AlternateContent>
    <mc:AlternateContent xmlns:mc="http://schemas.openxmlformats.org/markup-compatibility/2006">
      <mc:Choice Requires="x14">
        <oleObject progId="Equation.3" shapeId="11315" r:id="rId15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5" r:id="rId155"/>
      </mc:Fallback>
    </mc:AlternateContent>
    <mc:AlternateContent xmlns:mc="http://schemas.openxmlformats.org/markup-compatibility/2006">
      <mc:Choice Requires="x14">
        <oleObject progId="Equation.3" shapeId="11316" r:id="rId15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6" r:id="rId156"/>
      </mc:Fallback>
    </mc:AlternateContent>
    <mc:AlternateContent xmlns:mc="http://schemas.openxmlformats.org/markup-compatibility/2006">
      <mc:Choice Requires="x14">
        <oleObject progId="Equation.3" shapeId="11317" r:id="rId15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7" r:id="rId157"/>
      </mc:Fallback>
    </mc:AlternateContent>
    <mc:AlternateContent xmlns:mc="http://schemas.openxmlformats.org/markup-compatibility/2006">
      <mc:Choice Requires="x14">
        <oleObject progId="Equation.3" shapeId="11318" r:id="rId158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18" r:id="rId158"/>
      </mc:Fallback>
    </mc:AlternateContent>
    <mc:AlternateContent xmlns:mc="http://schemas.openxmlformats.org/markup-compatibility/2006">
      <mc:Choice Requires="x14">
        <oleObject progId="Equation.3" shapeId="11319" r:id="rId15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19" r:id="rId159"/>
      </mc:Fallback>
    </mc:AlternateContent>
    <mc:AlternateContent xmlns:mc="http://schemas.openxmlformats.org/markup-compatibility/2006">
      <mc:Choice Requires="x14">
        <oleObject progId="Equation.3" shapeId="11320" r:id="rId16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0" r:id="rId160"/>
      </mc:Fallback>
    </mc:AlternateContent>
    <mc:AlternateContent xmlns:mc="http://schemas.openxmlformats.org/markup-compatibility/2006">
      <mc:Choice Requires="x14">
        <oleObject progId="Equation.3" shapeId="11321" r:id="rId16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1" r:id="rId161"/>
      </mc:Fallback>
    </mc:AlternateContent>
    <mc:AlternateContent xmlns:mc="http://schemas.openxmlformats.org/markup-compatibility/2006">
      <mc:Choice Requires="x14">
        <oleObject progId="Equation.3" shapeId="11322" r:id="rId16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2" r:id="rId162"/>
      </mc:Fallback>
    </mc:AlternateContent>
    <mc:AlternateContent xmlns:mc="http://schemas.openxmlformats.org/markup-compatibility/2006">
      <mc:Choice Requires="x14">
        <oleObject progId="Equation.3" shapeId="11323" r:id="rId16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3" r:id="rId163"/>
      </mc:Fallback>
    </mc:AlternateContent>
    <mc:AlternateContent xmlns:mc="http://schemas.openxmlformats.org/markup-compatibility/2006">
      <mc:Choice Requires="x14">
        <oleObject progId="Equation.3" shapeId="11324" r:id="rId16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4" r:id="rId164"/>
      </mc:Fallback>
    </mc:AlternateContent>
    <mc:AlternateContent xmlns:mc="http://schemas.openxmlformats.org/markup-compatibility/2006">
      <mc:Choice Requires="x14">
        <oleObject progId="Equation.3" shapeId="11325" r:id="rId16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5" r:id="rId165"/>
      </mc:Fallback>
    </mc:AlternateContent>
    <mc:AlternateContent xmlns:mc="http://schemas.openxmlformats.org/markup-compatibility/2006">
      <mc:Choice Requires="x14">
        <oleObject progId="Equation.3" shapeId="11326" r:id="rId16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6" r:id="rId166"/>
      </mc:Fallback>
    </mc:AlternateContent>
    <mc:AlternateContent xmlns:mc="http://schemas.openxmlformats.org/markup-compatibility/2006">
      <mc:Choice Requires="x14">
        <oleObject progId="Equation.3" shapeId="11327" r:id="rId16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7" r:id="rId167"/>
      </mc:Fallback>
    </mc:AlternateContent>
    <mc:AlternateContent xmlns:mc="http://schemas.openxmlformats.org/markup-compatibility/2006">
      <mc:Choice Requires="x14">
        <oleObject progId="Equation.3" shapeId="11328" r:id="rId16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28" r:id="rId168"/>
      </mc:Fallback>
    </mc:AlternateContent>
    <mc:AlternateContent xmlns:mc="http://schemas.openxmlformats.org/markup-compatibility/2006">
      <mc:Choice Requires="x14">
        <oleObject progId="Equation.3" shapeId="11329" r:id="rId169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29" r:id="rId169"/>
      </mc:Fallback>
    </mc:AlternateContent>
    <mc:AlternateContent xmlns:mc="http://schemas.openxmlformats.org/markup-compatibility/2006">
      <mc:Choice Requires="x14">
        <oleObject progId="Equation.3" shapeId="11330" r:id="rId17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0" r:id="rId170"/>
      </mc:Fallback>
    </mc:AlternateContent>
    <mc:AlternateContent xmlns:mc="http://schemas.openxmlformats.org/markup-compatibility/2006">
      <mc:Choice Requires="x14">
        <oleObject progId="Equation.3" shapeId="11331" r:id="rId17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1" r:id="rId171"/>
      </mc:Fallback>
    </mc:AlternateContent>
    <mc:AlternateContent xmlns:mc="http://schemas.openxmlformats.org/markup-compatibility/2006">
      <mc:Choice Requires="x14">
        <oleObject progId="Equation.3" shapeId="11332" r:id="rId17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2" r:id="rId172"/>
      </mc:Fallback>
    </mc:AlternateContent>
    <mc:AlternateContent xmlns:mc="http://schemas.openxmlformats.org/markup-compatibility/2006">
      <mc:Choice Requires="x14">
        <oleObject progId="Equation.3" shapeId="11333" r:id="rId17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3" r:id="rId173"/>
      </mc:Fallback>
    </mc:AlternateContent>
    <mc:AlternateContent xmlns:mc="http://schemas.openxmlformats.org/markup-compatibility/2006">
      <mc:Choice Requires="x14">
        <oleObject progId="Equation.3" shapeId="11334" r:id="rId17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4" r:id="rId174"/>
      </mc:Fallback>
    </mc:AlternateContent>
    <mc:AlternateContent xmlns:mc="http://schemas.openxmlformats.org/markup-compatibility/2006">
      <mc:Choice Requires="x14">
        <oleObject progId="Equation.3" shapeId="11335" r:id="rId17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5" r:id="rId175"/>
      </mc:Fallback>
    </mc:AlternateContent>
    <mc:AlternateContent xmlns:mc="http://schemas.openxmlformats.org/markup-compatibility/2006">
      <mc:Choice Requires="x14">
        <oleObject progId="Equation.3" shapeId="11336" r:id="rId17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6" r:id="rId176"/>
      </mc:Fallback>
    </mc:AlternateContent>
    <mc:AlternateContent xmlns:mc="http://schemas.openxmlformats.org/markup-compatibility/2006">
      <mc:Choice Requires="x14">
        <oleObject progId="Equation.3" shapeId="11337" r:id="rId17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7" r:id="rId177"/>
      </mc:Fallback>
    </mc:AlternateContent>
    <mc:AlternateContent xmlns:mc="http://schemas.openxmlformats.org/markup-compatibility/2006">
      <mc:Choice Requires="x14">
        <oleObject progId="Equation.3" shapeId="11338" r:id="rId17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8" r:id="rId178"/>
      </mc:Fallback>
    </mc:AlternateContent>
    <mc:AlternateContent xmlns:mc="http://schemas.openxmlformats.org/markup-compatibility/2006">
      <mc:Choice Requires="x14">
        <oleObject progId="Equation.3" shapeId="11339" r:id="rId17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39" r:id="rId179"/>
      </mc:Fallback>
    </mc:AlternateContent>
    <mc:AlternateContent xmlns:mc="http://schemas.openxmlformats.org/markup-compatibility/2006">
      <mc:Choice Requires="x14">
        <oleObject progId="Equation.3" shapeId="11340" r:id="rId180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40" r:id="rId180"/>
      </mc:Fallback>
    </mc:AlternateContent>
    <mc:AlternateContent xmlns:mc="http://schemas.openxmlformats.org/markup-compatibility/2006">
      <mc:Choice Requires="x14">
        <oleObject progId="Equation.3" shapeId="11341" r:id="rId18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1" r:id="rId181"/>
      </mc:Fallback>
    </mc:AlternateContent>
    <mc:AlternateContent xmlns:mc="http://schemas.openxmlformats.org/markup-compatibility/2006">
      <mc:Choice Requires="x14">
        <oleObject progId="Equation.3" shapeId="11342" r:id="rId18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2" r:id="rId182"/>
      </mc:Fallback>
    </mc:AlternateContent>
    <mc:AlternateContent xmlns:mc="http://schemas.openxmlformats.org/markup-compatibility/2006">
      <mc:Choice Requires="x14">
        <oleObject progId="Equation.3" shapeId="11343" r:id="rId18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3" r:id="rId183"/>
      </mc:Fallback>
    </mc:AlternateContent>
    <mc:AlternateContent xmlns:mc="http://schemas.openxmlformats.org/markup-compatibility/2006">
      <mc:Choice Requires="x14">
        <oleObject progId="Equation.3" shapeId="11344" r:id="rId18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4" r:id="rId184"/>
      </mc:Fallback>
    </mc:AlternateContent>
    <mc:AlternateContent xmlns:mc="http://schemas.openxmlformats.org/markup-compatibility/2006">
      <mc:Choice Requires="x14">
        <oleObject progId="Equation.3" shapeId="11345" r:id="rId18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5" r:id="rId185"/>
      </mc:Fallback>
    </mc:AlternateContent>
    <mc:AlternateContent xmlns:mc="http://schemas.openxmlformats.org/markup-compatibility/2006">
      <mc:Choice Requires="x14">
        <oleObject progId="Equation.3" shapeId="11346" r:id="rId18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6" r:id="rId186"/>
      </mc:Fallback>
    </mc:AlternateContent>
    <mc:AlternateContent xmlns:mc="http://schemas.openxmlformats.org/markup-compatibility/2006">
      <mc:Choice Requires="x14">
        <oleObject progId="Equation.3" shapeId="11347" r:id="rId18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7" r:id="rId187"/>
      </mc:Fallback>
    </mc:AlternateContent>
    <mc:AlternateContent xmlns:mc="http://schemas.openxmlformats.org/markup-compatibility/2006">
      <mc:Choice Requires="x14">
        <oleObject progId="Equation.3" shapeId="11348" r:id="rId18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8" r:id="rId188"/>
      </mc:Fallback>
    </mc:AlternateContent>
    <mc:AlternateContent xmlns:mc="http://schemas.openxmlformats.org/markup-compatibility/2006">
      <mc:Choice Requires="x14">
        <oleObject progId="Equation.3" shapeId="11349" r:id="rId18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49" r:id="rId189"/>
      </mc:Fallback>
    </mc:AlternateContent>
    <mc:AlternateContent xmlns:mc="http://schemas.openxmlformats.org/markup-compatibility/2006">
      <mc:Choice Requires="x14">
        <oleObject progId="Equation.3" shapeId="11350" r:id="rId19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0" r:id="rId190"/>
      </mc:Fallback>
    </mc:AlternateContent>
    <mc:AlternateContent xmlns:mc="http://schemas.openxmlformats.org/markup-compatibility/2006">
      <mc:Choice Requires="x14">
        <oleObject progId="Equation.3" shapeId="11351" r:id="rId191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51" r:id="rId191"/>
      </mc:Fallback>
    </mc:AlternateContent>
    <mc:AlternateContent xmlns:mc="http://schemas.openxmlformats.org/markup-compatibility/2006">
      <mc:Choice Requires="x14">
        <oleObject progId="Equation.3" shapeId="11352" r:id="rId19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2" r:id="rId192"/>
      </mc:Fallback>
    </mc:AlternateContent>
    <mc:AlternateContent xmlns:mc="http://schemas.openxmlformats.org/markup-compatibility/2006">
      <mc:Choice Requires="x14">
        <oleObject progId="Equation.3" shapeId="11353" r:id="rId19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3" r:id="rId193"/>
      </mc:Fallback>
    </mc:AlternateContent>
    <mc:AlternateContent xmlns:mc="http://schemas.openxmlformats.org/markup-compatibility/2006">
      <mc:Choice Requires="x14">
        <oleObject progId="Equation.3" shapeId="11354" r:id="rId19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4" r:id="rId194"/>
      </mc:Fallback>
    </mc:AlternateContent>
    <mc:AlternateContent xmlns:mc="http://schemas.openxmlformats.org/markup-compatibility/2006">
      <mc:Choice Requires="x14">
        <oleObject progId="Equation.3" shapeId="11355" r:id="rId19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5" r:id="rId195"/>
      </mc:Fallback>
    </mc:AlternateContent>
    <mc:AlternateContent xmlns:mc="http://schemas.openxmlformats.org/markup-compatibility/2006">
      <mc:Choice Requires="x14">
        <oleObject progId="Equation.3" shapeId="11356" r:id="rId19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6" r:id="rId196"/>
      </mc:Fallback>
    </mc:AlternateContent>
    <mc:AlternateContent xmlns:mc="http://schemas.openxmlformats.org/markup-compatibility/2006">
      <mc:Choice Requires="x14">
        <oleObject progId="Equation.3" shapeId="11357" r:id="rId19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7" r:id="rId197"/>
      </mc:Fallback>
    </mc:AlternateContent>
    <mc:AlternateContent xmlns:mc="http://schemas.openxmlformats.org/markup-compatibility/2006">
      <mc:Choice Requires="x14">
        <oleObject progId="Equation.3" shapeId="11358" r:id="rId19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8" r:id="rId198"/>
      </mc:Fallback>
    </mc:AlternateContent>
    <mc:AlternateContent xmlns:mc="http://schemas.openxmlformats.org/markup-compatibility/2006">
      <mc:Choice Requires="x14">
        <oleObject progId="Equation.3" shapeId="11359" r:id="rId19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59" r:id="rId199"/>
      </mc:Fallback>
    </mc:AlternateContent>
    <mc:AlternateContent xmlns:mc="http://schemas.openxmlformats.org/markup-compatibility/2006">
      <mc:Choice Requires="x14">
        <oleObject progId="Equation.3" shapeId="11360" r:id="rId20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0" r:id="rId200"/>
      </mc:Fallback>
    </mc:AlternateContent>
    <mc:AlternateContent xmlns:mc="http://schemas.openxmlformats.org/markup-compatibility/2006">
      <mc:Choice Requires="x14">
        <oleObject progId="Equation.3" shapeId="11361" r:id="rId20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1" r:id="rId201"/>
      </mc:Fallback>
    </mc:AlternateContent>
    <mc:AlternateContent xmlns:mc="http://schemas.openxmlformats.org/markup-compatibility/2006">
      <mc:Choice Requires="x14">
        <oleObject progId="Equation.3" shapeId="11362" r:id="rId202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62" r:id="rId202"/>
      </mc:Fallback>
    </mc:AlternateContent>
    <mc:AlternateContent xmlns:mc="http://schemas.openxmlformats.org/markup-compatibility/2006">
      <mc:Choice Requires="x14">
        <oleObject progId="Equation.3" shapeId="11363" r:id="rId20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3" r:id="rId203"/>
      </mc:Fallback>
    </mc:AlternateContent>
    <mc:AlternateContent xmlns:mc="http://schemas.openxmlformats.org/markup-compatibility/2006">
      <mc:Choice Requires="x14">
        <oleObject progId="Equation.3" shapeId="11364" r:id="rId20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4" r:id="rId204"/>
      </mc:Fallback>
    </mc:AlternateContent>
    <mc:AlternateContent xmlns:mc="http://schemas.openxmlformats.org/markup-compatibility/2006">
      <mc:Choice Requires="x14">
        <oleObject progId="Equation.3" shapeId="11365" r:id="rId20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5" r:id="rId205"/>
      </mc:Fallback>
    </mc:AlternateContent>
    <mc:AlternateContent xmlns:mc="http://schemas.openxmlformats.org/markup-compatibility/2006">
      <mc:Choice Requires="x14">
        <oleObject progId="Equation.3" shapeId="11366" r:id="rId20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6" r:id="rId206"/>
      </mc:Fallback>
    </mc:AlternateContent>
    <mc:AlternateContent xmlns:mc="http://schemas.openxmlformats.org/markup-compatibility/2006">
      <mc:Choice Requires="x14">
        <oleObject progId="Equation.3" shapeId="11367" r:id="rId20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7" r:id="rId207"/>
      </mc:Fallback>
    </mc:AlternateContent>
    <mc:AlternateContent xmlns:mc="http://schemas.openxmlformats.org/markup-compatibility/2006">
      <mc:Choice Requires="x14">
        <oleObject progId="Equation.3" shapeId="11368" r:id="rId20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8" r:id="rId208"/>
      </mc:Fallback>
    </mc:AlternateContent>
    <mc:AlternateContent xmlns:mc="http://schemas.openxmlformats.org/markup-compatibility/2006">
      <mc:Choice Requires="x14">
        <oleObject progId="Equation.3" shapeId="11369" r:id="rId20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69" r:id="rId209"/>
      </mc:Fallback>
    </mc:AlternateContent>
    <mc:AlternateContent xmlns:mc="http://schemas.openxmlformats.org/markup-compatibility/2006">
      <mc:Choice Requires="x14">
        <oleObject progId="Equation.3" shapeId="11370" r:id="rId21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0" r:id="rId210"/>
      </mc:Fallback>
    </mc:AlternateContent>
    <mc:AlternateContent xmlns:mc="http://schemas.openxmlformats.org/markup-compatibility/2006">
      <mc:Choice Requires="x14">
        <oleObject progId="Equation.3" shapeId="11371" r:id="rId21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1" r:id="rId211"/>
      </mc:Fallback>
    </mc:AlternateContent>
    <mc:AlternateContent xmlns:mc="http://schemas.openxmlformats.org/markup-compatibility/2006">
      <mc:Choice Requires="x14">
        <oleObject progId="Equation.3" shapeId="11372" r:id="rId21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2" r:id="rId212"/>
      </mc:Fallback>
    </mc:AlternateContent>
    <mc:AlternateContent xmlns:mc="http://schemas.openxmlformats.org/markup-compatibility/2006">
      <mc:Choice Requires="x14">
        <oleObject progId="Equation.3" shapeId="11373" r:id="rId213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73" r:id="rId213"/>
      </mc:Fallback>
    </mc:AlternateContent>
    <mc:AlternateContent xmlns:mc="http://schemas.openxmlformats.org/markup-compatibility/2006">
      <mc:Choice Requires="x14">
        <oleObject progId="Equation.3" shapeId="11374" r:id="rId21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4" r:id="rId214"/>
      </mc:Fallback>
    </mc:AlternateContent>
    <mc:AlternateContent xmlns:mc="http://schemas.openxmlformats.org/markup-compatibility/2006">
      <mc:Choice Requires="x14">
        <oleObject progId="Equation.3" shapeId="11375" r:id="rId21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5" r:id="rId215"/>
      </mc:Fallback>
    </mc:AlternateContent>
    <mc:AlternateContent xmlns:mc="http://schemas.openxmlformats.org/markup-compatibility/2006">
      <mc:Choice Requires="x14">
        <oleObject progId="Equation.3" shapeId="11376" r:id="rId21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6" r:id="rId216"/>
      </mc:Fallback>
    </mc:AlternateContent>
    <mc:AlternateContent xmlns:mc="http://schemas.openxmlformats.org/markup-compatibility/2006">
      <mc:Choice Requires="x14">
        <oleObject progId="Equation.3" shapeId="11377" r:id="rId21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7" r:id="rId217"/>
      </mc:Fallback>
    </mc:AlternateContent>
    <mc:AlternateContent xmlns:mc="http://schemas.openxmlformats.org/markup-compatibility/2006">
      <mc:Choice Requires="x14">
        <oleObject progId="Equation.3" shapeId="11378" r:id="rId21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8" r:id="rId218"/>
      </mc:Fallback>
    </mc:AlternateContent>
    <mc:AlternateContent xmlns:mc="http://schemas.openxmlformats.org/markup-compatibility/2006">
      <mc:Choice Requires="x14">
        <oleObject progId="Equation.3" shapeId="11379" r:id="rId21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79" r:id="rId219"/>
      </mc:Fallback>
    </mc:AlternateContent>
    <mc:AlternateContent xmlns:mc="http://schemas.openxmlformats.org/markup-compatibility/2006">
      <mc:Choice Requires="x14">
        <oleObject progId="Equation.3" shapeId="11380" r:id="rId22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0" r:id="rId220"/>
      </mc:Fallback>
    </mc:AlternateContent>
    <mc:AlternateContent xmlns:mc="http://schemas.openxmlformats.org/markup-compatibility/2006">
      <mc:Choice Requires="x14">
        <oleObject progId="Equation.3" shapeId="11381" r:id="rId22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1" r:id="rId221"/>
      </mc:Fallback>
    </mc:AlternateContent>
    <mc:AlternateContent xmlns:mc="http://schemas.openxmlformats.org/markup-compatibility/2006">
      <mc:Choice Requires="x14">
        <oleObject progId="Equation.3" shapeId="11382" r:id="rId22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2" r:id="rId222"/>
      </mc:Fallback>
    </mc:AlternateContent>
    <mc:AlternateContent xmlns:mc="http://schemas.openxmlformats.org/markup-compatibility/2006">
      <mc:Choice Requires="x14">
        <oleObject progId="Equation.3" shapeId="11383" r:id="rId22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3" r:id="rId223"/>
      </mc:Fallback>
    </mc:AlternateContent>
    <mc:AlternateContent xmlns:mc="http://schemas.openxmlformats.org/markup-compatibility/2006">
      <mc:Choice Requires="x14">
        <oleObject progId="Equation.3" shapeId="11384" r:id="rId224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84" r:id="rId224"/>
      </mc:Fallback>
    </mc:AlternateContent>
    <mc:AlternateContent xmlns:mc="http://schemas.openxmlformats.org/markup-compatibility/2006">
      <mc:Choice Requires="x14">
        <oleObject progId="Equation.3" shapeId="11385" r:id="rId22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5" r:id="rId225"/>
      </mc:Fallback>
    </mc:AlternateContent>
    <mc:AlternateContent xmlns:mc="http://schemas.openxmlformats.org/markup-compatibility/2006">
      <mc:Choice Requires="x14">
        <oleObject progId="Equation.3" shapeId="11386" r:id="rId22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6" r:id="rId226"/>
      </mc:Fallback>
    </mc:AlternateContent>
    <mc:AlternateContent xmlns:mc="http://schemas.openxmlformats.org/markup-compatibility/2006">
      <mc:Choice Requires="x14">
        <oleObject progId="Equation.3" shapeId="11387" r:id="rId22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7" r:id="rId227"/>
      </mc:Fallback>
    </mc:AlternateContent>
    <mc:AlternateContent xmlns:mc="http://schemas.openxmlformats.org/markup-compatibility/2006">
      <mc:Choice Requires="x14">
        <oleObject progId="Equation.3" shapeId="11388" r:id="rId22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8" r:id="rId228"/>
      </mc:Fallback>
    </mc:AlternateContent>
    <mc:AlternateContent xmlns:mc="http://schemas.openxmlformats.org/markup-compatibility/2006">
      <mc:Choice Requires="x14">
        <oleObject progId="Equation.3" shapeId="11389" r:id="rId22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89" r:id="rId229"/>
      </mc:Fallback>
    </mc:AlternateContent>
    <mc:AlternateContent xmlns:mc="http://schemas.openxmlformats.org/markup-compatibility/2006">
      <mc:Choice Requires="x14">
        <oleObject progId="Equation.3" shapeId="11390" r:id="rId23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0" r:id="rId230"/>
      </mc:Fallback>
    </mc:AlternateContent>
    <mc:AlternateContent xmlns:mc="http://schemas.openxmlformats.org/markup-compatibility/2006">
      <mc:Choice Requires="x14">
        <oleObject progId="Equation.3" shapeId="11391" r:id="rId23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1" r:id="rId231"/>
      </mc:Fallback>
    </mc:AlternateContent>
    <mc:AlternateContent xmlns:mc="http://schemas.openxmlformats.org/markup-compatibility/2006">
      <mc:Choice Requires="x14">
        <oleObject progId="Equation.3" shapeId="11392" r:id="rId23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2" r:id="rId232"/>
      </mc:Fallback>
    </mc:AlternateContent>
    <mc:AlternateContent xmlns:mc="http://schemas.openxmlformats.org/markup-compatibility/2006">
      <mc:Choice Requires="x14">
        <oleObject progId="Equation.3" shapeId="11393" r:id="rId23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3" r:id="rId233"/>
      </mc:Fallback>
    </mc:AlternateContent>
    <mc:AlternateContent xmlns:mc="http://schemas.openxmlformats.org/markup-compatibility/2006">
      <mc:Choice Requires="x14">
        <oleObject progId="Equation.3" shapeId="11394" r:id="rId23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4" r:id="rId234"/>
      </mc:Fallback>
    </mc:AlternateContent>
    <mc:AlternateContent xmlns:mc="http://schemas.openxmlformats.org/markup-compatibility/2006">
      <mc:Choice Requires="x14">
        <oleObject progId="Equation.3" shapeId="11395" r:id="rId235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395" r:id="rId235"/>
      </mc:Fallback>
    </mc:AlternateContent>
    <mc:AlternateContent xmlns:mc="http://schemas.openxmlformats.org/markup-compatibility/2006">
      <mc:Choice Requires="x14">
        <oleObject progId="Equation.3" shapeId="11396" r:id="rId23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6" r:id="rId236"/>
      </mc:Fallback>
    </mc:AlternateContent>
    <mc:AlternateContent xmlns:mc="http://schemas.openxmlformats.org/markup-compatibility/2006">
      <mc:Choice Requires="x14">
        <oleObject progId="Equation.3" shapeId="11397" r:id="rId23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7" r:id="rId237"/>
      </mc:Fallback>
    </mc:AlternateContent>
    <mc:AlternateContent xmlns:mc="http://schemas.openxmlformats.org/markup-compatibility/2006">
      <mc:Choice Requires="x14">
        <oleObject progId="Equation.3" shapeId="11398" r:id="rId23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8" r:id="rId238"/>
      </mc:Fallback>
    </mc:AlternateContent>
    <mc:AlternateContent xmlns:mc="http://schemas.openxmlformats.org/markup-compatibility/2006">
      <mc:Choice Requires="x14">
        <oleObject progId="Equation.3" shapeId="11399" r:id="rId23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399" r:id="rId239"/>
      </mc:Fallback>
    </mc:AlternateContent>
    <mc:AlternateContent xmlns:mc="http://schemas.openxmlformats.org/markup-compatibility/2006">
      <mc:Choice Requires="x14">
        <oleObject progId="Equation.3" shapeId="11400" r:id="rId24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0" r:id="rId240"/>
      </mc:Fallback>
    </mc:AlternateContent>
    <mc:AlternateContent xmlns:mc="http://schemas.openxmlformats.org/markup-compatibility/2006">
      <mc:Choice Requires="x14">
        <oleObject progId="Equation.3" shapeId="11401" r:id="rId24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1" r:id="rId241"/>
      </mc:Fallback>
    </mc:AlternateContent>
    <mc:AlternateContent xmlns:mc="http://schemas.openxmlformats.org/markup-compatibility/2006">
      <mc:Choice Requires="x14">
        <oleObject progId="Equation.3" shapeId="11402" r:id="rId24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2" r:id="rId242"/>
      </mc:Fallback>
    </mc:AlternateContent>
    <mc:AlternateContent xmlns:mc="http://schemas.openxmlformats.org/markup-compatibility/2006">
      <mc:Choice Requires="x14">
        <oleObject progId="Equation.3" shapeId="11403" r:id="rId24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3" r:id="rId243"/>
      </mc:Fallback>
    </mc:AlternateContent>
    <mc:AlternateContent xmlns:mc="http://schemas.openxmlformats.org/markup-compatibility/2006">
      <mc:Choice Requires="x14">
        <oleObject progId="Equation.3" shapeId="11404" r:id="rId24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4" r:id="rId244"/>
      </mc:Fallback>
    </mc:AlternateContent>
    <mc:AlternateContent xmlns:mc="http://schemas.openxmlformats.org/markup-compatibility/2006">
      <mc:Choice Requires="x14">
        <oleObject progId="Equation.3" shapeId="11405" r:id="rId24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5" r:id="rId245"/>
      </mc:Fallback>
    </mc:AlternateContent>
    <mc:AlternateContent xmlns:mc="http://schemas.openxmlformats.org/markup-compatibility/2006">
      <mc:Choice Requires="x14">
        <oleObject progId="Equation.3" shapeId="11406" r:id="rId246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06" r:id="rId246"/>
      </mc:Fallback>
    </mc:AlternateContent>
    <mc:AlternateContent xmlns:mc="http://schemas.openxmlformats.org/markup-compatibility/2006">
      <mc:Choice Requires="x14">
        <oleObject progId="Equation.3" shapeId="11407" r:id="rId24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7" r:id="rId247"/>
      </mc:Fallback>
    </mc:AlternateContent>
    <mc:AlternateContent xmlns:mc="http://schemas.openxmlformats.org/markup-compatibility/2006">
      <mc:Choice Requires="x14">
        <oleObject progId="Equation.3" shapeId="11408" r:id="rId24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8" r:id="rId248"/>
      </mc:Fallback>
    </mc:AlternateContent>
    <mc:AlternateContent xmlns:mc="http://schemas.openxmlformats.org/markup-compatibility/2006">
      <mc:Choice Requires="x14">
        <oleObject progId="Equation.3" shapeId="11409" r:id="rId24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09" r:id="rId249"/>
      </mc:Fallback>
    </mc:AlternateContent>
    <mc:AlternateContent xmlns:mc="http://schemas.openxmlformats.org/markup-compatibility/2006">
      <mc:Choice Requires="x14">
        <oleObject progId="Equation.3" shapeId="11410" r:id="rId25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0" r:id="rId250"/>
      </mc:Fallback>
    </mc:AlternateContent>
    <mc:AlternateContent xmlns:mc="http://schemas.openxmlformats.org/markup-compatibility/2006">
      <mc:Choice Requires="x14">
        <oleObject progId="Equation.3" shapeId="11411" r:id="rId25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1" r:id="rId251"/>
      </mc:Fallback>
    </mc:AlternateContent>
    <mc:AlternateContent xmlns:mc="http://schemas.openxmlformats.org/markup-compatibility/2006">
      <mc:Choice Requires="x14">
        <oleObject progId="Equation.3" shapeId="11412" r:id="rId25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2" r:id="rId252"/>
      </mc:Fallback>
    </mc:AlternateContent>
    <mc:AlternateContent xmlns:mc="http://schemas.openxmlformats.org/markup-compatibility/2006">
      <mc:Choice Requires="x14">
        <oleObject progId="Equation.3" shapeId="11413" r:id="rId25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3" r:id="rId253"/>
      </mc:Fallback>
    </mc:AlternateContent>
    <mc:AlternateContent xmlns:mc="http://schemas.openxmlformats.org/markup-compatibility/2006">
      <mc:Choice Requires="x14">
        <oleObject progId="Equation.3" shapeId="11414" r:id="rId25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4" r:id="rId254"/>
      </mc:Fallback>
    </mc:AlternateContent>
    <mc:AlternateContent xmlns:mc="http://schemas.openxmlformats.org/markup-compatibility/2006">
      <mc:Choice Requires="x14">
        <oleObject progId="Equation.3" shapeId="11415" r:id="rId25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5" r:id="rId255"/>
      </mc:Fallback>
    </mc:AlternateContent>
    <mc:AlternateContent xmlns:mc="http://schemas.openxmlformats.org/markup-compatibility/2006">
      <mc:Choice Requires="x14">
        <oleObject progId="Equation.3" shapeId="11416" r:id="rId25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6" r:id="rId256"/>
      </mc:Fallback>
    </mc:AlternateContent>
    <mc:AlternateContent xmlns:mc="http://schemas.openxmlformats.org/markup-compatibility/2006">
      <mc:Choice Requires="x14">
        <oleObject progId="Equation.3" shapeId="11417" r:id="rId257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17" r:id="rId257"/>
      </mc:Fallback>
    </mc:AlternateContent>
    <mc:AlternateContent xmlns:mc="http://schemas.openxmlformats.org/markup-compatibility/2006">
      <mc:Choice Requires="x14">
        <oleObject progId="Equation.3" shapeId="11418" r:id="rId25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8" r:id="rId258"/>
      </mc:Fallback>
    </mc:AlternateContent>
    <mc:AlternateContent xmlns:mc="http://schemas.openxmlformats.org/markup-compatibility/2006">
      <mc:Choice Requires="x14">
        <oleObject progId="Equation.3" shapeId="11419" r:id="rId25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19" r:id="rId259"/>
      </mc:Fallback>
    </mc:AlternateContent>
    <mc:AlternateContent xmlns:mc="http://schemas.openxmlformats.org/markup-compatibility/2006">
      <mc:Choice Requires="x14">
        <oleObject progId="Equation.3" shapeId="11420" r:id="rId26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0" r:id="rId260"/>
      </mc:Fallback>
    </mc:AlternateContent>
    <mc:AlternateContent xmlns:mc="http://schemas.openxmlformats.org/markup-compatibility/2006">
      <mc:Choice Requires="x14">
        <oleObject progId="Equation.3" shapeId="11421" r:id="rId26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1" r:id="rId261"/>
      </mc:Fallback>
    </mc:AlternateContent>
    <mc:AlternateContent xmlns:mc="http://schemas.openxmlformats.org/markup-compatibility/2006">
      <mc:Choice Requires="x14">
        <oleObject progId="Equation.3" shapeId="11422" r:id="rId26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2" r:id="rId262"/>
      </mc:Fallback>
    </mc:AlternateContent>
    <mc:AlternateContent xmlns:mc="http://schemas.openxmlformats.org/markup-compatibility/2006">
      <mc:Choice Requires="x14">
        <oleObject progId="Equation.3" shapeId="11423" r:id="rId26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3" r:id="rId263"/>
      </mc:Fallback>
    </mc:AlternateContent>
    <mc:AlternateContent xmlns:mc="http://schemas.openxmlformats.org/markup-compatibility/2006">
      <mc:Choice Requires="x14">
        <oleObject progId="Equation.3" shapeId="11424" r:id="rId26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4" r:id="rId264"/>
      </mc:Fallback>
    </mc:AlternateContent>
    <mc:AlternateContent xmlns:mc="http://schemas.openxmlformats.org/markup-compatibility/2006">
      <mc:Choice Requires="x14">
        <oleObject progId="Equation.3" shapeId="11425" r:id="rId26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5" r:id="rId265"/>
      </mc:Fallback>
    </mc:AlternateContent>
    <mc:AlternateContent xmlns:mc="http://schemas.openxmlformats.org/markup-compatibility/2006">
      <mc:Choice Requires="x14">
        <oleObject progId="Equation.3" shapeId="11426" r:id="rId26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6" r:id="rId266"/>
      </mc:Fallback>
    </mc:AlternateContent>
    <mc:AlternateContent xmlns:mc="http://schemas.openxmlformats.org/markup-compatibility/2006">
      <mc:Choice Requires="x14">
        <oleObject progId="Equation.3" shapeId="11427" r:id="rId26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7" r:id="rId267"/>
      </mc:Fallback>
    </mc:AlternateContent>
    <mc:AlternateContent xmlns:mc="http://schemas.openxmlformats.org/markup-compatibility/2006">
      <mc:Choice Requires="x14">
        <oleObject progId="Equation.3" shapeId="11428" r:id="rId268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28" r:id="rId268"/>
      </mc:Fallback>
    </mc:AlternateContent>
    <mc:AlternateContent xmlns:mc="http://schemas.openxmlformats.org/markup-compatibility/2006">
      <mc:Choice Requires="x14">
        <oleObject progId="Equation.3" shapeId="11429" r:id="rId26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29" r:id="rId269"/>
      </mc:Fallback>
    </mc:AlternateContent>
    <mc:AlternateContent xmlns:mc="http://schemas.openxmlformats.org/markup-compatibility/2006">
      <mc:Choice Requires="x14">
        <oleObject progId="Equation.3" shapeId="11430" r:id="rId27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0" r:id="rId270"/>
      </mc:Fallback>
    </mc:AlternateContent>
    <mc:AlternateContent xmlns:mc="http://schemas.openxmlformats.org/markup-compatibility/2006">
      <mc:Choice Requires="x14">
        <oleObject progId="Equation.3" shapeId="11431" r:id="rId27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1" r:id="rId271"/>
      </mc:Fallback>
    </mc:AlternateContent>
    <mc:AlternateContent xmlns:mc="http://schemas.openxmlformats.org/markup-compatibility/2006">
      <mc:Choice Requires="x14">
        <oleObject progId="Equation.3" shapeId="11432" r:id="rId27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2" r:id="rId272"/>
      </mc:Fallback>
    </mc:AlternateContent>
    <mc:AlternateContent xmlns:mc="http://schemas.openxmlformats.org/markup-compatibility/2006">
      <mc:Choice Requires="x14">
        <oleObject progId="Equation.3" shapeId="11433" r:id="rId27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3" r:id="rId273"/>
      </mc:Fallback>
    </mc:AlternateContent>
    <mc:AlternateContent xmlns:mc="http://schemas.openxmlformats.org/markup-compatibility/2006">
      <mc:Choice Requires="x14">
        <oleObject progId="Equation.3" shapeId="11434" r:id="rId27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4" r:id="rId274"/>
      </mc:Fallback>
    </mc:AlternateContent>
    <mc:AlternateContent xmlns:mc="http://schemas.openxmlformats.org/markup-compatibility/2006">
      <mc:Choice Requires="x14">
        <oleObject progId="Equation.3" shapeId="11435" r:id="rId27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5" r:id="rId275"/>
      </mc:Fallback>
    </mc:AlternateContent>
    <mc:AlternateContent xmlns:mc="http://schemas.openxmlformats.org/markup-compatibility/2006">
      <mc:Choice Requires="x14">
        <oleObject progId="Equation.3" shapeId="11436" r:id="rId27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6" r:id="rId276"/>
      </mc:Fallback>
    </mc:AlternateContent>
    <mc:AlternateContent xmlns:mc="http://schemas.openxmlformats.org/markup-compatibility/2006">
      <mc:Choice Requires="x14">
        <oleObject progId="Equation.3" shapeId="11437" r:id="rId27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7" r:id="rId277"/>
      </mc:Fallback>
    </mc:AlternateContent>
    <mc:AlternateContent xmlns:mc="http://schemas.openxmlformats.org/markup-compatibility/2006">
      <mc:Choice Requires="x14">
        <oleObject progId="Equation.3" shapeId="11438" r:id="rId27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38" r:id="rId278"/>
      </mc:Fallback>
    </mc:AlternateContent>
    <mc:AlternateContent xmlns:mc="http://schemas.openxmlformats.org/markup-compatibility/2006">
      <mc:Choice Requires="x14">
        <oleObject progId="Equation.3" shapeId="11439" r:id="rId279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39" r:id="rId279"/>
      </mc:Fallback>
    </mc:AlternateContent>
    <mc:AlternateContent xmlns:mc="http://schemas.openxmlformats.org/markup-compatibility/2006">
      <mc:Choice Requires="x14">
        <oleObject progId="Equation.3" shapeId="11440" r:id="rId28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0" r:id="rId280"/>
      </mc:Fallback>
    </mc:AlternateContent>
    <mc:AlternateContent xmlns:mc="http://schemas.openxmlformats.org/markup-compatibility/2006">
      <mc:Choice Requires="x14">
        <oleObject progId="Equation.3" shapeId="11441" r:id="rId28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1" r:id="rId281"/>
      </mc:Fallback>
    </mc:AlternateContent>
    <mc:AlternateContent xmlns:mc="http://schemas.openxmlformats.org/markup-compatibility/2006">
      <mc:Choice Requires="x14">
        <oleObject progId="Equation.3" shapeId="11442" r:id="rId28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2" r:id="rId282"/>
      </mc:Fallback>
    </mc:AlternateContent>
    <mc:AlternateContent xmlns:mc="http://schemas.openxmlformats.org/markup-compatibility/2006">
      <mc:Choice Requires="x14">
        <oleObject progId="Equation.3" shapeId="11443" r:id="rId28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3" r:id="rId283"/>
      </mc:Fallback>
    </mc:AlternateContent>
    <mc:AlternateContent xmlns:mc="http://schemas.openxmlformats.org/markup-compatibility/2006">
      <mc:Choice Requires="x14">
        <oleObject progId="Equation.3" shapeId="11444" r:id="rId28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4" r:id="rId284"/>
      </mc:Fallback>
    </mc:AlternateContent>
    <mc:AlternateContent xmlns:mc="http://schemas.openxmlformats.org/markup-compatibility/2006">
      <mc:Choice Requires="x14">
        <oleObject progId="Equation.3" shapeId="11445" r:id="rId28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5" r:id="rId285"/>
      </mc:Fallback>
    </mc:AlternateContent>
    <mc:AlternateContent xmlns:mc="http://schemas.openxmlformats.org/markup-compatibility/2006">
      <mc:Choice Requires="x14">
        <oleObject progId="Equation.3" shapeId="11446" r:id="rId28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6" r:id="rId286"/>
      </mc:Fallback>
    </mc:AlternateContent>
    <mc:AlternateContent xmlns:mc="http://schemas.openxmlformats.org/markup-compatibility/2006">
      <mc:Choice Requires="x14">
        <oleObject progId="Equation.3" shapeId="11447" r:id="rId28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7" r:id="rId287"/>
      </mc:Fallback>
    </mc:AlternateContent>
    <mc:AlternateContent xmlns:mc="http://schemas.openxmlformats.org/markup-compatibility/2006">
      <mc:Choice Requires="x14">
        <oleObject progId="Equation.3" shapeId="11448" r:id="rId28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8" r:id="rId288"/>
      </mc:Fallback>
    </mc:AlternateContent>
    <mc:AlternateContent xmlns:mc="http://schemas.openxmlformats.org/markup-compatibility/2006">
      <mc:Choice Requires="x14">
        <oleObject progId="Equation.3" shapeId="11449" r:id="rId28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49" r:id="rId289"/>
      </mc:Fallback>
    </mc:AlternateContent>
    <mc:AlternateContent xmlns:mc="http://schemas.openxmlformats.org/markup-compatibility/2006">
      <mc:Choice Requires="x14">
        <oleObject progId="Equation.3" shapeId="11450" r:id="rId290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50" r:id="rId290"/>
      </mc:Fallback>
    </mc:AlternateContent>
    <mc:AlternateContent xmlns:mc="http://schemas.openxmlformats.org/markup-compatibility/2006">
      <mc:Choice Requires="x14">
        <oleObject progId="Equation.3" shapeId="11451" r:id="rId29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1" r:id="rId291"/>
      </mc:Fallback>
    </mc:AlternateContent>
    <mc:AlternateContent xmlns:mc="http://schemas.openxmlformats.org/markup-compatibility/2006">
      <mc:Choice Requires="x14">
        <oleObject progId="Equation.3" shapeId="11452" r:id="rId29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2" r:id="rId292"/>
      </mc:Fallback>
    </mc:AlternateContent>
    <mc:AlternateContent xmlns:mc="http://schemas.openxmlformats.org/markup-compatibility/2006">
      <mc:Choice Requires="x14">
        <oleObject progId="Equation.3" shapeId="11453" r:id="rId29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3" r:id="rId293"/>
      </mc:Fallback>
    </mc:AlternateContent>
    <mc:AlternateContent xmlns:mc="http://schemas.openxmlformats.org/markup-compatibility/2006">
      <mc:Choice Requires="x14">
        <oleObject progId="Equation.3" shapeId="11454" r:id="rId29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4" r:id="rId294"/>
      </mc:Fallback>
    </mc:AlternateContent>
    <mc:AlternateContent xmlns:mc="http://schemas.openxmlformats.org/markup-compatibility/2006">
      <mc:Choice Requires="x14">
        <oleObject progId="Equation.3" shapeId="11455" r:id="rId29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5" r:id="rId295"/>
      </mc:Fallback>
    </mc:AlternateContent>
    <mc:AlternateContent xmlns:mc="http://schemas.openxmlformats.org/markup-compatibility/2006">
      <mc:Choice Requires="x14">
        <oleObject progId="Equation.3" shapeId="11456" r:id="rId29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6" r:id="rId296"/>
      </mc:Fallback>
    </mc:AlternateContent>
    <mc:AlternateContent xmlns:mc="http://schemas.openxmlformats.org/markup-compatibility/2006">
      <mc:Choice Requires="x14">
        <oleObject progId="Equation.3" shapeId="11457" r:id="rId29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7" r:id="rId297"/>
      </mc:Fallback>
    </mc:AlternateContent>
    <mc:AlternateContent xmlns:mc="http://schemas.openxmlformats.org/markup-compatibility/2006">
      <mc:Choice Requires="x14">
        <oleObject progId="Equation.3" shapeId="11458" r:id="rId29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8" r:id="rId298"/>
      </mc:Fallback>
    </mc:AlternateContent>
    <mc:AlternateContent xmlns:mc="http://schemas.openxmlformats.org/markup-compatibility/2006">
      <mc:Choice Requires="x14">
        <oleObject progId="Equation.3" shapeId="11459" r:id="rId29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59" r:id="rId299"/>
      </mc:Fallback>
    </mc:AlternateContent>
    <mc:AlternateContent xmlns:mc="http://schemas.openxmlformats.org/markup-compatibility/2006">
      <mc:Choice Requires="x14">
        <oleObject progId="Equation.3" shapeId="11460" r:id="rId30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0" r:id="rId300"/>
      </mc:Fallback>
    </mc:AlternateContent>
    <mc:AlternateContent xmlns:mc="http://schemas.openxmlformats.org/markup-compatibility/2006">
      <mc:Choice Requires="x14">
        <oleObject progId="Equation.3" shapeId="11461" r:id="rId301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61" r:id="rId301"/>
      </mc:Fallback>
    </mc:AlternateContent>
    <mc:AlternateContent xmlns:mc="http://schemas.openxmlformats.org/markup-compatibility/2006">
      <mc:Choice Requires="x14">
        <oleObject progId="Equation.3" shapeId="11462" r:id="rId302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2" r:id="rId302"/>
      </mc:Fallback>
    </mc:AlternateContent>
    <mc:AlternateContent xmlns:mc="http://schemas.openxmlformats.org/markup-compatibility/2006">
      <mc:Choice Requires="x14">
        <oleObject progId="Equation.3" shapeId="11463" r:id="rId303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3" r:id="rId303"/>
      </mc:Fallback>
    </mc:AlternateContent>
    <mc:AlternateContent xmlns:mc="http://schemas.openxmlformats.org/markup-compatibility/2006">
      <mc:Choice Requires="x14">
        <oleObject progId="Equation.3" shapeId="11464" r:id="rId304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4" r:id="rId304"/>
      </mc:Fallback>
    </mc:AlternateContent>
    <mc:AlternateContent xmlns:mc="http://schemas.openxmlformats.org/markup-compatibility/2006">
      <mc:Choice Requires="x14">
        <oleObject progId="Equation.3" shapeId="11465" r:id="rId305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5" r:id="rId305"/>
      </mc:Fallback>
    </mc:AlternateContent>
    <mc:AlternateContent xmlns:mc="http://schemas.openxmlformats.org/markup-compatibility/2006">
      <mc:Choice Requires="x14">
        <oleObject progId="Equation.3" shapeId="11466" r:id="rId306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6" r:id="rId306"/>
      </mc:Fallback>
    </mc:AlternateContent>
    <mc:AlternateContent xmlns:mc="http://schemas.openxmlformats.org/markup-compatibility/2006">
      <mc:Choice Requires="x14">
        <oleObject progId="Equation.3" shapeId="11467" r:id="rId307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7" r:id="rId307"/>
      </mc:Fallback>
    </mc:AlternateContent>
    <mc:AlternateContent xmlns:mc="http://schemas.openxmlformats.org/markup-compatibility/2006">
      <mc:Choice Requires="x14">
        <oleObject progId="Equation.3" shapeId="11468" r:id="rId308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8" r:id="rId308"/>
      </mc:Fallback>
    </mc:AlternateContent>
    <mc:AlternateContent xmlns:mc="http://schemas.openxmlformats.org/markup-compatibility/2006">
      <mc:Choice Requires="x14">
        <oleObject progId="Equation.3" shapeId="11469" r:id="rId309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69" r:id="rId309"/>
      </mc:Fallback>
    </mc:AlternateContent>
    <mc:AlternateContent xmlns:mc="http://schemas.openxmlformats.org/markup-compatibility/2006">
      <mc:Choice Requires="x14">
        <oleObject progId="Equation.3" shapeId="11470" r:id="rId310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70" r:id="rId310"/>
      </mc:Fallback>
    </mc:AlternateContent>
    <mc:AlternateContent xmlns:mc="http://schemas.openxmlformats.org/markup-compatibility/2006">
      <mc:Choice Requires="x14">
        <oleObject progId="Equation.3" shapeId="11471" r:id="rId311">
          <objectPr defaultSize="0" autoPict="0" r:id="rId5">
            <anchor moveWithCells="1" sizeWithCells="1">
              <from>
                <xdr:col>13</xdr:col>
                <xdr:colOff>31750</xdr:colOff>
                <xdr:row>98</xdr:row>
                <xdr:rowOff>146050</xdr:rowOff>
              </from>
              <to>
                <xdr:col>13</xdr:col>
                <xdr:colOff>431800</xdr:colOff>
                <xdr:row>98</xdr:row>
                <xdr:rowOff>146050</xdr:rowOff>
              </to>
            </anchor>
          </objectPr>
        </oleObject>
      </mc:Choice>
      <mc:Fallback>
        <oleObject progId="Equation.3" shapeId="11471" r:id="rId311"/>
      </mc:Fallback>
    </mc:AlternateContent>
    <mc:AlternateContent xmlns:mc="http://schemas.openxmlformats.org/markup-compatibility/2006">
      <mc:Choice Requires="x14">
        <oleObject progId="Equation.3" shapeId="11472" r:id="rId312">
          <objectPr defaultSize="0" autoPict="0" r:id="rId5">
            <anchor moveWithCells="1" sizeWithCells="1">
              <from>
                <xdr:col>13</xdr:col>
                <xdr:colOff>57150</xdr:colOff>
                <xdr:row>98</xdr:row>
                <xdr:rowOff>146050</xdr:rowOff>
              </from>
              <to>
                <xdr:col>13</xdr:col>
                <xdr:colOff>438150</xdr:colOff>
                <xdr:row>98</xdr:row>
                <xdr:rowOff>146050</xdr:rowOff>
              </to>
            </anchor>
          </objectPr>
        </oleObject>
      </mc:Choice>
      <mc:Fallback>
        <oleObject progId="Equation.3" shapeId="11472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1D1EA18E-F22B-4230-8531-062F3E935A5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J88:K91</xm:sqref>
        </x14:conditionalFormatting>
        <x14:conditionalFormatting xmlns:xm="http://schemas.microsoft.com/office/excel/2006/main">
          <x14:cfRule type="iconSet" priority="3" id="{4047D463-10AA-40FA-A958-14628C5D137D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K41:L45</xm:sqref>
        </x14:conditionalFormatting>
        <x14:conditionalFormatting xmlns:xm="http://schemas.microsoft.com/office/excel/2006/main">
          <x14:cfRule type="iconSet" priority="1" id="{18222528-E0AD-436B-9E9D-3C52D85CCD5C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K50:L69</xm:sqref>
        </x14:conditionalFormatting>
        <x14:conditionalFormatting xmlns:xm="http://schemas.microsoft.com/office/excel/2006/main">
          <x14:cfRule type="iconSet" priority="18" id="{E62C4404-39F0-44B9-8907-2F0921EB8D69}">
            <x14:iconSet iconSet="3Symbols2" custom="1">
              <x14:cfvo type="percent">
                <xm:f>0</xm:f>
              </x14:cfvo>
              <x14:cfvo type="percent">
                <xm:f>1</xm:f>
              </x14:cfvo>
              <x14:cfvo type="percent">
                <xm:f>5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10" id="{B5C222EE-BB34-412E-8BC5-D6E51E1653EB}">
            <x14:iconSet iconSet="3Symbols2" custom="1">
              <x14:cfvo type="percent">
                <xm:f>0</xm:f>
              </x14:cfvo>
              <x14:cfvo type="num">
                <xm:f>25</xm:f>
              </x14:cfvo>
              <x14:cfvo type="num">
                <xm:f>40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M25:M28</xm:sqref>
        </x14:conditionalFormatting>
        <x14:conditionalFormatting xmlns:xm="http://schemas.microsoft.com/office/excel/2006/main">
          <x14:cfRule type="iconSet" priority="12" id="{45AA006A-6001-446E-B3B5-B4B75548FA9B}">
            <x14:iconSet iconSet="3Symbols2" custom="1">
              <x14:cfvo type="percent">
                <xm:f>0</xm:f>
              </x14:cfvo>
              <x14:cfvo type="num">
                <xm:f>15</xm:f>
              </x14:cfvo>
              <x14:cfvo type="num">
                <xm:f>25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M41:M45</xm:sqref>
        </x14:conditionalFormatting>
        <x14:conditionalFormatting xmlns:xm="http://schemas.microsoft.com/office/excel/2006/main">
          <x14:cfRule type="iconSet" priority="11" id="{B041F0F7-4ABD-4E31-B2C0-A7FD17A1EBE0}">
            <x14:iconSet iconSet="3Symbols2" custom="1">
              <x14:cfvo type="percent">
                <xm:f>0</xm:f>
              </x14:cfvo>
              <x14:cfvo type="num">
                <xm:f>15</xm:f>
              </x14:cfvo>
              <x14:cfvo type="num">
                <xm:f>25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M50:M69</xm:sqref>
        </x14:conditionalFormatting>
        <x14:conditionalFormatting xmlns:xm="http://schemas.microsoft.com/office/excel/2006/main">
          <x14:cfRule type="iconSet" priority="5" id="{82B41B23-A86D-4362-93AB-1F471C2C92D3}">
            <x14:iconSet iconSet="3Symbols2" custom="1">
              <x14:cfvo type="percent">
                <xm:f>0</xm:f>
              </x14:cfvo>
              <x14:cfvo type="percent">
                <xm:f>50</xm:f>
              </x14:cfvo>
              <x14:cfvo type="percent">
                <xm:f>50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M70:M73</xm:sqref>
        </x14:conditionalFormatting>
        <x14:conditionalFormatting xmlns:xm="http://schemas.microsoft.com/office/excel/2006/main">
          <x14:cfRule type="iconSet" priority="21" id="{B6EE513B-6D7F-4C19-87FB-06C7ABB0DD4D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N25:N28</xm:sqref>
        </x14:conditionalFormatting>
        <x14:conditionalFormatting xmlns:xm="http://schemas.microsoft.com/office/excel/2006/main">
          <x14:cfRule type="iconSet" priority="8" id="{5E20A7AD-E61C-4F68-B4FE-B609A6452423}">
            <x14:iconSet iconSet="3Symbols2" custom="1">
              <x14:cfvo type="percent">
                <xm:f>0</xm:f>
              </x14:cfvo>
              <x14:cfvo type="percent">
                <xm:f>5</xm:f>
              </x14:cfvo>
              <x14:cfvo type="percent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N41:N45</xm:sqref>
        </x14:conditionalFormatting>
        <x14:conditionalFormatting xmlns:xm="http://schemas.microsoft.com/office/excel/2006/main">
          <x14:cfRule type="iconSet" priority="4" id="{0F4143F1-1782-4B8C-B75B-4EA4C7EA37B7}">
            <x14:iconSet iconSet="3Symbols2" custom="1">
              <x14:cfvo type="percent">
                <xm:f>0</xm:f>
              </x14:cfvo>
              <x14:cfvo type="percent">
                <xm:f>5</xm:f>
              </x14:cfvo>
              <x14:cfvo type="percent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N50:N69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V212"/>
  <sheetViews>
    <sheetView showGridLines="0" view="pageBreakPreview" topLeftCell="A42" zoomScale="99" zoomScaleNormal="93" zoomScaleSheetLayoutView="99" workbookViewId="0">
      <selection activeCell="H52" sqref="H52"/>
    </sheetView>
  </sheetViews>
  <sheetFormatPr defaultColWidth="9.1796875" defaultRowHeight="13" x14ac:dyDescent="0.25"/>
  <cols>
    <col min="1" max="1" width="4.26953125" style="84" customWidth="1"/>
    <col min="2" max="2" width="4.26953125" style="139" customWidth="1"/>
    <col min="3" max="3" width="18.1796875" style="139" customWidth="1"/>
    <col min="4" max="4" width="3.26953125" style="139" customWidth="1"/>
    <col min="5" max="5" width="14.453125" style="139" customWidth="1"/>
    <col min="6" max="6" width="13.453125" style="139" customWidth="1"/>
    <col min="7" max="7" width="13.7265625" style="139" customWidth="1"/>
    <col min="8" max="8" width="11.81640625" style="139" customWidth="1"/>
    <col min="9" max="11" width="9.08984375" style="139" customWidth="1"/>
    <col min="12" max="13" width="8.36328125" style="139" customWidth="1"/>
    <col min="14" max="14" width="13.26953125" style="83" customWidth="1"/>
    <col min="15" max="15" width="5.1796875" style="83" customWidth="1"/>
    <col min="16" max="16" width="11.26953125" style="83" customWidth="1"/>
    <col min="17" max="17" width="10.81640625" style="84" customWidth="1"/>
    <col min="18" max="16384" width="9.1796875" style="84"/>
  </cols>
  <sheetData>
    <row r="1" spans="1:22" ht="18.5" customHeight="1" x14ac:dyDescent="0.25">
      <c r="A1" s="954" t="str">
        <f>PENYELIA!A1</f>
        <v>HASIL KALIBRASI ELEKTROENCEPHALOGRAPH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88"/>
      <c r="P1" s="88"/>
    </row>
    <row r="2" spans="1:22" ht="17" customHeight="1" x14ac:dyDescent="0.25">
      <c r="A2" s="985" t="str">
        <f>PENYELIA!A2</f>
        <v>Nomor Sertifikat : 20 / 1 / VIII - 22 / E - 008.27 DL</v>
      </c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985"/>
      <c r="O2" s="90"/>
      <c r="P2" s="90"/>
    </row>
    <row r="3" spans="1:22" ht="15" customHeight="1" x14ac:dyDescent="0.25"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79"/>
      <c r="O3" s="79"/>
      <c r="P3" s="79"/>
      <c r="Q3" s="91"/>
    </row>
    <row r="4" spans="1:22" ht="15" customHeight="1" x14ac:dyDescent="0.25">
      <c r="A4" s="124" t="s">
        <v>25</v>
      </c>
      <c r="B4" s="124"/>
      <c r="C4" s="198"/>
      <c r="D4" s="712" t="s">
        <v>26</v>
      </c>
      <c r="E4" s="134" t="str">
        <f>PENYELIA!D4</f>
        <v>NIHON KOHDEN</v>
      </c>
      <c r="G4" s="124"/>
      <c r="H4" s="124"/>
      <c r="I4" s="124"/>
      <c r="J4" s="124"/>
      <c r="K4" s="124"/>
      <c r="L4" s="124"/>
      <c r="M4" s="124"/>
      <c r="N4" s="79"/>
      <c r="O4" s="79"/>
      <c r="P4" s="79"/>
      <c r="Q4" s="91"/>
    </row>
    <row r="5" spans="1:22" ht="14.5" x14ac:dyDescent="0.25">
      <c r="A5" s="124" t="s">
        <v>28</v>
      </c>
      <c r="B5" s="124"/>
      <c r="C5" s="198"/>
      <c r="D5" s="712" t="s">
        <v>26</v>
      </c>
      <c r="E5" s="124" t="str">
        <f>PENYELIA!D5</f>
        <v>NEUROFAX</v>
      </c>
      <c r="G5" s="124"/>
      <c r="H5" s="124"/>
      <c r="I5" s="124"/>
      <c r="J5" s="124"/>
      <c r="K5" s="124"/>
      <c r="L5" s="124"/>
      <c r="M5" s="124"/>
      <c r="N5" s="79"/>
      <c r="O5" s="79"/>
      <c r="P5" s="79"/>
      <c r="Q5" s="91"/>
    </row>
    <row r="6" spans="1:22" ht="14.25" customHeight="1" x14ac:dyDescent="0.25">
      <c r="A6" s="124" t="s">
        <v>29</v>
      </c>
      <c r="B6" s="124"/>
      <c r="C6" s="198"/>
      <c r="D6" s="712" t="s">
        <v>26</v>
      </c>
      <c r="E6" s="124" t="str">
        <f>PENYELIA!D6</f>
        <v>20827</v>
      </c>
      <c r="G6" s="124"/>
      <c r="H6" s="124"/>
      <c r="I6" s="124"/>
      <c r="J6" s="124"/>
      <c r="K6" s="124"/>
      <c r="L6" s="124"/>
      <c r="M6" s="124"/>
      <c r="N6" s="79"/>
      <c r="O6" s="79"/>
      <c r="P6" s="79"/>
      <c r="Q6" s="91"/>
    </row>
    <row r="7" spans="1:22" ht="14.25" customHeight="1" x14ac:dyDescent="0.25">
      <c r="A7" s="124" t="s">
        <v>475</v>
      </c>
      <c r="B7" s="124"/>
      <c r="C7" s="198"/>
      <c r="D7" s="712" t="s">
        <v>26</v>
      </c>
      <c r="E7" s="776">
        <f>ID!E7</f>
        <v>0.01</v>
      </c>
      <c r="F7" s="124" t="str">
        <f>ID!F7</f>
        <v>Hz</v>
      </c>
      <c r="G7" s="124"/>
      <c r="H7" s="124"/>
      <c r="I7" s="124"/>
      <c r="J7" s="124"/>
      <c r="K7" s="124"/>
      <c r="L7" s="124"/>
      <c r="M7" s="124"/>
      <c r="N7" s="79"/>
      <c r="O7" s="79"/>
      <c r="P7" s="79"/>
      <c r="Q7" s="91"/>
    </row>
    <row r="8" spans="1:22" ht="14.5" x14ac:dyDescent="0.25">
      <c r="A8" s="124" t="s">
        <v>476</v>
      </c>
      <c r="B8" s="124"/>
      <c r="C8" s="198"/>
      <c r="D8" s="712" t="s">
        <v>26</v>
      </c>
      <c r="E8" s="776">
        <f>ID!G7</f>
        <v>0.01</v>
      </c>
      <c r="F8" s="124" t="str">
        <f>ID!H7</f>
        <v>µv</v>
      </c>
      <c r="G8" s="124"/>
      <c r="H8" s="124"/>
      <c r="I8" s="124"/>
      <c r="J8" s="124"/>
      <c r="K8" s="124"/>
      <c r="L8" s="124"/>
      <c r="M8" s="124"/>
      <c r="N8" s="79"/>
      <c r="O8" s="79"/>
      <c r="P8" s="79"/>
      <c r="Q8" s="91"/>
    </row>
    <row r="9" spans="1:22" ht="14.5" x14ac:dyDescent="0.25">
      <c r="A9" s="124" t="str">
        <f>PENYELIA!A8</f>
        <v>Tanggal Penerimaan Alat</v>
      </c>
      <c r="B9" s="124"/>
      <c r="C9" s="198"/>
      <c r="D9" s="712" t="s">
        <v>26</v>
      </c>
      <c r="E9" s="124" t="str">
        <f>PENYELIA!D8</f>
        <v>2 Agustus 2022</v>
      </c>
      <c r="G9" s="124"/>
      <c r="H9" s="124"/>
      <c r="I9" s="124"/>
      <c r="J9" s="124"/>
      <c r="K9" s="124"/>
      <c r="L9" s="124"/>
      <c r="M9" s="124"/>
      <c r="N9" s="79"/>
      <c r="O9" s="79"/>
      <c r="P9" s="79"/>
      <c r="Q9" s="91"/>
    </row>
    <row r="10" spans="1:22" ht="14.5" x14ac:dyDescent="0.25">
      <c r="A10" s="124" t="str">
        <f>PENYELIA!A9</f>
        <v>Tanggal Kalibrasi</v>
      </c>
      <c r="B10" s="124"/>
      <c r="C10" s="198"/>
      <c r="D10" s="712" t="s">
        <v>26</v>
      </c>
      <c r="E10" s="124" t="str">
        <f>PENYELIA!D9</f>
        <v>2 Agustus 2022</v>
      </c>
      <c r="G10" s="124"/>
      <c r="H10" s="124"/>
      <c r="I10" s="124"/>
      <c r="J10" s="124"/>
      <c r="K10" s="124"/>
      <c r="L10" s="124"/>
      <c r="M10" s="124"/>
      <c r="N10" s="79"/>
      <c r="O10" s="79"/>
      <c r="P10" s="79"/>
      <c r="Q10" s="91"/>
    </row>
    <row r="11" spans="1:22" ht="14.5" x14ac:dyDescent="0.25">
      <c r="A11" s="124" t="str">
        <f>PENYELIA!A10</f>
        <v>Tempat Kalibrasi</v>
      </c>
      <c r="B11" s="124"/>
      <c r="C11" s="198"/>
      <c r="D11" s="712" t="s">
        <v>26</v>
      </c>
      <c r="E11" s="124" t="str">
        <f>PENYELIA!D10</f>
        <v>Ruang EEG</v>
      </c>
      <c r="G11" s="124"/>
      <c r="H11" s="124"/>
      <c r="I11" s="124"/>
      <c r="J11" s="124"/>
      <c r="K11" s="124"/>
      <c r="L11" s="124"/>
      <c r="M11" s="124"/>
      <c r="N11" s="79"/>
      <c r="O11" s="79"/>
      <c r="P11" s="199" t="str">
        <f>P18&amp;P16&amp;Q18&amp;Q16&amp;R18&amp;R16</f>
        <v>( 22.6 ± 0.1 ) °C</v>
      </c>
      <c r="Q11" s="91"/>
    </row>
    <row r="12" spans="1:22" ht="14.5" x14ac:dyDescent="0.25">
      <c r="A12" s="124" t="s">
        <v>33</v>
      </c>
      <c r="B12" s="124"/>
      <c r="C12" s="198"/>
      <c r="D12" s="712" t="s">
        <v>26</v>
      </c>
      <c r="E12" s="124" t="str">
        <f>PENYELIA!D11</f>
        <v>Ruang EEG</v>
      </c>
      <c r="G12" s="124"/>
      <c r="H12" s="124"/>
      <c r="I12" s="124"/>
      <c r="J12" s="124"/>
      <c r="K12" s="124"/>
      <c r="L12" s="124"/>
      <c r="M12" s="124"/>
      <c r="N12" s="79"/>
      <c r="O12" s="79"/>
      <c r="P12" s="199" t="str">
        <f>P18&amp;P17&amp;Q18&amp;Q17&amp;R18&amp;R17</f>
        <v>( 51.6 ± 1.5 ) %RH</v>
      </c>
      <c r="Q12" s="91"/>
    </row>
    <row r="13" spans="1:22" ht="14.5" x14ac:dyDescent="0.25">
      <c r="A13" s="124" t="s">
        <v>148</v>
      </c>
      <c r="B13" s="124"/>
      <c r="C13" s="198"/>
      <c r="D13" s="712" t="s">
        <v>26</v>
      </c>
      <c r="E13" s="124" t="str">
        <f>PENYELIA!D12</f>
        <v>MK 021-18</v>
      </c>
      <c r="G13" s="124"/>
      <c r="H13" s="124"/>
      <c r="I13" s="124"/>
      <c r="J13" s="124"/>
      <c r="K13" s="124"/>
      <c r="L13" s="124"/>
      <c r="M13" s="124"/>
      <c r="N13" s="79"/>
      <c r="O13" s="79"/>
      <c r="P13" s="199" t="str">
        <f>T17&amp;T16&amp;U17&amp;U16&amp;V17&amp;V16</f>
        <v>( 219.8 ± 2.6 ) Volt</v>
      </c>
      <c r="Q13" s="91"/>
    </row>
    <row r="14" spans="1:22" ht="15" customHeight="1" thickBot="1" x14ac:dyDescent="0.3">
      <c r="A14" s="124"/>
      <c r="B14" s="124"/>
      <c r="C14" s="124"/>
      <c r="D14" s="233"/>
      <c r="E14" s="124"/>
      <c r="G14" s="124"/>
      <c r="H14" s="124"/>
      <c r="I14" s="124"/>
      <c r="J14" s="124"/>
      <c r="K14" s="124"/>
      <c r="L14" s="124"/>
      <c r="M14" s="124"/>
      <c r="N14" s="79"/>
      <c r="O14" s="79"/>
      <c r="S14" s="124"/>
    </row>
    <row r="15" spans="1:22" ht="14.5" x14ac:dyDescent="0.25">
      <c r="A15" s="125" t="s">
        <v>34</v>
      </c>
      <c r="B15" s="125" t="s">
        <v>35</v>
      </c>
      <c r="C15" s="125"/>
      <c r="D15" s="233"/>
      <c r="E15" s="124"/>
      <c r="G15" s="125"/>
      <c r="H15" s="125"/>
      <c r="I15" s="124"/>
      <c r="J15" s="124"/>
      <c r="K15" s="124"/>
      <c r="L15" s="124"/>
      <c r="M15" s="124"/>
      <c r="N15" s="79"/>
      <c r="O15" s="79"/>
      <c r="P15" s="981" t="s">
        <v>304</v>
      </c>
      <c r="Q15" s="982"/>
      <c r="R15" s="983"/>
      <c r="S15" s="124"/>
      <c r="T15" s="981" t="s">
        <v>304</v>
      </c>
      <c r="U15" s="982"/>
      <c r="V15" s="983"/>
    </row>
    <row r="16" spans="1:22" ht="15" customHeight="1" x14ac:dyDescent="0.25">
      <c r="A16" s="124"/>
      <c r="B16" s="124" t="s">
        <v>38</v>
      </c>
      <c r="C16" s="198"/>
      <c r="D16" s="712" t="s">
        <v>26</v>
      </c>
      <c r="E16" s="777" t="str">
        <f>P16</f>
        <v>22.6</v>
      </c>
      <c r="F16" s="131" t="str">
        <f>Q18</f>
        <v xml:space="preserve"> ± </v>
      </c>
      <c r="G16" s="778" t="str">
        <f>Q16</f>
        <v>0.1</v>
      </c>
      <c r="H16" s="124" t="str">
        <f>R16</f>
        <v xml:space="preserve"> °C</v>
      </c>
      <c r="I16" s="124"/>
      <c r="J16" s="124"/>
      <c r="K16" s="668"/>
      <c r="L16" s="124"/>
      <c r="M16" s="124"/>
      <c r="P16" s="537" t="str">
        <f>'DB SUHU'!N390</f>
        <v>22.6</v>
      </c>
      <c r="Q16" s="537" t="str">
        <f>'DB SUHU'!O390</f>
        <v>0.1</v>
      </c>
      <c r="R16" s="538" t="s">
        <v>305</v>
      </c>
      <c r="S16" s="124"/>
      <c r="T16" s="537" t="str">
        <f>'DB ESA'!H272</f>
        <v>219.8</v>
      </c>
      <c r="U16" s="537" t="str">
        <f>'DB ESA'!I272</f>
        <v>2.6</v>
      </c>
      <c r="V16" s="538" t="s">
        <v>306</v>
      </c>
    </row>
    <row r="17" spans="1:22" ht="16" thickBot="1" x14ac:dyDescent="0.35">
      <c r="A17" s="124"/>
      <c r="B17" s="124" t="s">
        <v>274</v>
      </c>
      <c r="C17" s="198"/>
      <c r="D17" s="712" t="s">
        <v>26</v>
      </c>
      <c r="E17" s="777" t="str">
        <f>P17</f>
        <v>51.6</v>
      </c>
      <c r="F17" s="131" t="str">
        <f>Q18</f>
        <v xml:space="preserve"> ± </v>
      </c>
      <c r="G17" s="778" t="str">
        <f>Q17</f>
        <v>1.5</v>
      </c>
      <c r="H17" s="124" t="str">
        <f>R17</f>
        <v xml:space="preserve"> %RH</v>
      </c>
      <c r="I17" s="124"/>
      <c r="J17" s="124"/>
      <c r="K17" s="668"/>
      <c r="L17" s="124"/>
      <c r="M17" s="124"/>
      <c r="P17" s="537" t="str">
        <f>'DB SUHU'!N391</f>
        <v>51.6</v>
      </c>
      <c r="Q17" s="537" t="str">
        <f>'DB SUHU'!O391</f>
        <v>1.5</v>
      </c>
      <c r="R17" s="538" t="s">
        <v>307</v>
      </c>
      <c r="S17" s="124"/>
      <c r="T17" s="541" t="s">
        <v>308</v>
      </c>
      <c r="U17" s="542" t="s">
        <v>309</v>
      </c>
      <c r="V17" s="543" t="s">
        <v>310</v>
      </c>
    </row>
    <row r="18" spans="1:22" ht="16" thickBot="1" x14ac:dyDescent="0.35">
      <c r="A18" s="124"/>
      <c r="B18" s="136" t="s">
        <v>42</v>
      </c>
      <c r="C18" s="124"/>
      <c r="D18" s="712" t="s">
        <v>26</v>
      </c>
      <c r="E18" s="777" t="str">
        <f>T16</f>
        <v>219.8</v>
      </c>
      <c r="F18" s="131" t="str">
        <f>U17</f>
        <v xml:space="preserve"> ± </v>
      </c>
      <c r="G18" s="779" t="str">
        <f>U16</f>
        <v>2.6</v>
      </c>
      <c r="H18" s="124" t="str">
        <f>V16</f>
        <v xml:space="preserve"> Volt</v>
      </c>
      <c r="I18" s="124"/>
      <c r="J18" s="124"/>
      <c r="K18" s="668"/>
      <c r="L18" s="124"/>
      <c r="M18" s="124"/>
      <c r="P18" s="541" t="s">
        <v>308</v>
      </c>
      <c r="Q18" s="542" t="s">
        <v>309</v>
      </c>
      <c r="R18" s="543" t="s">
        <v>310</v>
      </c>
      <c r="S18" s="91"/>
    </row>
    <row r="19" spans="1:22" ht="15.75" customHeight="1" x14ac:dyDescent="0.25">
      <c r="A19" s="124"/>
      <c r="B19" s="124"/>
      <c r="C19" s="124"/>
      <c r="E19" s="131"/>
      <c r="F19" s="134"/>
      <c r="G19" s="134"/>
      <c r="H19" s="124"/>
      <c r="I19" s="124"/>
      <c r="J19" s="124"/>
      <c r="K19" s="668"/>
      <c r="L19" s="124"/>
      <c r="M19" s="124"/>
    </row>
    <row r="20" spans="1:22" ht="14" x14ac:dyDescent="0.25">
      <c r="A20" s="125" t="s">
        <v>44</v>
      </c>
      <c r="B20" s="125" t="s">
        <v>311</v>
      </c>
      <c r="C20" s="125"/>
      <c r="E20" s="125"/>
      <c r="G20" s="125"/>
      <c r="H20" s="125"/>
      <c r="I20" s="125"/>
      <c r="J20" s="125"/>
      <c r="K20" s="124"/>
      <c r="L20" s="124"/>
      <c r="M20" s="124"/>
    </row>
    <row r="21" spans="1:22" ht="14.5" x14ac:dyDescent="0.25">
      <c r="A21" s="124"/>
      <c r="B21" s="124" t="s">
        <v>47</v>
      </c>
      <c r="C21" s="198"/>
      <c r="D21" s="712" t="s">
        <v>26</v>
      </c>
      <c r="E21" s="124" t="str">
        <f>PENYELIA!D20</f>
        <v>Baik</v>
      </c>
      <c r="G21" s="124"/>
      <c r="H21" s="124"/>
      <c r="I21" s="124"/>
      <c r="J21" s="124"/>
      <c r="K21" s="124"/>
      <c r="L21" s="124"/>
      <c r="M21" s="124"/>
      <c r="N21" s="79"/>
      <c r="O21" s="79"/>
      <c r="P21" s="79"/>
      <c r="Q21" s="91"/>
    </row>
    <row r="22" spans="1:22" ht="14.5" x14ac:dyDescent="0.25">
      <c r="A22" s="124"/>
      <c r="B22" s="124" t="s">
        <v>50</v>
      </c>
      <c r="C22" s="198"/>
      <c r="D22" s="712" t="s">
        <v>26</v>
      </c>
      <c r="E22" s="124" t="str">
        <f>PENYELIA!D21</f>
        <v>Baik</v>
      </c>
      <c r="G22" s="124"/>
      <c r="H22" s="124"/>
      <c r="I22" s="124"/>
      <c r="J22" s="124"/>
      <c r="K22" s="124"/>
      <c r="L22" s="124"/>
      <c r="M22" s="124"/>
      <c r="N22" s="79"/>
      <c r="O22" s="79"/>
      <c r="P22" s="79"/>
      <c r="Q22" s="91"/>
    </row>
    <row r="23" spans="1:22" ht="15" customHeight="1" x14ac:dyDescent="0.25">
      <c r="B23" s="125"/>
      <c r="C23" s="125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79"/>
      <c r="O23" s="79"/>
      <c r="P23" s="92"/>
    </row>
    <row r="24" spans="1:22" ht="14.5" x14ac:dyDescent="0.25">
      <c r="A24" s="125" t="s">
        <v>51</v>
      </c>
      <c r="B24" s="125" t="s">
        <v>312</v>
      </c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79"/>
      <c r="O24" s="79"/>
      <c r="P24" s="92"/>
    </row>
    <row r="25" spans="1:22" ht="12.75" customHeight="1" x14ac:dyDescent="0.25">
      <c r="B25" s="825" t="s">
        <v>0</v>
      </c>
      <c r="C25" s="820" t="s">
        <v>54</v>
      </c>
      <c r="D25" s="820"/>
      <c r="E25" s="820"/>
      <c r="F25" s="820"/>
      <c r="G25" s="820"/>
      <c r="H25" s="820"/>
      <c r="I25" s="847" t="s">
        <v>55</v>
      </c>
      <c r="J25" s="847"/>
      <c r="K25" s="829" t="s">
        <v>279</v>
      </c>
      <c r="L25" s="830"/>
      <c r="M25" s="125"/>
      <c r="P25" s="92"/>
    </row>
    <row r="26" spans="1:22" ht="14" x14ac:dyDescent="0.25">
      <c r="B26" s="826"/>
      <c r="C26" s="820"/>
      <c r="D26" s="820"/>
      <c r="E26" s="820"/>
      <c r="F26" s="820"/>
      <c r="G26" s="820"/>
      <c r="H26" s="820"/>
      <c r="I26" s="847"/>
      <c r="J26" s="847"/>
      <c r="K26" s="831"/>
      <c r="L26" s="832"/>
      <c r="M26" s="125"/>
      <c r="P26" s="92"/>
    </row>
    <row r="27" spans="1:22" ht="14.5" x14ac:dyDescent="0.25">
      <c r="B27" s="204">
        <v>1</v>
      </c>
      <c r="C27" s="946" t="str">
        <f>ID!C26</f>
        <v>Resistensi Isolasi</v>
      </c>
      <c r="D27" s="946"/>
      <c r="E27" s="946"/>
      <c r="F27" s="946"/>
      <c r="G27" s="946"/>
      <c r="H27" s="946"/>
      <c r="I27" s="780" t="str">
        <f>PENYELIA!I25</f>
        <v>OL</v>
      </c>
      <c r="J27" s="707" t="str">
        <f>IF(OR(I27="OL",I27="-"),"","MΩ")</f>
        <v/>
      </c>
      <c r="K27" s="961">
        <f>PENYELIA!K25</f>
        <v>2</v>
      </c>
      <c r="L27" s="962"/>
      <c r="M27" s="79"/>
      <c r="P27" s="79"/>
    </row>
    <row r="28" spans="1:22" ht="14.5" x14ac:dyDescent="0.25">
      <c r="B28" s="204">
        <v>2</v>
      </c>
      <c r="C28" s="946" t="str">
        <f>ID!C27</f>
        <v>Resistansi Pembumian Protektif (kabel dapat dilepas)</v>
      </c>
      <c r="D28" s="946"/>
      <c r="E28" s="946"/>
      <c r="F28" s="946"/>
      <c r="G28" s="946"/>
      <c r="H28" s="946"/>
      <c r="I28" s="781">
        <f>PENYELIA!I26</f>
        <v>0.10120218680256682</v>
      </c>
      <c r="J28" s="707" t="str">
        <f>IF(OR(I28="OL",I28="-"),"","Ω")</f>
        <v>Ω</v>
      </c>
      <c r="K28" s="963">
        <f>PENYELIA!K26</f>
        <v>0.2</v>
      </c>
      <c r="L28" s="964"/>
      <c r="M28" s="79"/>
    </row>
    <row r="29" spans="1:22" ht="14.5" x14ac:dyDescent="0.25">
      <c r="B29" s="204">
        <v>3</v>
      </c>
      <c r="C29" s="946" t="str">
        <f>ID!C28</f>
        <v>Arus bocor peralatan untuk peralatan elektromedik kelas I</v>
      </c>
      <c r="D29" s="946"/>
      <c r="E29" s="946"/>
      <c r="F29" s="946"/>
      <c r="G29" s="946"/>
      <c r="H29" s="946"/>
      <c r="I29" s="780">
        <f>PENYELIA!I27</f>
        <v>594.65008986917508</v>
      </c>
      <c r="J29" s="707" t="str">
        <f>IF(OR(I29="OL",I29="-"),"","µA")</f>
        <v>µA</v>
      </c>
      <c r="K29" s="965">
        <f>PENYELIA!K27</f>
        <v>500</v>
      </c>
      <c r="L29" s="966"/>
      <c r="M29" s="79"/>
      <c r="P29" s="79"/>
    </row>
    <row r="30" spans="1:22" ht="14.5" x14ac:dyDescent="0.25">
      <c r="B30" s="204">
        <v>4</v>
      </c>
      <c r="C30" s="946" t="str">
        <f>ID!C29</f>
        <v>Arus bocor peralatan yang diaplikasikan</v>
      </c>
      <c r="D30" s="946"/>
      <c r="E30" s="946"/>
      <c r="F30" s="946"/>
      <c r="G30" s="946"/>
      <c r="H30" s="946"/>
      <c r="I30" s="780">
        <f>PENYELIA!I28</f>
        <v>41.02535655746567</v>
      </c>
      <c r="J30" s="707" t="str">
        <f>IF(OR(I30="OL",I30="-"),"","µA")</f>
        <v>µA</v>
      </c>
      <c r="K30" s="965">
        <f>PENYELIA!K28</f>
        <v>50</v>
      </c>
      <c r="L30" s="966"/>
      <c r="M30" s="79"/>
      <c r="P30" s="79"/>
      <c r="Q30" s="91"/>
    </row>
    <row r="31" spans="1:22" ht="15" customHeight="1" x14ac:dyDescent="0.2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34"/>
      <c r="M31" s="124"/>
      <c r="N31" s="79"/>
      <c r="O31" s="79"/>
      <c r="P31" s="79"/>
      <c r="Q31" s="91"/>
    </row>
    <row r="32" spans="1:22" ht="14.5" x14ac:dyDescent="0.25">
      <c r="A32" s="125" t="s">
        <v>75</v>
      </c>
      <c r="B32" s="125" t="str">
        <f>PENYELIA!B30</f>
        <v>Pengujian Kinerja</v>
      </c>
      <c r="C32" s="84"/>
      <c r="K32" s="124"/>
      <c r="N32" s="79"/>
      <c r="O32" s="79"/>
      <c r="P32" s="79"/>
      <c r="Q32" s="91"/>
    </row>
    <row r="33" spans="2:16" ht="14" x14ac:dyDescent="0.25">
      <c r="B33" s="125" t="str">
        <f>ID!B32</f>
        <v>a. Kualitas Elektroda</v>
      </c>
      <c r="C33" s="84"/>
      <c r="D33" s="124"/>
      <c r="E33" s="124"/>
      <c r="F33" s="124"/>
      <c r="G33" s="124"/>
      <c r="H33" s="124"/>
      <c r="J33" s="124"/>
    </row>
    <row r="34" spans="2:16" ht="14" x14ac:dyDescent="0.25">
      <c r="B34" s="820" t="s">
        <v>53</v>
      </c>
      <c r="C34" s="820" t="s">
        <v>54</v>
      </c>
      <c r="D34" s="820"/>
      <c r="E34" s="814" t="str">
        <f>ID!D33</f>
        <v>Setting Alat</v>
      </c>
      <c r="F34" s="847" t="s">
        <v>165</v>
      </c>
      <c r="G34" s="329"/>
      <c r="H34" s="984"/>
      <c r="I34" s="984"/>
      <c r="J34" s="984"/>
      <c r="K34" s="984"/>
    </row>
    <row r="35" spans="2:16" ht="14" x14ac:dyDescent="0.25">
      <c r="B35" s="820"/>
      <c r="C35" s="820"/>
      <c r="D35" s="820"/>
      <c r="E35" s="815"/>
      <c r="F35" s="847"/>
      <c r="G35" s="329"/>
      <c r="H35" s="984"/>
      <c r="I35" s="984"/>
      <c r="J35" s="984"/>
      <c r="K35" s="984"/>
    </row>
    <row r="36" spans="2:16" ht="14" x14ac:dyDescent="0.25">
      <c r="B36" s="129">
        <v>1</v>
      </c>
      <c r="C36" s="827" t="str">
        <f>ID!C35</f>
        <v>Impedansi</v>
      </c>
      <c r="D36" s="827"/>
      <c r="E36" s="456" t="str">
        <f>ID!D35</f>
        <v>Threshold</v>
      </c>
      <c r="F36" s="325" t="str">
        <f>PENYELIA!E34</f>
        <v>Baik</v>
      </c>
      <c r="G36" s="124"/>
      <c r="H36" s="986"/>
      <c r="I36" s="986"/>
      <c r="J36" s="986"/>
      <c r="K36" s="986"/>
    </row>
    <row r="37" spans="2:16" ht="14" x14ac:dyDescent="0.25">
      <c r="B37" s="129">
        <v>2</v>
      </c>
      <c r="C37" s="827" t="str">
        <f>ID!C36</f>
        <v>Noise</v>
      </c>
      <c r="D37" s="827"/>
      <c r="E37" s="481">
        <f>ID!D36</f>
        <v>5</v>
      </c>
      <c r="F37" s="325" t="str">
        <f>PENYELIA!E35</f>
        <v>Baik</v>
      </c>
      <c r="G37" s="124"/>
      <c r="H37" s="986"/>
      <c r="I37" s="986"/>
      <c r="J37" s="986"/>
      <c r="K37" s="986"/>
      <c r="L37" s="124"/>
      <c r="M37" s="124"/>
    </row>
    <row r="38" spans="2:16" ht="14" x14ac:dyDescent="0.25">
      <c r="B38" s="129">
        <v>3</v>
      </c>
      <c r="C38" s="827" t="str">
        <f>ID!C37</f>
        <v>Amplitudo</v>
      </c>
      <c r="D38" s="827"/>
      <c r="E38" s="782" t="str">
        <f>PENYELIA!D36</f>
        <v>50 µv</v>
      </c>
      <c r="F38" s="325" t="str">
        <f>PENYELIA!E36</f>
        <v>Baik</v>
      </c>
      <c r="G38" s="131"/>
      <c r="H38" s="427"/>
      <c r="I38" s="427"/>
      <c r="J38" s="427"/>
      <c r="K38" s="427"/>
      <c r="L38" s="124"/>
      <c r="M38" s="124"/>
    </row>
    <row r="39" spans="2:16" ht="7.5" customHeight="1" x14ac:dyDescent="0.25">
      <c r="B39" s="126"/>
      <c r="C39" s="126"/>
      <c r="E39" s="127"/>
      <c r="F39" s="124"/>
      <c r="G39" s="124"/>
      <c r="H39" s="124"/>
      <c r="I39" s="124"/>
      <c r="J39" s="124"/>
      <c r="K39" s="124"/>
      <c r="L39" s="124"/>
      <c r="M39" s="124"/>
    </row>
    <row r="40" spans="2:16" ht="14.5" x14ac:dyDescent="0.25">
      <c r="B40" s="125" t="str">
        <f>ID!B39</f>
        <v>b. Kalibrasi Frekuensi</v>
      </c>
      <c r="C40" s="124"/>
      <c r="E40" s="124"/>
      <c r="F40" s="124"/>
      <c r="G40" s="124"/>
      <c r="H40" s="124"/>
      <c r="I40" s="124"/>
      <c r="J40" s="124"/>
      <c r="K40" s="124"/>
      <c r="L40" s="124"/>
      <c r="M40" s="124"/>
      <c r="N40" s="79"/>
      <c r="O40" s="91"/>
      <c r="P40" s="84"/>
    </row>
    <row r="41" spans="2:16" ht="15" customHeight="1" x14ac:dyDescent="0.25">
      <c r="B41" s="825" t="s">
        <v>53</v>
      </c>
      <c r="C41" s="820" t="s">
        <v>54</v>
      </c>
      <c r="D41" s="820"/>
      <c r="E41" s="814" t="str">
        <f>PENYELIA!D39</f>
        <v>Setting Standar</v>
      </c>
      <c r="F41" s="814" t="str">
        <f>PENYELIA!E39</f>
        <v xml:space="preserve">Setting Montage Alat </v>
      </c>
      <c r="G41" s="814" t="str">
        <f>PENYELIA!F39</f>
        <v>Hasil Pengukuran (Hz)</v>
      </c>
      <c r="H41" s="814" t="str">
        <f>PENYELIA!G39</f>
        <v>Koreksi
(Hz)</v>
      </c>
      <c r="I41" s="814" t="s">
        <v>290</v>
      </c>
      <c r="J41" s="829" t="s">
        <v>291</v>
      </c>
      <c r="K41" s="830"/>
      <c r="L41" s="847" t="s">
        <v>313</v>
      </c>
      <c r="M41" s="847"/>
      <c r="N41" s="79"/>
      <c r="O41" s="79"/>
      <c r="P41" s="84"/>
    </row>
    <row r="42" spans="2:16" ht="31.5" customHeight="1" x14ac:dyDescent="0.25">
      <c r="B42" s="826"/>
      <c r="C42" s="820"/>
      <c r="D42" s="820"/>
      <c r="E42" s="815"/>
      <c r="F42" s="815"/>
      <c r="G42" s="815"/>
      <c r="H42" s="815"/>
      <c r="I42" s="815"/>
      <c r="J42" s="831"/>
      <c r="K42" s="832"/>
      <c r="L42" s="847"/>
      <c r="M42" s="847"/>
      <c r="N42" s="79"/>
      <c r="O42" s="79"/>
      <c r="P42" s="84"/>
    </row>
    <row r="43" spans="2:16" ht="17.25" customHeight="1" x14ac:dyDescent="0.25">
      <c r="B43" s="854">
        <v>1</v>
      </c>
      <c r="C43" s="937" t="str">
        <f>PENYELIA!C41</f>
        <v>Frekuensi (Hz)</v>
      </c>
      <c r="D43" s="937"/>
      <c r="E43" s="787" t="str">
        <f>PENYELIA!D41</f>
        <v>100 µv, 0.1 Hz</v>
      </c>
      <c r="F43" s="987" t="str">
        <f>PENYELIA!E41</f>
        <v>Fp2 - Fp1</v>
      </c>
      <c r="G43" s="783">
        <f>IFERROR(PENYELIA!F41,"-")</f>
        <v>0.11001100000000001</v>
      </c>
      <c r="H43" s="783">
        <f>IFERROR(PENYELIA!G41,"-")</f>
        <v>-1.0011000000000006E-2</v>
      </c>
      <c r="I43" s="783">
        <f>IFERROR(PENYELIA!H41,"-")</f>
        <v>9.0999990909999955</v>
      </c>
      <c r="J43" s="970" t="s">
        <v>442</v>
      </c>
      <c r="K43" s="967">
        <v>10</v>
      </c>
      <c r="L43" s="706" t="str">
        <f>IF(M43="-",""," ±")</f>
        <v xml:space="preserve"> ±</v>
      </c>
      <c r="M43" s="784" t="str">
        <f>IF(O43&gt;=10,TEXT(O43,"0"),IF(O43&gt;=1,TEXT(O43,"0.0"),TEXT(O43,"0.00")))</f>
        <v>5.8</v>
      </c>
      <c r="N43" s="79"/>
      <c r="O43" s="360">
        <f>IFERROR(PENYELIA!J41,"-")</f>
        <v>5.7984681882584619</v>
      </c>
      <c r="P43" s="84"/>
    </row>
    <row r="44" spans="2:16" ht="17.25" customHeight="1" x14ac:dyDescent="0.25">
      <c r="B44" s="854"/>
      <c r="C44" s="937"/>
      <c r="D44" s="937"/>
      <c r="E44" s="787" t="str">
        <f>PENYELIA!D42</f>
        <v>100 µv, 2 Hz</v>
      </c>
      <c r="F44" s="988"/>
      <c r="G44" s="783">
        <f>IFERROR(PENYELIA!F42,"-")</f>
        <v>1.9901989999999998</v>
      </c>
      <c r="H44" s="783">
        <f>IFERROR(PENYELIA!G42,"-")</f>
        <v>9.8010000000001707E-3</v>
      </c>
      <c r="I44" s="783">
        <f>IFERROR(PENYELIA!H42,"-")</f>
        <v>0.49246331648243075</v>
      </c>
      <c r="J44" s="971"/>
      <c r="K44" s="968"/>
      <c r="L44" s="706" t="str">
        <f t="shared" ref="L44:L46" si="0">IF(M44="-",""," ±")</f>
        <v xml:space="preserve"> ±</v>
      </c>
      <c r="M44" s="784" t="str">
        <f>IF(O44&gt;=10,TEXT(O44,"0"),IF(O44&gt;=1,TEXT(O44,"0.0"),TEXT(O44,"0.00")))</f>
        <v>0.14</v>
      </c>
      <c r="N44" s="79"/>
      <c r="O44" s="327">
        <f>IFERROR(PENYELIA!J42,"-")</f>
        <v>0.1449874802716036</v>
      </c>
    </row>
    <row r="45" spans="2:16" ht="17.25" customHeight="1" x14ac:dyDescent="0.25">
      <c r="B45" s="854"/>
      <c r="C45" s="937"/>
      <c r="D45" s="937"/>
      <c r="E45" s="787" t="str">
        <f>PENYELIA!D43</f>
        <v>100 µv, 5 Hz</v>
      </c>
      <c r="F45" s="988"/>
      <c r="G45" s="783">
        <f>IFERROR(PENYELIA!F43,"-")</f>
        <v>5.0205019999999996</v>
      </c>
      <c r="H45" s="783">
        <f>IFERROR(PENYELIA!G43,"-")</f>
        <v>-2.0501999999999576E-2</v>
      </c>
      <c r="I45" s="783">
        <f>IFERROR(PENYELIA!H43,"-")</f>
        <v>0.40836553794818881</v>
      </c>
      <c r="J45" s="971"/>
      <c r="K45" s="968"/>
      <c r="L45" s="706" t="str">
        <f t="shared" si="0"/>
        <v xml:space="preserve"> ±</v>
      </c>
      <c r="M45" s="784" t="str">
        <f t="shared" ref="M45:M46" si="1">IF(O45&gt;=10,TEXT(O45,"0"),IF(O45&gt;=1,TEXT(O45,"0.0"),TEXT(O45,"0.00")))</f>
        <v>0.15</v>
      </c>
      <c r="N45" s="79"/>
      <c r="O45" s="327">
        <f>IFERROR(PENYELIA!J43,"-")</f>
        <v>0.1451261156827508</v>
      </c>
    </row>
    <row r="46" spans="2:16" ht="17.25" customHeight="1" x14ac:dyDescent="0.25">
      <c r="B46" s="854"/>
      <c r="C46" s="937"/>
      <c r="D46" s="937"/>
      <c r="E46" s="787" t="str">
        <f>PENYELIA!D44</f>
        <v>100 µv, 50 Hz</v>
      </c>
      <c r="F46" s="988"/>
      <c r="G46" s="783">
        <f>IFERROR(PENYELIA!F44,"-")</f>
        <v>51.205120000000001</v>
      </c>
      <c r="H46" s="783">
        <f>IFERROR(PENYELIA!G44,"-")</f>
        <v>-1.2051200000000009</v>
      </c>
      <c r="I46" s="783">
        <f>IFERROR(PENYELIA!H44,"-")</f>
        <v>2.3535146485351479</v>
      </c>
      <c r="J46" s="971"/>
      <c r="K46" s="968"/>
      <c r="L46" s="706" t="str">
        <f t="shared" si="0"/>
        <v xml:space="preserve"> ±</v>
      </c>
      <c r="M46" s="784" t="str">
        <f t="shared" si="1"/>
        <v>0.01</v>
      </c>
      <c r="N46" s="79"/>
      <c r="O46" s="327">
        <f>IFERROR(PENYELIA!J44,"-")</f>
        <v>1.2923056434590642E-2</v>
      </c>
    </row>
    <row r="47" spans="2:16" ht="17.25" customHeight="1" x14ac:dyDescent="0.25">
      <c r="B47" s="854"/>
      <c r="C47" s="937"/>
      <c r="D47" s="937"/>
      <c r="E47" s="787" t="str">
        <f>PENYELIA!D45</f>
        <v>100 µv, 60 Hz</v>
      </c>
      <c r="F47" s="989"/>
      <c r="G47" s="783">
        <f>IFERROR(PENYELIA!F45,"-")</f>
        <v>56.895688999999997</v>
      </c>
      <c r="H47" s="783">
        <f>IFERROR(PENYELIA!G45,"-")</f>
        <v>3.1043110000000027</v>
      </c>
      <c r="I47" s="783">
        <f>IFERROR(PENYELIA!H45,"-")</f>
        <v>5.4561444892599908</v>
      </c>
      <c r="J47" s="972"/>
      <c r="K47" s="969"/>
      <c r="L47" s="706" t="str">
        <f>IF(M47="-",""," ±")</f>
        <v xml:space="preserve"> ±</v>
      </c>
      <c r="M47" s="784" t="str">
        <f>IF(O47&gt;=10,TEXT(O47,"0"),IF(O47&gt;=1,TEXT(O47,"0.0"),TEXT(O47,"0.00")))</f>
        <v>0.01</v>
      </c>
      <c r="N47" s="79"/>
      <c r="O47" s="327">
        <f>IFERROR(PENYELIA!J45,"-")</f>
        <v>1.1017535149978733E-2</v>
      </c>
    </row>
    <row r="48" spans="2:16" ht="15" customHeight="1" x14ac:dyDescent="0.25">
      <c r="B48" s="125"/>
      <c r="C48" s="329"/>
      <c r="E48" s="329"/>
      <c r="F48" s="329"/>
      <c r="G48" s="125"/>
      <c r="H48" s="329"/>
      <c r="I48" s="331"/>
      <c r="J48" s="332"/>
      <c r="K48" s="974"/>
      <c r="L48" s="974"/>
      <c r="M48" s="84"/>
      <c r="N48" s="79"/>
      <c r="P48" s="84"/>
    </row>
    <row r="49" spans="2:16" ht="14.25" customHeight="1" x14ac:dyDescent="0.25">
      <c r="B49" s="125" t="str">
        <f>ID!B48</f>
        <v>c. Kalibrasi Amplitudo</v>
      </c>
      <c r="C49" s="329"/>
      <c r="E49" s="329"/>
      <c r="F49" s="329"/>
      <c r="G49" s="125"/>
      <c r="H49" s="329"/>
      <c r="I49" s="329"/>
      <c r="J49" s="332"/>
      <c r="K49" s="974"/>
      <c r="L49" s="974"/>
      <c r="M49" s="84"/>
      <c r="N49" s="79"/>
      <c r="P49" s="84"/>
    </row>
    <row r="50" spans="2:16" ht="22.5" customHeight="1" x14ac:dyDescent="0.25">
      <c r="B50" s="825" t="s">
        <v>53</v>
      </c>
      <c r="C50" s="975" t="s">
        <v>54</v>
      </c>
      <c r="D50" s="976"/>
      <c r="E50" s="814" t="str">
        <f>PENYELIA!D48</f>
        <v>Setting Standar</v>
      </c>
      <c r="F50" s="814" t="str">
        <f>PENYELIA!E48</f>
        <v>Setting Montage Alat</v>
      </c>
      <c r="G50" s="814" t="str">
        <f>PENYELIA!F48</f>
        <v>Hasil Pengukuran (µV)</v>
      </c>
      <c r="H50" s="814" t="str">
        <f>PENYELIA!G48</f>
        <v>Koreksi
(µV)</v>
      </c>
      <c r="I50" s="814" t="s">
        <v>290</v>
      </c>
      <c r="J50" s="829" t="s">
        <v>291</v>
      </c>
      <c r="K50" s="830"/>
      <c r="L50" s="847" t="s">
        <v>313</v>
      </c>
      <c r="M50" s="847"/>
      <c r="N50" s="84"/>
      <c r="O50" s="84"/>
      <c r="P50" s="84"/>
    </row>
    <row r="51" spans="2:16" ht="24" customHeight="1" x14ac:dyDescent="0.25">
      <c r="B51" s="826"/>
      <c r="C51" s="977"/>
      <c r="D51" s="978"/>
      <c r="E51" s="815"/>
      <c r="F51" s="815"/>
      <c r="G51" s="815"/>
      <c r="H51" s="815"/>
      <c r="I51" s="815"/>
      <c r="J51" s="831"/>
      <c r="K51" s="832"/>
      <c r="L51" s="847"/>
      <c r="M51" s="847"/>
      <c r="N51" s="84"/>
      <c r="O51" s="84"/>
      <c r="P51" s="84"/>
    </row>
    <row r="52" spans="2:16" ht="15" customHeight="1" x14ac:dyDescent="0.25">
      <c r="B52" s="828">
        <v>1</v>
      </c>
      <c r="C52" s="836" t="str">
        <f>ID!C51</f>
        <v>Amplitudo (µv)</v>
      </c>
      <c r="D52" s="838"/>
      <c r="E52" s="129" t="s">
        <v>111</v>
      </c>
      <c r="F52" s="828" t="s">
        <v>174</v>
      </c>
      <c r="G52" s="783">
        <f>IFERROR(PENYELIA!F50,"-")</f>
        <v>10.10101</v>
      </c>
      <c r="H52" s="783">
        <f>IFERROR(PENYELIA!G50,"-")</f>
        <v>-0.10101000000000049</v>
      </c>
      <c r="I52" s="783">
        <f>IFERROR(PENYELIA!H50,"-")</f>
        <v>0.99999900999999491</v>
      </c>
      <c r="J52" s="970" t="s">
        <v>442</v>
      </c>
      <c r="K52" s="967">
        <v>10</v>
      </c>
      <c r="L52" s="706" t="str">
        <f>IF(M52="-",""," ±")</f>
        <v xml:space="preserve"> ±</v>
      </c>
      <c r="M52" s="784" t="str">
        <f>IF(O52&gt;=10,TEXT(O52,"0"),IF(O52&gt;=1,TEXT(O52,"0.0"),TEXT(O52,"0.00")))</f>
        <v>1.0</v>
      </c>
      <c r="N52" s="79"/>
      <c r="O52" s="360">
        <f>IFERROR(PENYELIA!J50,"-")</f>
        <v>1.0203109904638641</v>
      </c>
      <c r="P52" s="84"/>
    </row>
    <row r="53" spans="2:16" ht="15" customHeight="1" x14ac:dyDescent="0.25">
      <c r="B53" s="828"/>
      <c r="C53" s="979"/>
      <c r="D53" s="980"/>
      <c r="E53" s="129" t="s">
        <v>113</v>
      </c>
      <c r="F53" s="828"/>
      <c r="G53" s="783">
        <f>IFERROR(PENYELIA!F51,"-")</f>
        <v>30.903089999999999</v>
      </c>
      <c r="H53" s="783">
        <f>IFERROR(PENYELIA!G51,"-")</f>
        <v>-0.90308999999999884</v>
      </c>
      <c r="I53" s="783">
        <f>IFERROR(PENYELIA!H51,"-")</f>
        <v>2.9223291263106663</v>
      </c>
      <c r="J53" s="971"/>
      <c r="K53" s="968"/>
      <c r="L53" s="706" t="str">
        <f t="shared" ref="L53:L70" si="2">IF(M53="-",""," ±")</f>
        <v xml:space="preserve"> ±</v>
      </c>
      <c r="M53" s="784" t="str">
        <f>IF(O53&gt;=10,TEXT(O53,"0"),IF(O53&gt;=1,TEXT(O53,"0.0"),TEXT(O53,"0.00")))</f>
        <v>1.0</v>
      </c>
      <c r="N53" s="79"/>
      <c r="O53" s="360">
        <f>IFERROR(PENYELIA!J51,"-")</f>
        <v>1.0350844321324577</v>
      </c>
      <c r="P53" s="84"/>
    </row>
    <row r="54" spans="2:16" ht="15" customHeight="1" x14ac:dyDescent="0.25">
      <c r="B54" s="828"/>
      <c r="C54" s="979"/>
      <c r="D54" s="980"/>
      <c r="E54" s="129" t="s">
        <v>114</v>
      </c>
      <c r="F54" s="828"/>
      <c r="G54" s="783">
        <f>IFERROR(PENYELIA!F52,"-")</f>
        <v>50.635063000000002</v>
      </c>
      <c r="H54" s="783">
        <f>IFERROR(PENYELIA!G52,"-")</f>
        <v>-0.63506300000000238</v>
      </c>
      <c r="I54" s="783">
        <f>IFERROR(PENYELIA!H52,"-")</f>
        <v>1.2541961288761552</v>
      </c>
      <c r="J54" s="971"/>
      <c r="K54" s="968"/>
      <c r="L54" s="706" t="str">
        <f t="shared" si="2"/>
        <v xml:space="preserve"> ±</v>
      </c>
      <c r="M54" s="784" t="str">
        <f t="shared" ref="M54:M70" si="3">IF(O54&gt;=10,TEXT(O54,"0"),IF(O54&gt;=1,TEXT(O54,"0.0"),TEXT(O54,"0.00")))</f>
        <v>1.0</v>
      </c>
      <c r="N54" s="79"/>
      <c r="O54" s="360">
        <f>IFERROR(PENYELIA!J52,"-")</f>
        <v>1.0171972343015296</v>
      </c>
      <c r="P54" s="84"/>
    </row>
    <row r="55" spans="2:16" ht="15" customHeight="1" x14ac:dyDescent="0.25">
      <c r="B55" s="828"/>
      <c r="C55" s="979"/>
      <c r="D55" s="980"/>
      <c r="E55" s="129" t="s">
        <v>103</v>
      </c>
      <c r="F55" s="828"/>
      <c r="G55" s="783">
        <f>IFERROR(PENYELIA!F53,"-")</f>
        <v>102.720271</v>
      </c>
      <c r="H55" s="783">
        <f>IFERROR(PENYELIA!G53,"-")</f>
        <v>-2.7202709999999968</v>
      </c>
      <c r="I55" s="783">
        <f>IFERROR(PENYELIA!H53,"-")</f>
        <v>2.6482319151981177</v>
      </c>
      <c r="J55" s="971"/>
      <c r="K55" s="968"/>
      <c r="L55" s="706" t="str">
        <f t="shared" si="2"/>
        <v xml:space="preserve"> ±</v>
      </c>
      <c r="M55" s="784" t="str">
        <f t="shared" si="3"/>
        <v>1.0</v>
      </c>
      <c r="N55" s="79"/>
      <c r="O55" s="360">
        <f>IFERROR(PENYELIA!J53,"-")</f>
        <v>1.0315801357531895</v>
      </c>
      <c r="P55" s="84"/>
    </row>
    <row r="56" spans="2:16" ht="15" customHeight="1" x14ac:dyDescent="0.25">
      <c r="B56" s="828">
        <v>2</v>
      </c>
      <c r="C56" s="979"/>
      <c r="D56" s="980"/>
      <c r="E56" s="129" t="s">
        <v>111</v>
      </c>
      <c r="F56" s="827" t="s">
        <v>175</v>
      </c>
      <c r="G56" s="783">
        <f>IFERROR(PENYELIA!F54,"-")</f>
        <v>10.10101</v>
      </c>
      <c r="H56" s="783">
        <f>IFERROR(PENYELIA!G54,"-")</f>
        <v>-0.10101000000000049</v>
      </c>
      <c r="I56" s="783">
        <f>IFERROR(PENYELIA!H54,"-")</f>
        <v>0.99999900999999491</v>
      </c>
      <c r="J56" s="971"/>
      <c r="K56" s="968"/>
      <c r="L56" s="706" t="str">
        <f t="shared" si="2"/>
        <v xml:space="preserve"> ±</v>
      </c>
      <c r="M56" s="784" t="str">
        <f t="shared" si="3"/>
        <v>1.0</v>
      </c>
      <c r="N56" s="79"/>
      <c r="O56" s="360">
        <f>IFERROR(PENYELIA!J54,"-")</f>
        <v>1.0203109904638641</v>
      </c>
      <c r="P56" s="84"/>
    </row>
    <row r="57" spans="2:16" ht="15" customHeight="1" x14ac:dyDescent="0.25">
      <c r="B57" s="828"/>
      <c r="C57" s="979"/>
      <c r="D57" s="980"/>
      <c r="E57" s="129" t="s">
        <v>113</v>
      </c>
      <c r="F57" s="827"/>
      <c r="G57" s="783">
        <f>IFERROR(PENYELIA!F55,"-")</f>
        <v>30.903089999999999</v>
      </c>
      <c r="H57" s="783">
        <f>IFERROR(PENYELIA!G55,"-")</f>
        <v>-0.90308999999999884</v>
      </c>
      <c r="I57" s="783">
        <f>IFERROR(PENYELIA!H55,"-")</f>
        <v>2.9223291263106663</v>
      </c>
      <c r="J57" s="971"/>
      <c r="K57" s="968"/>
      <c r="L57" s="706" t="str">
        <f t="shared" si="2"/>
        <v xml:space="preserve"> ±</v>
      </c>
      <c r="M57" s="784" t="str">
        <f t="shared" si="3"/>
        <v>1.0</v>
      </c>
      <c r="N57" s="79"/>
      <c r="O57" s="360">
        <f>IFERROR(PENYELIA!J55,"-")</f>
        <v>1.0350844321324577</v>
      </c>
      <c r="P57" s="84"/>
    </row>
    <row r="58" spans="2:16" ht="15" customHeight="1" x14ac:dyDescent="0.25">
      <c r="B58" s="828"/>
      <c r="C58" s="979"/>
      <c r="D58" s="980"/>
      <c r="E58" s="129" t="s">
        <v>114</v>
      </c>
      <c r="F58" s="827"/>
      <c r="G58" s="783">
        <f>IFERROR(PENYELIA!F56,"-")</f>
        <v>50.635063000000002</v>
      </c>
      <c r="H58" s="783">
        <f>IFERROR(PENYELIA!G56,"-")</f>
        <v>-0.63506300000000238</v>
      </c>
      <c r="I58" s="783">
        <f>IFERROR(PENYELIA!H56,"-")</f>
        <v>1.2541961288761552</v>
      </c>
      <c r="J58" s="971"/>
      <c r="K58" s="968"/>
      <c r="L58" s="706" t="str">
        <f t="shared" si="2"/>
        <v xml:space="preserve"> ±</v>
      </c>
      <c r="M58" s="784" t="str">
        <f t="shared" si="3"/>
        <v>1.0</v>
      </c>
      <c r="N58" s="79"/>
      <c r="O58" s="360">
        <f>IFERROR(PENYELIA!J56,"-")</f>
        <v>1.0171972343015296</v>
      </c>
      <c r="P58" s="84"/>
    </row>
    <row r="59" spans="2:16" ht="15" customHeight="1" x14ac:dyDescent="0.25">
      <c r="B59" s="828"/>
      <c r="C59" s="979"/>
      <c r="D59" s="980"/>
      <c r="E59" s="129" t="s">
        <v>103</v>
      </c>
      <c r="F59" s="827"/>
      <c r="G59" s="783">
        <f>IFERROR(PENYELIA!F57,"-")</f>
        <v>102.720271</v>
      </c>
      <c r="H59" s="783">
        <f>IFERROR(PENYELIA!G57,"-")</f>
        <v>-2.7202709999999968</v>
      </c>
      <c r="I59" s="783">
        <f>IFERROR(PENYELIA!H57,"-")</f>
        <v>2.6482319151981177</v>
      </c>
      <c r="J59" s="971"/>
      <c r="K59" s="968"/>
      <c r="L59" s="706" t="str">
        <f t="shared" si="2"/>
        <v xml:space="preserve"> ±</v>
      </c>
      <c r="M59" s="784" t="str">
        <f t="shared" si="3"/>
        <v>1.0</v>
      </c>
      <c r="N59" s="84"/>
      <c r="O59" s="360">
        <f>IFERROR(PENYELIA!J57,"-")</f>
        <v>1.0315801357531895</v>
      </c>
      <c r="P59" s="84"/>
    </row>
    <row r="60" spans="2:16" ht="15" customHeight="1" x14ac:dyDescent="0.25">
      <c r="B60" s="828">
        <v>3</v>
      </c>
      <c r="C60" s="979"/>
      <c r="D60" s="980"/>
      <c r="E60" s="129" t="s">
        <v>111</v>
      </c>
      <c r="F60" s="827" t="s">
        <v>176</v>
      </c>
      <c r="G60" s="783">
        <f>IFERROR(PENYELIA!F58,"-")</f>
        <v>10.10101</v>
      </c>
      <c r="H60" s="783">
        <f>IFERROR(PENYELIA!G58,"-")</f>
        <v>-0.10101000000000049</v>
      </c>
      <c r="I60" s="783">
        <f>IFERROR(PENYELIA!H58,"-")</f>
        <v>0.99999900999999491</v>
      </c>
      <c r="J60" s="971"/>
      <c r="K60" s="968"/>
      <c r="L60" s="706" t="str">
        <f t="shared" si="2"/>
        <v xml:space="preserve"> ±</v>
      </c>
      <c r="M60" s="784" t="str">
        <f t="shared" si="3"/>
        <v>1.0</v>
      </c>
      <c r="N60" s="84"/>
      <c r="O60" s="360">
        <f>IFERROR(PENYELIA!J58,"-")</f>
        <v>1.0203109904638641</v>
      </c>
      <c r="P60" s="84"/>
    </row>
    <row r="61" spans="2:16" ht="15" customHeight="1" x14ac:dyDescent="0.25">
      <c r="B61" s="828"/>
      <c r="C61" s="979"/>
      <c r="D61" s="980"/>
      <c r="E61" s="129" t="s">
        <v>113</v>
      </c>
      <c r="F61" s="827"/>
      <c r="G61" s="783">
        <f>IFERROR(PENYELIA!F59,"-")</f>
        <v>30.903089999999999</v>
      </c>
      <c r="H61" s="783">
        <f>IFERROR(PENYELIA!G59,"-")</f>
        <v>-0.90308999999999884</v>
      </c>
      <c r="I61" s="783">
        <f>IFERROR(PENYELIA!H59,"-")</f>
        <v>2.9223291263106663</v>
      </c>
      <c r="J61" s="971"/>
      <c r="K61" s="968"/>
      <c r="L61" s="706" t="str">
        <f t="shared" si="2"/>
        <v xml:space="preserve"> ±</v>
      </c>
      <c r="M61" s="784" t="str">
        <f t="shared" si="3"/>
        <v>1.0</v>
      </c>
      <c r="N61" s="84"/>
      <c r="O61" s="360">
        <f>IFERROR(PENYELIA!J59,"-")</f>
        <v>1.0350844321324577</v>
      </c>
      <c r="P61" s="84"/>
    </row>
    <row r="62" spans="2:16" ht="15" customHeight="1" x14ac:dyDescent="0.25">
      <c r="B62" s="828"/>
      <c r="C62" s="979"/>
      <c r="D62" s="980"/>
      <c r="E62" s="129" t="s">
        <v>114</v>
      </c>
      <c r="F62" s="827"/>
      <c r="G62" s="783">
        <f>IFERROR(PENYELIA!F60,"-")</f>
        <v>50.635063000000002</v>
      </c>
      <c r="H62" s="783">
        <f>IFERROR(PENYELIA!G60,"-")</f>
        <v>-0.63506300000000238</v>
      </c>
      <c r="I62" s="783">
        <f>IFERROR(PENYELIA!H60,"-")</f>
        <v>1.2541961288761552</v>
      </c>
      <c r="J62" s="971"/>
      <c r="K62" s="968"/>
      <c r="L62" s="706" t="str">
        <f t="shared" si="2"/>
        <v xml:space="preserve"> ±</v>
      </c>
      <c r="M62" s="784" t="str">
        <f t="shared" si="3"/>
        <v>1.0</v>
      </c>
      <c r="N62" s="84"/>
      <c r="O62" s="360">
        <f>IFERROR(PENYELIA!J60,"-")</f>
        <v>1.0171972343015296</v>
      </c>
      <c r="P62" s="84"/>
    </row>
    <row r="63" spans="2:16" ht="15" customHeight="1" x14ac:dyDescent="0.25">
      <c r="B63" s="828"/>
      <c r="C63" s="979"/>
      <c r="D63" s="980"/>
      <c r="E63" s="129" t="s">
        <v>103</v>
      </c>
      <c r="F63" s="827"/>
      <c r="G63" s="783">
        <f>IFERROR(PENYELIA!F61,"-")</f>
        <v>102.720271</v>
      </c>
      <c r="H63" s="783">
        <f>IFERROR(PENYELIA!G61,"-")</f>
        <v>-2.7202709999999968</v>
      </c>
      <c r="I63" s="783">
        <f>IFERROR(PENYELIA!H61,"-")</f>
        <v>2.6482319151981177</v>
      </c>
      <c r="J63" s="971"/>
      <c r="K63" s="968"/>
      <c r="L63" s="706" t="str">
        <f t="shared" si="2"/>
        <v xml:space="preserve"> ±</v>
      </c>
      <c r="M63" s="784" t="str">
        <f t="shared" si="3"/>
        <v>1.0</v>
      </c>
      <c r="N63" s="84"/>
      <c r="O63" s="360">
        <f>IFERROR(PENYELIA!J61,"-")</f>
        <v>1.0315801357531895</v>
      </c>
      <c r="P63" s="84"/>
    </row>
    <row r="64" spans="2:16" ht="15" customHeight="1" x14ac:dyDescent="0.25">
      <c r="B64" s="828">
        <v>4</v>
      </c>
      <c r="C64" s="979"/>
      <c r="D64" s="980"/>
      <c r="E64" s="129" t="s">
        <v>111</v>
      </c>
      <c r="F64" s="933" t="s">
        <v>177</v>
      </c>
      <c r="G64" s="783">
        <f>IFERROR(PENYELIA!F62,"-")</f>
        <v>10.10101</v>
      </c>
      <c r="H64" s="783">
        <f>IFERROR(PENYELIA!G62,"-")</f>
        <v>-0.10101000000000049</v>
      </c>
      <c r="I64" s="783">
        <f>IFERROR(PENYELIA!H62,"-")</f>
        <v>0.99999900999999491</v>
      </c>
      <c r="J64" s="971"/>
      <c r="K64" s="968"/>
      <c r="L64" s="706" t="str">
        <f t="shared" si="2"/>
        <v xml:space="preserve"> ±</v>
      </c>
      <c r="M64" s="784" t="str">
        <f t="shared" si="3"/>
        <v>1.0</v>
      </c>
      <c r="N64" s="84"/>
      <c r="O64" s="360">
        <f>IFERROR(PENYELIA!J62,"-")</f>
        <v>1.0203109904638641</v>
      </c>
      <c r="P64" s="84"/>
    </row>
    <row r="65" spans="1:17" ht="15" customHeight="1" x14ac:dyDescent="0.25">
      <c r="B65" s="828"/>
      <c r="C65" s="979"/>
      <c r="D65" s="980"/>
      <c r="E65" s="129" t="s">
        <v>113</v>
      </c>
      <c r="F65" s="933"/>
      <c r="G65" s="783">
        <f>IFERROR(PENYELIA!F63,"-")</f>
        <v>30.903089999999999</v>
      </c>
      <c r="H65" s="783">
        <f>IFERROR(PENYELIA!G63,"-")</f>
        <v>-0.90308999999999884</v>
      </c>
      <c r="I65" s="783">
        <f>IFERROR(PENYELIA!H63,"-")</f>
        <v>2.9223291263106663</v>
      </c>
      <c r="J65" s="971"/>
      <c r="K65" s="968"/>
      <c r="L65" s="706" t="str">
        <f t="shared" si="2"/>
        <v xml:space="preserve"> ±</v>
      </c>
      <c r="M65" s="784" t="str">
        <f t="shared" si="3"/>
        <v>1.0</v>
      </c>
      <c r="N65" s="84"/>
      <c r="O65" s="360">
        <f>IFERROR(PENYELIA!J63,"-")</f>
        <v>1.0350844321324577</v>
      </c>
      <c r="P65" s="79"/>
    </row>
    <row r="66" spans="1:17" ht="15" customHeight="1" x14ac:dyDescent="0.25">
      <c r="B66" s="828"/>
      <c r="C66" s="979"/>
      <c r="D66" s="980"/>
      <c r="E66" s="129" t="s">
        <v>114</v>
      </c>
      <c r="F66" s="933"/>
      <c r="G66" s="783">
        <f>IFERROR(PENYELIA!F64,"-")</f>
        <v>50.635063000000002</v>
      </c>
      <c r="H66" s="783">
        <f>IFERROR(PENYELIA!G64,"-")</f>
        <v>-0.63506300000000238</v>
      </c>
      <c r="I66" s="783">
        <f>IFERROR(PENYELIA!H64,"-")</f>
        <v>1.2541961288761552</v>
      </c>
      <c r="J66" s="971"/>
      <c r="K66" s="968"/>
      <c r="L66" s="706" t="str">
        <f t="shared" si="2"/>
        <v xml:space="preserve"> ±</v>
      </c>
      <c r="M66" s="784" t="str">
        <f t="shared" si="3"/>
        <v>1.0</v>
      </c>
      <c r="N66" s="84"/>
      <c r="O66" s="360">
        <f>IFERROR(PENYELIA!J64,"-")</f>
        <v>1.0171972343015296</v>
      </c>
      <c r="P66" s="79"/>
    </row>
    <row r="67" spans="1:17" ht="15" customHeight="1" x14ac:dyDescent="0.25">
      <c r="B67" s="828"/>
      <c r="C67" s="979"/>
      <c r="D67" s="980"/>
      <c r="E67" s="129" t="s">
        <v>103</v>
      </c>
      <c r="F67" s="933"/>
      <c r="G67" s="783">
        <f>IFERROR(PENYELIA!F65,"-")</f>
        <v>102.720271</v>
      </c>
      <c r="H67" s="783">
        <f>IFERROR(PENYELIA!G65,"-")</f>
        <v>-2.7202709999999968</v>
      </c>
      <c r="I67" s="783">
        <f>IFERROR(PENYELIA!H65,"-")</f>
        <v>2.6482319151981177</v>
      </c>
      <c r="J67" s="971"/>
      <c r="K67" s="968"/>
      <c r="L67" s="706" t="str">
        <f t="shared" si="2"/>
        <v xml:space="preserve"> ±</v>
      </c>
      <c r="M67" s="784" t="str">
        <f t="shared" si="3"/>
        <v>1.0</v>
      </c>
      <c r="N67" s="84"/>
      <c r="O67" s="360">
        <f>IFERROR(PENYELIA!J65,"-")</f>
        <v>1.0315801357531895</v>
      </c>
      <c r="P67" s="79"/>
    </row>
    <row r="68" spans="1:17" ht="15" customHeight="1" x14ac:dyDescent="0.25">
      <c r="B68" s="828">
        <v>5</v>
      </c>
      <c r="C68" s="979"/>
      <c r="D68" s="980"/>
      <c r="E68" s="129" t="s">
        <v>111</v>
      </c>
      <c r="F68" s="933" t="s">
        <v>178</v>
      </c>
      <c r="G68" s="783">
        <f>IFERROR(PENYELIA!F66,"-")</f>
        <v>10.10101</v>
      </c>
      <c r="H68" s="783">
        <f>IFERROR(PENYELIA!G66,"-")</f>
        <v>-0.10101000000000049</v>
      </c>
      <c r="I68" s="783">
        <f>IFERROR(PENYELIA!H66,"-")</f>
        <v>0.99999900999999491</v>
      </c>
      <c r="J68" s="971"/>
      <c r="K68" s="968"/>
      <c r="L68" s="706" t="str">
        <f t="shared" si="2"/>
        <v xml:space="preserve"> ±</v>
      </c>
      <c r="M68" s="784" t="str">
        <f t="shared" si="3"/>
        <v>1.0</v>
      </c>
      <c r="N68" s="84"/>
      <c r="O68" s="360">
        <f>IFERROR(PENYELIA!J66,"-")</f>
        <v>1.0203109904638641</v>
      </c>
      <c r="P68" s="79"/>
    </row>
    <row r="69" spans="1:17" ht="15" customHeight="1" x14ac:dyDescent="0.25">
      <c r="B69" s="828"/>
      <c r="C69" s="979"/>
      <c r="D69" s="980"/>
      <c r="E69" s="129" t="s">
        <v>113</v>
      </c>
      <c r="F69" s="933"/>
      <c r="G69" s="783">
        <f>IFERROR(PENYELIA!F67,"-")</f>
        <v>30.903089999999999</v>
      </c>
      <c r="H69" s="783">
        <f>IFERROR(PENYELIA!G67,"-")</f>
        <v>-0.90308999999999884</v>
      </c>
      <c r="I69" s="783">
        <f>IFERROR(PENYELIA!H67,"-")</f>
        <v>2.9223291263106663</v>
      </c>
      <c r="J69" s="971"/>
      <c r="K69" s="968"/>
      <c r="L69" s="706" t="str">
        <f t="shared" si="2"/>
        <v xml:space="preserve"> ±</v>
      </c>
      <c r="M69" s="784" t="str">
        <f t="shared" si="3"/>
        <v>1.0</v>
      </c>
      <c r="N69" s="84"/>
      <c r="O69" s="360">
        <f>IFERROR(PENYELIA!J67,"-")</f>
        <v>1.0350844321324577</v>
      </c>
      <c r="P69" s="79"/>
    </row>
    <row r="70" spans="1:17" ht="15" customHeight="1" x14ac:dyDescent="0.25">
      <c r="B70" s="828"/>
      <c r="C70" s="979"/>
      <c r="D70" s="980"/>
      <c r="E70" s="129" t="s">
        <v>114</v>
      </c>
      <c r="F70" s="933"/>
      <c r="G70" s="783">
        <f>IFERROR(PENYELIA!F68,"-")</f>
        <v>50.635063000000002</v>
      </c>
      <c r="H70" s="783">
        <f>IFERROR(PENYELIA!G68,"-")</f>
        <v>-0.63506300000000238</v>
      </c>
      <c r="I70" s="783">
        <f>IFERROR(PENYELIA!H68,"-")</f>
        <v>1.2541961288761552</v>
      </c>
      <c r="J70" s="971"/>
      <c r="K70" s="968"/>
      <c r="L70" s="706" t="str">
        <f t="shared" si="2"/>
        <v xml:space="preserve"> ±</v>
      </c>
      <c r="M70" s="784" t="str">
        <f t="shared" si="3"/>
        <v>1.0</v>
      </c>
      <c r="N70" s="124"/>
      <c r="O70" s="360">
        <f>IFERROR(PENYELIA!J68,"-")</f>
        <v>1.0171972343015296</v>
      </c>
      <c r="P70" s="79"/>
    </row>
    <row r="71" spans="1:17" ht="15" customHeight="1" x14ac:dyDescent="0.25">
      <c r="B71" s="828"/>
      <c r="C71" s="839"/>
      <c r="D71" s="841"/>
      <c r="E71" s="129" t="s">
        <v>103</v>
      </c>
      <c r="F71" s="933"/>
      <c r="G71" s="783">
        <f>IFERROR(PENYELIA!F69,"-")</f>
        <v>102.720271</v>
      </c>
      <c r="H71" s="783">
        <f>IFERROR(PENYELIA!G69,"-")</f>
        <v>-2.7202709999999968</v>
      </c>
      <c r="I71" s="783">
        <f>IFERROR(PENYELIA!H69,"-")</f>
        <v>2.6482319151981177</v>
      </c>
      <c r="J71" s="972"/>
      <c r="K71" s="969"/>
      <c r="L71" s="706" t="str">
        <f>IF(M71="-",""," ±")</f>
        <v xml:space="preserve"> ±</v>
      </c>
      <c r="M71" s="784" t="str">
        <f>IF(O71&gt;=10,TEXT(O71,"0"),IF(O71&gt;=1,TEXT(O71,"0.0"),TEXT(O71,"0.00")))</f>
        <v>1.0</v>
      </c>
      <c r="N71" s="132"/>
      <c r="O71" s="360">
        <f>IFERROR(PENYELIA!J69,"-")</f>
        <v>1.0315801357531895</v>
      </c>
      <c r="P71" s="79"/>
    </row>
    <row r="72" spans="1:17" ht="10.5" customHeight="1" x14ac:dyDescent="0.25">
      <c r="B72" s="126"/>
      <c r="C72" s="131"/>
      <c r="D72" s="233"/>
      <c r="E72" s="131"/>
      <c r="F72" s="132"/>
      <c r="G72" s="132"/>
      <c r="H72" s="132"/>
      <c r="I72" s="131"/>
      <c r="J72" s="333"/>
      <c r="K72" s="132"/>
      <c r="L72" s="132"/>
      <c r="M72" s="132"/>
      <c r="N72" s="86"/>
      <c r="O72" s="86"/>
      <c r="P72" s="86"/>
      <c r="Q72" s="91"/>
    </row>
    <row r="73" spans="1:17" ht="46.5" customHeight="1" x14ac:dyDescent="0.2">
      <c r="B73" s="126"/>
      <c r="C73" s="131"/>
      <c r="D73" s="233"/>
      <c r="E73" s="131"/>
      <c r="F73" s="132"/>
      <c r="G73" s="132"/>
      <c r="H73" s="132"/>
      <c r="I73" s="131"/>
      <c r="J73" s="313"/>
      <c r="M73" s="132"/>
      <c r="N73" s="334" t="s">
        <v>314</v>
      </c>
      <c r="O73" s="86"/>
      <c r="P73" s="86"/>
      <c r="Q73" s="91"/>
    </row>
    <row r="74" spans="1:17" ht="15" customHeight="1" x14ac:dyDescent="0.25">
      <c r="A74" s="153" t="str">
        <f>PENYELIA!A71</f>
        <v>V.</v>
      </c>
      <c r="B74" s="153" t="str">
        <f>PENYELIA!B71</f>
        <v xml:space="preserve">Keterangan </v>
      </c>
      <c r="C74" s="335"/>
      <c r="D74" s="336"/>
      <c r="E74" s="335"/>
      <c r="F74" s="154"/>
      <c r="G74" s="154"/>
      <c r="H74" s="154"/>
      <c r="I74" s="335"/>
      <c r="J74" s="337"/>
      <c r="K74" s="154"/>
      <c r="L74" s="154"/>
      <c r="M74" s="132"/>
      <c r="N74" s="86"/>
      <c r="O74" s="86"/>
      <c r="P74" s="86"/>
      <c r="Q74" s="91"/>
    </row>
    <row r="75" spans="1:17" ht="15" customHeight="1" x14ac:dyDescent="0.25">
      <c r="A75" s="338"/>
      <c r="B75" s="140" t="str">
        <f>PENYELIA!B72</f>
        <v>Ketidakpastian pengukuran dilaporkan pada tingkat kepercayaan 95 % dengan faktor cakupan k = 2</v>
      </c>
      <c r="C75" s="208"/>
      <c r="D75" s="140"/>
      <c r="E75" s="140"/>
      <c r="F75" s="140"/>
      <c r="G75" s="140"/>
      <c r="H75" s="140"/>
      <c r="I75" s="140"/>
      <c r="J75" s="140"/>
      <c r="K75" s="140"/>
      <c r="L75" s="154"/>
      <c r="M75" s="154"/>
      <c r="N75" s="86"/>
      <c r="O75" s="86"/>
      <c r="P75" s="86"/>
      <c r="Q75" s="91"/>
    </row>
    <row r="76" spans="1:17" ht="15" customHeight="1" x14ac:dyDescent="0.25">
      <c r="A76" s="338"/>
      <c r="B76" s="140" t="str">
        <f>PENYELIA!B73</f>
        <v>Hasil pengukuran keselamatan listrik tertelusur ke Satuan Internasional ( SI ) melalui PT. Kaliman (LK-032-IDN)</v>
      </c>
      <c r="C76" s="208"/>
      <c r="D76" s="140"/>
      <c r="E76" s="140"/>
      <c r="F76" s="140"/>
      <c r="G76" s="140"/>
      <c r="H76" s="140"/>
      <c r="I76" s="140"/>
      <c r="J76" s="140"/>
      <c r="K76" s="140"/>
      <c r="L76" s="154"/>
      <c r="M76" s="154"/>
      <c r="N76" s="79"/>
      <c r="O76" s="79"/>
      <c r="P76" s="79"/>
      <c r="Q76" s="91"/>
    </row>
    <row r="77" spans="1:17" ht="14.5" x14ac:dyDescent="0.25">
      <c r="A77" s="338"/>
      <c r="B77" s="140" t="str">
        <f>PENYELIA!B74</f>
        <v>Hasil kalibrasi Frekuensi dan Amplitudo tertelusur ke Satuan Internasional melalui CALTEK PTE LTD</v>
      </c>
      <c r="C77" s="208"/>
      <c r="D77" s="140"/>
      <c r="E77" s="140"/>
      <c r="F77" s="140"/>
      <c r="G77" s="140"/>
      <c r="H77" s="140"/>
      <c r="I77" s="140"/>
      <c r="J77" s="140"/>
      <c r="K77" s="140"/>
      <c r="L77" s="154"/>
      <c r="M77" s="154"/>
      <c r="N77" s="79"/>
      <c r="O77" s="79"/>
      <c r="P77" s="79"/>
      <c r="Q77" s="91"/>
    </row>
    <row r="78" spans="1:17" ht="15" customHeight="1" x14ac:dyDescent="0.25">
      <c r="A78" s="338"/>
      <c r="B78" s="209" t="str">
        <f>PENYELIA!B75</f>
        <v>Alat tidak boleh digunakan pada instalasi tanpa dilengkapi grounding</v>
      </c>
      <c r="C78" s="208"/>
      <c r="D78" s="140"/>
      <c r="E78" s="140"/>
      <c r="F78" s="140"/>
      <c r="G78" s="140"/>
      <c r="H78" s="140"/>
      <c r="I78" s="140"/>
      <c r="J78" s="140"/>
      <c r="K78" s="140"/>
      <c r="L78" s="154"/>
      <c r="M78" s="154"/>
      <c r="N78" s="79"/>
      <c r="O78" s="79"/>
      <c r="P78" s="79"/>
      <c r="Q78" s="91"/>
    </row>
    <row r="79" spans="1:17" ht="15" customHeight="1" x14ac:dyDescent="0.25">
      <c r="A79" s="338"/>
      <c r="B79" s="140"/>
      <c r="C79" s="208"/>
      <c r="D79" s="140"/>
      <c r="E79" s="140"/>
      <c r="F79" s="140"/>
      <c r="G79" s="140"/>
      <c r="H79" s="140"/>
      <c r="I79" s="140"/>
      <c r="J79" s="140"/>
      <c r="K79" s="140"/>
      <c r="L79" s="154"/>
      <c r="M79" s="154"/>
      <c r="N79" s="79"/>
      <c r="O79" s="79"/>
      <c r="P79" s="79"/>
      <c r="Q79" s="91"/>
    </row>
    <row r="80" spans="1:17" ht="14.5" x14ac:dyDescent="0.25">
      <c r="A80" s="153" t="s">
        <v>186</v>
      </c>
      <c r="B80" s="153" t="s">
        <v>187</v>
      </c>
      <c r="C80" s="208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79"/>
      <c r="O80" s="79"/>
      <c r="P80" s="79"/>
      <c r="Q80" s="91"/>
    </row>
    <row r="81" spans="1:17" ht="14.5" x14ac:dyDescent="0.25">
      <c r="A81" s="140"/>
      <c r="B81" s="140" t="str">
        <f>PENYELIA!B79</f>
        <v>EEG Simulator, Merek : NETECH, Model : 330, SN : 31487</v>
      </c>
      <c r="C81" s="208"/>
      <c r="D81" s="140"/>
      <c r="E81" s="153"/>
      <c r="F81" s="153"/>
      <c r="G81" s="153"/>
      <c r="H81" s="153"/>
      <c r="I81" s="140"/>
      <c r="J81" s="140"/>
      <c r="K81" s="140"/>
      <c r="L81" s="140"/>
      <c r="M81" s="124"/>
      <c r="N81" s="79"/>
      <c r="O81" s="79"/>
      <c r="P81" s="79"/>
      <c r="Q81" s="91"/>
    </row>
    <row r="82" spans="1:17" ht="14.5" x14ac:dyDescent="0.25">
      <c r="A82" s="140"/>
      <c r="B82" s="140" t="str">
        <f>PENYELIA!B80</f>
        <v>Electrical Safety Analyzer, Merek : Fluke, Model : ESA 615, SN : 4670010</v>
      </c>
      <c r="C82" s="208"/>
      <c r="D82" s="140"/>
      <c r="E82" s="140"/>
      <c r="F82" s="140"/>
      <c r="G82" s="140"/>
      <c r="H82" s="140"/>
      <c r="I82" s="140"/>
      <c r="J82" s="140"/>
      <c r="K82" s="140"/>
      <c r="L82" s="140"/>
      <c r="M82" s="124"/>
      <c r="N82" s="79"/>
      <c r="O82" s="79"/>
      <c r="P82" s="79"/>
      <c r="Q82" s="91"/>
    </row>
    <row r="83" spans="1:17" ht="14.5" hidden="1" x14ac:dyDescent="0.25">
      <c r="A83" s="140"/>
      <c r="B83" s="140" t="str">
        <f>PENYELIA!B81</f>
        <v>Thermohygrobarometer, Merek : EXTECH, Model : SD700, SN : A.100615</v>
      </c>
      <c r="C83" s="208"/>
      <c r="D83" s="140"/>
      <c r="E83" s="140"/>
      <c r="F83" s="140"/>
      <c r="G83" s="140"/>
      <c r="H83" s="140"/>
      <c r="I83" s="140"/>
      <c r="J83" s="140"/>
      <c r="K83" s="140"/>
      <c r="L83" s="140"/>
      <c r="M83" s="124"/>
      <c r="N83" s="79"/>
      <c r="O83" s="79"/>
      <c r="P83" s="79"/>
      <c r="Q83" s="91"/>
    </row>
    <row r="84" spans="1:17" ht="15" customHeight="1" x14ac:dyDescent="0.25">
      <c r="A84" s="338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24"/>
      <c r="N84" s="79"/>
      <c r="O84" s="79"/>
      <c r="P84" s="79"/>
      <c r="Q84" s="91"/>
    </row>
    <row r="85" spans="1:17" ht="14.5" x14ac:dyDescent="0.25">
      <c r="A85" s="153" t="s">
        <v>191</v>
      </c>
      <c r="B85" s="153" t="s">
        <v>192</v>
      </c>
      <c r="C85" s="140"/>
      <c r="D85" s="140"/>
      <c r="E85" s="140"/>
      <c r="F85" s="140"/>
      <c r="G85" s="140"/>
      <c r="H85" s="140"/>
      <c r="I85" s="140"/>
      <c r="J85" s="140"/>
      <c r="K85" s="140"/>
      <c r="L85" s="208"/>
      <c r="M85" s="124"/>
      <c r="N85" s="79"/>
      <c r="O85" s="79"/>
      <c r="P85" s="79"/>
      <c r="Q85" s="91"/>
    </row>
    <row r="86" spans="1:17" ht="15" customHeight="1" x14ac:dyDescent="0.25">
      <c r="A86" s="140"/>
      <c r="B86" s="878" t="str">
        <f>PENYELIA!B84</f>
        <v>Alat yang dikalibrasi dalam batas toleransi dan dinyatakan LAIK PAKAI, dimana hasil atau skor akhir sama dengan atau melampaui 70% berdasarkan Keputusan Direktur Jenderal Pelayanan Kesehatan No : HK.02.02/V/0412/2020</v>
      </c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124"/>
      <c r="N86" s="79"/>
      <c r="O86" s="79"/>
      <c r="P86" s="79"/>
      <c r="Q86" s="91"/>
    </row>
    <row r="87" spans="1:17" ht="15" customHeight="1" x14ac:dyDescent="0.25">
      <c r="A87" s="140"/>
      <c r="B87" s="878"/>
      <c r="C87" s="878"/>
      <c r="D87" s="878"/>
      <c r="E87" s="878"/>
      <c r="F87" s="878"/>
      <c r="G87" s="878"/>
      <c r="H87" s="878"/>
      <c r="I87" s="878"/>
      <c r="J87" s="878"/>
      <c r="K87" s="878"/>
      <c r="L87" s="878"/>
      <c r="M87" s="124"/>
      <c r="N87" s="79"/>
      <c r="O87" s="79"/>
      <c r="P87" s="79"/>
      <c r="Q87" s="91"/>
    </row>
    <row r="88" spans="1:17" ht="15" customHeight="1" x14ac:dyDescent="0.25">
      <c r="A88" s="338"/>
      <c r="B88" s="140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124"/>
      <c r="N88" s="79"/>
      <c r="O88" s="79"/>
      <c r="P88" s="79"/>
      <c r="Q88" s="91"/>
    </row>
    <row r="89" spans="1:17" ht="14.5" x14ac:dyDescent="0.25">
      <c r="A89" s="153" t="s">
        <v>121</v>
      </c>
      <c r="B89" s="153" t="s">
        <v>135</v>
      </c>
      <c r="C89" s="208"/>
      <c r="D89" s="140"/>
      <c r="E89" s="140"/>
      <c r="F89" s="140"/>
      <c r="G89" s="140"/>
      <c r="H89" s="140"/>
      <c r="I89" s="140"/>
      <c r="J89" s="140"/>
      <c r="K89" s="140"/>
      <c r="L89" s="140"/>
      <c r="M89" s="124"/>
      <c r="N89" s="79"/>
      <c r="O89" s="79"/>
      <c r="P89" s="79"/>
      <c r="Q89" s="91"/>
    </row>
    <row r="90" spans="1:17" ht="14.5" x14ac:dyDescent="0.25">
      <c r="A90" s="140"/>
      <c r="B90" s="138" t="str">
        <f>PENYELIA!B87</f>
        <v>Gusti Arya Dinata</v>
      </c>
      <c r="C90" s="208"/>
      <c r="D90" s="153"/>
      <c r="E90" s="140"/>
      <c r="F90" s="140"/>
      <c r="G90" s="140"/>
      <c r="H90" s="140"/>
      <c r="I90" s="140"/>
      <c r="J90" s="140"/>
      <c r="K90" s="973"/>
      <c r="L90" s="973"/>
      <c r="M90" s="124"/>
      <c r="N90" s="79"/>
      <c r="O90" s="79"/>
      <c r="P90" s="79"/>
      <c r="Q90" s="91"/>
    </row>
    <row r="91" spans="1:17" ht="14.5" x14ac:dyDescent="0.25">
      <c r="A91" s="140"/>
      <c r="B91" s="138"/>
      <c r="C91" s="208"/>
      <c r="D91" s="153"/>
      <c r="E91" s="140"/>
      <c r="F91" s="140"/>
      <c r="G91" s="140"/>
      <c r="H91" s="140"/>
      <c r="I91" s="140"/>
      <c r="J91" s="140"/>
      <c r="K91" s="774"/>
      <c r="L91" s="774"/>
      <c r="M91" s="124"/>
      <c r="N91" s="79"/>
      <c r="O91" s="79"/>
      <c r="P91" s="79"/>
      <c r="Q91" s="91"/>
    </row>
    <row r="92" spans="1:17" ht="15" customHeight="1" x14ac:dyDescent="0.25">
      <c r="A92" s="338"/>
      <c r="B92" s="140"/>
      <c r="C92" s="138"/>
      <c r="D92" s="140"/>
      <c r="E92" s="140"/>
      <c r="F92" s="140"/>
      <c r="G92" s="140"/>
      <c r="H92" s="140"/>
      <c r="I92" s="140"/>
      <c r="J92" s="140"/>
      <c r="K92" s="340"/>
      <c r="L92" s="341"/>
      <c r="M92" s="124"/>
      <c r="N92" s="79"/>
      <c r="O92" s="79"/>
      <c r="P92" s="85"/>
      <c r="Q92" s="91"/>
    </row>
    <row r="93" spans="1:17" ht="15" customHeight="1" x14ac:dyDescent="0.25">
      <c r="A93" s="338"/>
      <c r="B93" s="140"/>
      <c r="C93" s="342"/>
      <c r="D93" s="342"/>
      <c r="E93" s="342"/>
      <c r="F93" s="342"/>
      <c r="G93" s="342"/>
      <c r="H93" s="342"/>
      <c r="I93" s="214" t="s">
        <v>315</v>
      </c>
      <c r="J93" s="338"/>
      <c r="K93" s="775"/>
      <c r="L93" s="341"/>
      <c r="M93" s="124"/>
      <c r="N93" s="93"/>
      <c r="O93" s="79"/>
      <c r="P93" s="79"/>
      <c r="Q93" s="91"/>
    </row>
    <row r="94" spans="1:17" ht="15" customHeight="1" x14ac:dyDescent="0.25">
      <c r="A94" s="338"/>
      <c r="B94" s="140"/>
      <c r="C94" s="344"/>
      <c r="D94" s="211"/>
      <c r="E94" s="211"/>
      <c r="F94" s="211"/>
      <c r="G94" s="345"/>
      <c r="H94" s="671" t="str">
        <f>IF(I100=P100,"a.n"," ")</f>
        <v xml:space="preserve"> </v>
      </c>
      <c r="I94" s="214" t="s">
        <v>316</v>
      </c>
      <c r="J94" s="338"/>
      <c r="K94" s="775"/>
      <c r="L94" s="341"/>
      <c r="M94" s="124"/>
      <c r="N94" s="80"/>
      <c r="O94" s="79"/>
      <c r="P94" s="79"/>
      <c r="Q94" s="91"/>
    </row>
    <row r="95" spans="1:17" ht="15" customHeight="1" x14ac:dyDescent="0.25">
      <c r="A95" s="338"/>
      <c r="B95" s="140"/>
      <c r="C95" s="344"/>
      <c r="D95" s="212"/>
      <c r="E95" s="212"/>
      <c r="F95" s="212"/>
      <c r="G95" s="212"/>
      <c r="H95" s="212"/>
      <c r="I95" s="214" t="s">
        <v>317</v>
      </c>
      <c r="J95" s="338"/>
      <c r="K95" s="775"/>
      <c r="L95" s="341"/>
      <c r="M95" s="124"/>
      <c r="N95" s="79"/>
      <c r="O95" s="79"/>
      <c r="P95" s="79"/>
      <c r="Q95" s="91"/>
    </row>
    <row r="96" spans="1:17" ht="14" x14ac:dyDescent="0.25">
      <c r="A96" s="338"/>
      <c r="B96" s="140"/>
      <c r="C96" s="335"/>
      <c r="D96" s="335"/>
      <c r="E96" s="335"/>
      <c r="F96" s="335"/>
      <c r="G96" s="335"/>
      <c r="H96" s="208"/>
      <c r="I96" s="214"/>
      <c r="J96" s="338"/>
      <c r="K96" s="775"/>
      <c r="L96" s="140"/>
      <c r="M96" s="140"/>
      <c r="N96" s="213"/>
      <c r="O96" s="213"/>
      <c r="P96" s="213"/>
    </row>
    <row r="97" spans="1:17" ht="14" x14ac:dyDescent="0.25">
      <c r="A97" s="338"/>
      <c r="B97" s="140"/>
      <c r="C97" s="140"/>
      <c r="D97" s="140"/>
      <c r="E97" s="140"/>
      <c r="F97" s="140"/>
      <c r="G97" s="140"/>
      <c r="H97" s="208"/>
      <c r="I97" s="214"/>
      <c r="J97" s="338"/>
      <c r="K97" s="775"/>
      <c r="L97" s="140"/>
      <c r="M97" s="140"/>
    </row>
    <row r="98" spans="1:17" ht="14" x14ac:dyDescent="0.25">
      <c r="A98" s="338"/>
      <c r="B98" s="140"/>
      <c r="C98" s="140"/>
      <c r="D98" s="140"/>
      <c r="E98" s="140"/>
      <c r="F98" s="140"/>
      <c r="G98" s="140"/>
      <c r="H98" s="208"/>
      <c r="I98" s="214"/>
      <c r="J98" s="338"/>
      <c r="K98" s="775"/>
      <c r="L98" s="140"/>
      <c r="M98" s="140"/>
    </row>
    <row r="99" spans="1:17" ht="14" x14ac:dyDescent="0.3">
      <c r="A99" s="338"/>
      <c r="B99" s="140"/>
      <c r="C99" s="140"/>
      <c r="D99" s="140"/>
      <c r="E99" s="140"/>
      <c r="F99" s="140"/>
      <c r="G99" s="140"/>
      <c r="H99" s="140"/>
      <c r="I99" s="215"/>
      <c r="J99" s="338"/>
      <c r="K99" s="775"/>
      <c r="L99" s="140"/>
      <c r="M99" s="140"/>
      <c r="P99" s="669" t="s">
        <v>318</v>
      </c>
      <c r="Q99" s="670" t="s">
        <v>319</v>
      </c>
    </row>
    <row r="100" spans="1:17" ht="14" x14ac:dyDescent="0.3">
      <c r="A100" s="338"/>
      <c r="B100" s="346"/>
      <c r="C100" s="346"/>
      <c r="D100" s="346"/>
      <c r="E100" s="346"/>
      <c r="F100" s="346"/>
      <c r="G100" s="346"/>
      <c r="H100" s="346"/>
      <c r="I100" s="218" t="s">
        <v>318</v>
      </c>
      <c r="J100" s="338"/>
      <c r="K100" s="775"/>
      <c r="L100" s="346"/>
      <c r="M100" s="213"/>
      <c r="P100" s="669" t="s">
        <v>320</v>
      </c>
      <c r="Q100" s="670" t="s">
        <v>321</v>
      </c>
    </row>
    <row r="101" spans="1:17" ht="14" x14ac:dyDescent="0.25">
      <c r="A101" s="338"/>
      <c r="B101" s="208"/>
      <c r="C101" s="208"/>
      <c r="D101" s="208"/>
      <c r="E101" s="208"/>
      <c r="F101" s="208"/>
      <c r="G101" s="208"/>
      <c r="H101" s="208"/>
      <c r="I101" s="216" t="str">
        <f>VLOOKUP(I100,P99:Q100,2,0)</f>
        <v>NIP 198008062010121001</v>
      </c>
      <c r="J101" s="338"/>
      <c r="K101" s="775"/>
      <c r="L101" s="208"/>
    </row>
    <row r="102" spans="1:17" x14ac:dyDescent="0.25">
      <c r="A102" s="33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</row>
    <row r="103" spans="1:17" x14ac:dyDescent="0.25">
      <c r="A103" s="33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</row>
    <row r="104" spans="1:17" x14ac:dyDescent="0.25">
      <c r="A104" s="33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</row>
    <row r="105" spans="1:17" x14ac:dyDescent="0.25">
      <c r="A105" s="33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</row>
    <row r="106" spans="1:17" x14ac:dyDescent="0.25">
      <c r="A106" s="33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</row>
    <row r="107" spans="1:17" x14ac:dyDescent="0.25">
      <c r="A107" s="33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</row>
    <row r="108" spans="1:17" x14ac:dyDescent="0.25">
      <c r="A108" s="33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</row>
    <row r="109" spans="1:17" x14ac:dyDescent="0.25">
      <c r="A109" s="33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</row>
    <row r="110" spans="1:17" x14ac:dyDescent="0.25">
      <c r="A110" s="33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</row>
    <row r="111" spans="1:17" x14ac:dyDescent="0.25">
      <c r="A111" s="33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</row>
    <row r="112" spans="1:17" x14ac:dyDescent="0.25">
      <c r="A112" s="33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</row>
    <row r="113" spans="1:12" x14ac:dyDescent="0.25">
      <c r="A113" s="33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</row>
    <row r="114" spans="1:12" x14ac:dyDescent="0.25">
      <c r="A114" s="33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</row>
    <row r="115" spans="1:12" x14ac:dyDescent="0.25">
      <c r="A115" s="33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</row>
    <row r="116" spans="1:12" x14ac:dyDescent="0.25">
      <c r="A116" s="33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</row>
    <row r="117" spans="1:12" x14ac:dyDescent="0.25">
      <c r="A117" s="33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</row>
    <row r="118" spans="1:12" x14ac:dyDescent="0.25">
      <c r="A118" s="33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</row>
    <row r="119" spans="1:12" x14ac:dyDescent="0.25">
      <c r="A119" s="33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</row>
    <row r="120" spans="1:12" x14ac:dyDescent="0.25">
      <c r="A120" s="33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</row>
    <row r="121" spans="1:12" x14ac:dyDescent="0.25">
      <c r="A121" s="33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</row>
    <row r="122" spans="1:12" x14ac:dyDescent="0.25">
      <c r="A122" s="33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</row>
    <row r="123" spans="1:12" x14ac:dyDescent="0.25">
      <c r="A123" s="33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</row>
    <row r="124" spans="1:12" x14ac:dyDescent="0.25">
      <c r="A124" s="33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</row>
    <row r="125" spans="1:12" x14ac:dyDescent="0.25">
      <c r="A125" s="33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</row>
    <row r="126" spans="1:12" x14ac:dyDescent="0.25">
      <c r="A126" s="33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</row>
    <row r="127" spans="1:12" x14ac:dyDescent="0.25">
      <c r="A127" s="33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</row>
    <row r="128" spans="1:12" x14ac:dyDescent="0.25">
      <c r="A128" s="33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</row>
    <row r="129" spans="1:12" x14ac:dyDescent="0.25">
      <c r="A129" s="33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</row>
    <row r="130" spans="1:12" x14ac:dyDescent="0.25">
      <c r="A130" s="33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</row>
    <row r="131" spans="1:12" x14ac:dyDescent="0.25">
      <c r="A131" s="33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</row>
    <row r="132" spans="1:12" x14ac:dyDescent="0.25">
      <c r="A132" s="33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</row>
    <row r="133" spans="1:12" x14ac:dyDescent="0.25">
      <c r="A133" s="33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</row>
    <row r="134" spans="1:12" x14ac:dyDescent="0.25">
      <c r="A134" s="33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</row>
    <row r="135" spans="1:12" x14ac:dyDescent="0.25">
      <c r="A135" s="33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</row>
    <row r="136" spans="1:12" x14ac:dyDescent="0.25">
      <c r="A136" s="33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</row>
    <row r="137" spans="1:12" x14ac:dyDescent="0.25">
      <c r="A137" s="33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</row>
    <row r="138" spans="1:12" x14ac:dyDescent="0.25">
      <c r="A138" s="33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</row>
    <row r="139" spans="1:12" x14ac:dyDescent="0.25">
      <c r="A139" s="33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</row>
    <row r="140" spans="1:12" x14ac:dyDescent="0.25">
      <c r="A140" s="33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</row>
    <row r="141" spans="1:12" x14ac:dyDescent="0.25">
      <c r="A141" s="33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</row>
    <row r="142" spans="1:12" x14ac:dyDescent="0.25">
      <c r="A142" s="33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</row>
    <row r="143" spans="1:12" x14ac:dyDescent="0.25">
      <c r="A143" s="33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</row>
    <row r="144" spans="1:12" x14ac:dyDescent="0.25">
      <c r="A144" s="33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</row>
    <row r="145" spans="1:14" x14ac:dyDescent="0.25">
      <c r="A145" s="33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</row>
    <row r="146" spans="1:14" x14ac:dyDescent="0.25">
      <c r="A146" s="33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</row>
    <row r="147" spans="1:14" hidden="1" x14ac:dyDescent="0.25">
      <c r="A147" s="33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</row>
    <row r="148" spans="1:14" hidden="1" x14ac:dyDescent="0.25">
      <c r="A148" s="33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</row>
    <row r="149" spans="1:14" x14ac:dyDescent="0.25">
      <c r="A149" s="33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</row>
    <row r="150" spans="1:14" x14ac:dyDescent="0.25">
      <c r="A150" s="33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</row>
    <row r="151" spans="1:14" hidden="1" x14ac:dyDescent="0.25">
      <c r="A151" s="33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</row>
    <row r="152" spans="1:14" x14ac:dyDescent="0.25">
      <c r="A152" s="33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</row>
    <row r="153" spans="1:14" ht="64.5" customHeight="1" x14ac:dyDescent="0.2">
      <c r="A153" s="33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N153" s="217" t="s">
        <v>322</v>
      </c>
    </row>
    <row r="155" spans="1:14" x14ac:dyDescent="0.25">
      <c r="E155" s="84"/>
    </row>
    <row r="156" spans="1:14" x14ac:dyDescent="0.25">
      <c r="E156" s="84"/>
    </row>
    <row r="157" spans="1:14" x14ac:dyDescent="0.25">
      <c r="E157" s="84"/>
    </row>
    <row r="158" spans="1:14" x14ac:dyDescent="0.25">
      <c r="E158" s="84"/>
    </row>
    <row r="159" spans="1:14" x14ac:dyDescent="0.25">
      <c r="E159" s="84"/>
    </row>
    <row r="160" spans="1:14" x14ac:dyDescent="0.25">
      <c r="E160" s="84"/>
    </row>
    <row r="161" spans="5:5" x14ac:dyDescent="0.25">
      <c r="E161" s="84"/>
    </row>
    <row r="162" spans="5:5" x14ac:dyDescent="0.25">
      <c r="E162" s="84"/>
    </row>
    <row r="163" spans="5:5" x14ac:dyDescent="0.25">
      <c r="E163" s="84"/>
    </row>
    <row r="164" spans="5:5" x14ac:dyDescent="0.25">
      <c r="E164" s="84"/>
    </row>
    <row r="165" spans="5:5" x14ac:dyDescent="0.25">
      <c r="E165" s="84"/>
    </row>
    <row r="166" spans="5:5" x14ac:dyDescent="0.25">
      <c r="E166" s="84"/>
    </row>
    <row r="167" spans="5:5" x14ac:dyDescent="0.25">
      <c r="E167" s="84"/>
    </row>
    <row r="168" spans="5:5" x14ac:dyDescent="0.25">
      <c r="E168" s="84"/>
    </row>
    <row r="169" spans="5:5" ht="14" x14ac:dyDescent="0.25">
      <c r="E169" s="200"/>
    </row>
    <row r="170" spans="5:5" ht="14" x14ac:dyDescent="0.25">
      <c r="E170" s="124"/>
    </row>
    <row r="171" spans="5:5" x14ac:dyDescent="0.25">
      <c r="E171" s="84"/>
    </row>
    <row r="172" spans="5:5" x14ac:dyDescent="0.25">
      <c r="E172" s="84"/>
    </row>
    <row r="175" spans="5:5" x14ac:dyDescent="0.25">
      <c r="E175" s="84"/>
    </row>
    <row r="176" spans="5:5" x14ac:dyDescent="0.25">
      <c r="E176" s="84"/>
    </row>
    <row r="177" spans="5:5" x14ac:dyDescent="0.25">
      <c r="E177" s="84"/>
    </row>
    <row r="178" spans="5:5" x14ac:dyDescent="0.25">
      <c r="E178" s="84"/>
    </row>
    <row r="179" spans="5:5" x14ac:dyDescent="0.25">
      <c r="E179" s="84"/>
    </row>
    <row r="180" spans="5:5" x14ac:dyDescent="0.25">
      <c r="E180" s="84"/>
    </row>
    <row r="181" spans="5:5" x14ac:dyDescent="0.25">
      <c r="E181" s="84"/>
    </row>
    <row r="182" spans="5:5" x14ac:dyDescent="0.25">
      <c r="E182" s="84"/>
    </row>
    <row r="183" spans="5:5" x14ac:dyDescent="0.25">
      <c r="E183" s="84"/>
    </row>
    <row r="184" spans="5:5" x14ac:dyDescent="0.25">
      <c r="E184" s="84"/>
    </row>
    <row r="185" spans="5:5" x14ac:dyDescent="0.25">
      <c r="E185" s="84"/>
    </row>
    <row r="186" spans="5:5" x14ac:dyDescent="0.25">
      <c r="E186" s="84"/>
    </row>
    <row r="187" spans="5:5" x14ac:dyDescent="0.25">
      <c r="E187" s="84"/>
    </row>
    <row r="188" spans="5:5" x14ac:dyDescent="0.25">
      <c r="E188" s="84"/>
    </row>
    <row r="189" spans="5:5" x14ac:dyDescent="0.25">
      <c r="E189" s="84"/>
    </row>
    <row r="190" spans="5:5" x14ac:dyDescent="0.25">
      <c r="E190" s="84"/>
    </row>
    <row r="191" spans="5:5" x14ac:dyDescent="0.25">
      <c r="E191" s="84"/>
    </row>
    <row r="192" spans="5:5" x14ac:dyDescent="0.25">
      <c r="E192" s="84"/>
    </row>
    <row r="193" spans="5:5" x14ac:dyDescent="0.25">
      <c r="E193" s="84"/>
    </row>
    <row r="194" spans="5:5" x14ac:dyDescent="0.25">
      <c r="E194" s="84"/>
    </row>
    <row r="195" spans="5:5" x14ac:dyDescent="0.25">
      <c r="E195" s="84"/>
    </row>
    <row r="196" spans="5:5" x14ac:dyDescent="0.25">
      <c r="E196" s="84"/>
    </row>
    <row r="197" spans="5:5" x14ac:dyDescent="0.25">
      <c r="E197" s="84"/>
    </row>
    <row r="198" spans="5:5" x14ac:dyDescent="0.25">
      <c r="E198" s="84"/>
    </row>
    <row r="199" spans="5:5" x14ac:dyDescent="0.25">
      <c r="E199" s="84"/>
    </row>
    <row r="200" spans="5:5" x14ac:dyDescent="0.25">
      <c r="E200" s="84"/>
    </row>
    <row r="201" spans="5:5" x14ac:dyDescent="0.25">
      <c r="E201" s="84"/>
    </row>
    <row r="202" spans="5:5" x14ac:dyDescent="0.25">
      <c r="E202" s="84"/>
    </row>
    <row r="203" spans="5:5" x14ac:dyDescent="0.25">
      <c r="E203" s="84"/>
    </row>
    <row r="204" spans="5:5" x14ac:dyDescent="0.25">
      <c r="E204" s="84"/>
    </row>
    <row r="205" spans="5:5" x14ac:dyDescent="0.25">
      <c r="E205" s="84"/>
    </row>
    <row r="206" spans="5:5" x14ac:dyDescent="0.25">
      <c r="E206" s="84"/>
    </row>
    <row r="207" spans="5:5" x14ac:dyDescent="0.25">
      <c r="E207" s="84"/>
    </row>
    <row r="208" spans="5:5" x14ac:dyDescent="0.25">
      <c r="E208" s="84"/>
    </row>
    <row r="209" spans="5:5" x14ac:dyDescent="0.25">
      <c r="E209" s="84"/>
    </row>
    <row r="210" spans="5:5" x14ac:dyDescent="0.25">
      <c r="E210" s="84"/>
    </row>
    <row r="211" spans="5:5" x14ac:dyDescent="0.25">
      <c r="E211" s="84"/>
    </row>
    <row r="212" spans="5:5" x14ac:dyDescent="0.25">
      <c r="E212" s="84"/>
    </row>
  </sheetData>
  <sheetProtection formatCells="0" formatColumns="0" formatRows="0" insertColumns="0" insertRows="0" deleteColumns="0" deleteRows="0"/>
  <mergeCells count="64">
    <mergeCell ref="L41:M42"/>
    <mergeCell ref="I25:J26"/>
    <mergeCell ref="L50:M51"/>
    <mergeCell ref="C41:D42"/>
    <mergeCell ref="C43:D47"/>
    <mergeCell ref="F50:F51"/>
    <mergeCell ref="J43:J47"/>
    <mergeCell ref="F41:F42"/>
    <mergeCell ref="F43:F47"/>
    <mergeCell ref="J41:K42"/>
    <mergeCell ref="A1:N1"/>
    <mergeCell ref="A2:N2"/>
    <mergeCell ref="C36:D36"/>
    <mergeCell ref="C37:D37"/>
    <mergeCell ref="C38:D38"/>
    <mergeCell ref="C34:D35"/>
    <mergeCell ref="B25:B26"/>
    <mergeCell ref="B34:B35"/>
    <mergeCell ref="H36:K37"/>
    <mergeCell ref="P15:R15"/>
    <mergeCell ref="T15:V15"/>
    <mergeCell ref="E34:E35"/>
    <mergeCell ref="C27:H27"/>
    <mergeCell ref="C28:H28"/>
    <mergeCell ref="K27:L27"/>
    <mergeCell ref="K28:L28"/>
    <mergeCell ref="K29:L29"/>
    <mergeCell ref="K30:L30"/>
    <mergeCell ref="C29:H29"/>
    <mergeCell ref="C30:H30"/>
    <mergeCell ref="C25:H26"/>
    <mergeCell ref="F34:F35"/>
    <mergeCell ref="H34:K35"/>
    <mergeCell ref="K25:L26"/>
    <mergeCell ref="K90:L90"/>
    <mergeCell ref="E41:E42"/>
    <mergeCell ref="K48:L49"/>
    <mergeCell ref="I41:I42"/>
    <mergeCell ref="G41:G42"/>
    <mergeCell ref="H41:H42"/>
    <mergeCell ref="G50:G51"/>
    <mergeCell ref="H50:H51"/>
    <mergeCell ref="I50:I51"/>
    <mergeCell ref="B86:L87"/>
    <mergeCell ref="B43:B47"/>
    <mergeCell ref="B52:B55"/>
    <mergeCell ref="F52:F55"/>
    <mergeCell ref="B68:B71"/>
    <mergeCell ref="C50:D51"/>
    <mergeCell ref="C52:D71"/>
    <mergeCell ref="B41:B42"/>
    <mergeCell ref="B56:B59"/>
    <mergeCell ref="F56:F59"/>
    <mergeCell ref="B50:B51"/>
    <mergeCell ref="E50:E51"/>
    <mergeCell ref="B60:B63"/>
    <mergeCell ref="F60:F63"/>
    <mergeCell ref="B64:B67"/>
    <mergeCell ref="J50:K51"/>
    <mergeCell ref="K43:K47"/>
    <mergeCell ref="K52:K71"/>
    <mergeCell ref="J52:J71"/>
    <mergeCell ref="F64:F67"/>
    <mergeCell ref="F68:F71"/>
  </mergeCells>
  <dataValidations count="1">
    <dataValidation type="list" allowBlank="1" showInputMessage="1" showErrorMessage="1" sqref="I100" xr:uid="{9AF1BF75-3C62-4DBD-BAD4-36622DE27616}">
      <formula1>$P$99:$P$100</formula1>
    </dataValidation>
  </dataValidations>
  <printOptions horizontalCentered="1"/>
  <pageMargins left="0.39370078740157499" right="0.23622047244094499" top="0.39370078740157499" bottom="0.15748031496063" header="0.23622047244094499" footer="0.15748031496063"/>
  <pageSetup paperSize="9" scale="69" orientation="portrait" horizontalDpi="4294967294" verticalDpi="4294967294" r:id="rId1"/>
  <headerFooter>
    <oddHeader>&amp;R&amp;"-,Regular"&amp;8KL.LHK - 021-18 / REV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73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2BF6-5AA7-41E0-BF67-3DF146768C5C}">
  <dimension ref="A1:O61"/>
  <sheetViews>
    <sheetView view="pageBreakPreview" zoomScale="90" zoomScaleNormal="100" zoomScaleSheetLayoutView="90" workbookViewId="0">
      <selection activeCell="D20" sqref="D20:F20"/>
    </sheetView>
  </sheetViews>
  <sheetFormatPr defaultColWidth="9.1796875" defaultRowHeight="12.5" x14ac:dyDescent="0.25"/>
  <cols>
    <col min="1" max="1" width="18.1796875" style="713" customWidth="1"/>
    <col min="2" max="2" width="26.1796875" style="713" customWidth="1"/>
    <col min="3" max="3" width="3.1796875" style="713" customWidth="1"/>
    <col min="4" max="4" width="11.54296875" style="713" customWidth="1"/>
    <col min="5" max="5" width="9.453125" style="713" customWidth="1"/>
    <col min="6" max="6" width="22.54296875" style="713" customWidth="1"/>
    <col min="7" max="7" width="9.1796875" style="713"/>
    <col min="8" max="8" width="18.81640625" style="713" customWidth="1"/>
    <col min="9" max="9" width="12.1796875" style="713" customWidth="1"/>
    <col min="10" max="16384" width="9.1796875" style="713"/>
  </cols>
  <sheetData>
    <row r="1" spans="1:15" x14ac:dyDescent="0.25">
      <c r="H1" s="714" t="str">
        <f>IF(PENYELIA!J88&lt;70,"TIDAK LAIK","LAIK")</f>
        <v>LAIK</v>
      </c>
      <c r="I1" s="715"/>
      <c r="J1" s="715"/>
    </row>
    <row r="2" spans="1:15" ht="30" x14ac:dyDescent="0.25">
      <c r="A2" s="992" t="str">
        <f>B46</f>
        <v>SERTIFIKAT KALIBRASI</v>
      </c>
      <c r="B2" s="992"/>
      <c r="C2" s="992"/>
      <c r="D2" s="992"/>
      <c r="E2" s="992"/>
      <c r="F2" s="992"/>
      <c r="H2" s="716"/>
      <c r="I2" s="993"/>
      <c r="J2" s="994"/>
    </row>
    <row r="3" spans="1:15" ht="14" x14ac:dyDescent="0.3">
      <c r="A3" s="995" t="str">
        <f>"Nomor : 20 /"&amp;" "&amp;ID!I2</f>
        <v>Nomor : 20 / 1 / VIII - 22 / E - 008.27 DL</v>
      </c>
      <c r="B3" s="995"/>
      <c r="C3" s="995"/>
      <c r="D3" s="995"/>
      <c r="E3" s="995"/>
      <c r="F3" s="995"/>
    </row>
    <row r="4" spans="1:15" ht="13" x14ac:dyDescent="0.3">
      <c r="C4" s="713" t="s">
        <v>443</v>
      </c>
      <c r="D4" s="996" t="s">
        <v>444</v>
      </c>
      <c r="E4" s="996"/>
      <c r="F4" s="996"/>
      <c r="H4" s="717"/>
      <c r="I4" s="717"/>
      <c r="J4" s="717"/>
    </row>
    <row r="5" spans="1:15" ht="14.5" x14ac:dyDescent="0.35">
      <c r="H5" s="997"/>
      <c r="I5" s="997"/>
      <c r="J5" s="997"/>
    </row>
    <row r="6" spans="1:15" ht="14" x14ac:dyDescent="0.25">
      <c r="A6" s="718" t="s">
        <v>445</v>
      </c>
      <c r="B6" s="719" t="s">
        <v>477</v>
      </c>
      <c r="C6" s="720"/>
      <c r="D6" s="990" t="s">
        <v>446</v>
      </c>
      <c r="E6" s="991"/>
      <c r="F6" s="721" t="str">
        <f>MID(A3,SEARCH("E - ",A3),LEN(A3))</f>
        <v>E - 008.27 DL</v>
      </c>
    </row>
    <row r="7" spans="1:15" ht="14" x14ac:dyDescent="0.25">
      <c r="A7" s="722"/>
      <c r="B7" s="722"/>
      <c r="C7" s="722"/>
    </row>
    <row r="8" spans="1:15" ht="14" x14ac:dyDescent="0.25">
      <c r="A8" s="998" t="s">
        <v>25</v>
      </c>
      <c r="B8" s="998"/>
      <c r="C8" s="723" t="s">
        <v>26</v>
      </c>
      <c r="D8" s="998" t="str">
        <f>ID!E4</f>
        <v>NIHON KOHDEN</v>
      </c>
      <c r="E8" s="998"/>
      <c r="F8" s="998"/>
      <c r="I8" s="999"/>
      <c r="J8" s="999"/>
    </row>
    <row r="9" spans="1:15" ht="14" x14ac:dyDescent="0.25">
      <c r="A9" s="998" t="s">
        <v>447</v>
      </c>
      <c r="B9" s="998"/>
      <c r="C9" s="723" t="s">
        <v>26</v>
      </c>
      <c r="D9" s="998" t="str">
        <f>ID!E5</f>
        <v>NEUROFAX</v>
      </c>
      <c r="E9" s="998"/>
      <c r="F9" s="998"/>
      <c r="I9" s="999"/>
      <c r="J9" s="999"/>
    </row>
    <row r="10" spans="1:15" ht="14.5" x14ac:dyDescent="0.35">
      <c r="A10" s="998" t="s">
        <v>448</v>
      </c>
      <c r="B10" s="998"/>
      <c r="C10" s="723" t="s">
        <v>26</v>
      </c>
      <c r="D10" s="998" t="str">
        <f>ID!E6</f>
        <v>20827</v>
      </c>
      <c r="E10" s="998"/>
      <c r="F10" s="998"/>
      <c r="I10" s="1000"/>
      <c r="J10" s="1001"/>
      <c r="O10" s="724"/>
    </row>
    <row r="11" spans="1:15" s="715" customFormat="1" ht="14.5" x14ac:dyDescent="0.35">
      <c r="A11" s="1002" t="str">
        <f>LH!A7</f>
        <v>Resolusi Frekuensi</v>
      </c>
      <c r="B11" s="1002"/>
      <c r="C11" s="726" t="s">
        <v>26</v>
      </c>
      <c r="D11" s="762">
        <f>ID!E7</f>
        <v>0.01</v>
      </c>
      <c r="E11" s="796" t="str">
        <f>LH!F7</f>
        <v>Hz</v>
      </c>
      <c r="F11" s="728"/>
      <c r="I11" s="729"/>
      <c r="J11" s="730"/>
      <c r="O11" s="730"/>
    </row>
    <row r="12" spans="1:15" s="715" customFormat="1" ht="14.5" x14ac:dyDescent="0.35">
      <c r="A12" s="725" t="str">
        <f>LH!A8</f>
        <v>Resolusi Amplitudo</v>
      </c>
      <c r="B12" s="725"/>
      <c r="C12" s="726" t="s">
        <v>26</v>
      </c>
      <c r="D12" s="762">
        <f>LH!E8</f>
        <v>0.01</v>
      </c>
      <c r="E12" s="796" t="str">
        <f>LH!F8</f>
        <v>µv</v>
      </c>
      <c r="F12" s="728"/>
      <c r="I12" s="729"/>
      <c r="J12" s="730"/>
      <c r="O12" s="730"/>
    </row>
    <row r="13" spans="1:15" ht="14.5" x14ac:dyDescent="0.35">
      <c r="A13" s="725"/>
      <c r="B13" s="725"/>
      <c r="C13" s="726"/>
      <c r="D13" s="723"/>
      <c r="E13" s="727"/>
      <c r="I13" s="731"/>
      <c r="J13" s="731"/>
      <c r="O13" s="724"/>
    </row>
    <row r="14" spans="1:15" ht="28.5" customHeight="1" x14ac:dyDescent="0.35">
      <c r="A14" s="732" t="s">
        <v>449</v>
      </c>
      <c r="B14" s="733"/>
      <c r="C14" s="722"/>
      <c r="D14" s="990" t="s">
        <v>450</v>
      </c>
      <c r="E14" s="991"/>
      <c r="F14" s="734"/>
      <c r="I14" s="1001"/>
      <c r="J14" s="1001"/>
      <c r="O14" s="724"/>
    </row>
    <row r="15" spans="1:15" ht="14.5" x14ac:dyDescent="0.25">
      <c r="A15" s="735"/>
      <c r="B15" s="722"/>
      <c r="C15" s="722"/>
      <c r="D15" s="722"/>
      <c r="E15" s="722"/>
      <c r="I15" s="1003"/>
      <c r="J15" s="1003"/>
    </row>
    <row r="16" spans="1:15" s="715" customFormat="1" ht="42.75" customHeight="1" x14ac:dyDescent="0.3">
      <c r="A16" s="1004" t="s">
        <v>451</v>
      </c>
      <c r="B16" s="1004"/>
      <c r="C16" s="736" t="s">
        <v>26</v>
      </c>
      <c r="D16" s="1005" t="s">
        <v>452</v>
      </c>
      <c r="E16" s="1005"/>
      <c r="F16" s="1005"/>
      <c r="H16" s="737"/>
      <c r="I16" s="1006"/>
      <c r="J16" s="1007"/>
    </row>
    <row r="17" spans="1:10" ht="14.5" x14ac:dyDescent="0.35">
      <c r="A17" s="998" t="s">
        <v>453</v>
      </c>
      <c r="B17" s="998"/>
      <c r="C17" s="723" t="s">
        <v>26</v>
      </c>
      <c r="D17" s="1008" t="str">
        <f>ID!E11</f>
        <v>Ruang EEG</v>
      </c>
      <c r="E17" s="1008"/>
      <c r="F17" s="1008"/>
      <c r="H17" s="1009"/>
      <c r="I17" s="1009"/>
      <c r="J17" s="1009"/>
    </row>
    <row r="18" spans="1:10" ht="14.5" x14ac:dyDescent="0.35">
      <c r="A18" s="998" t="s">
        <v>32</v>
      </c>
      <c r="B18" s="998"/>
      <c r="C18" s="723" t="s">
        <v>26</v>
      </c>
      <c r="D18" s="1010" t="str">
        <f>ID!E8</f>
        <v>2 Agustus 2022</v>
      </c>
      <c r="E18" s="1010"/>
      <c r="F18" s="1010"/>
      <c r="H18" s="738"/>
      <c r="I18" s="738"/>
      <c r="J18" s="738"/>
    </row>
    <row r="19" spans="1:10" ht="14.25" customHeight="1" x14ac:dyDescent="0.25">
      <c r="A19" s="998" t="str">
        <f>"Tanggal "&amp;B50</f>
        <v>Tanggal Kalibrasi</v>
      </c>
      <c r="B19" s="998"/>
      <c r="C19" s="723" t="s">
        <v>26</v>
      </c>
      <c r="D19" s="1010" t="str">
        <f>ID!E9</f>
        <v>2 Agustus 2022</v>
      </c>
      <c r="E19" s="1010"/>
      <c r="F19" s="1010"/>
    </row>
    <row r="20" spans="1:10" ht="14" x14ac:dyDescent="0.25">
      <c r="A20" s="998" t="str">
        <f>"Penanggungjawab "&amp;B50</f>
        <v>Penanggungjawab Kalibrasi</v>
      </c>
      <c r="B20" s="998"/>
      <c r="C20" s="723" t="s">
        <v>26</v>
      </c>
      <c r="D20" s="998" t="str">
        <f>ID!B89</f>
        <v>Gusti Arya Dinata</v>
      </c>
      <c r="E20" s="998"/>
      <c r="F20" s="998"/>
    </row>
    <row r="21" spans="1:10" ht="14.5" x14ac:dyDescent="0.35">
      <c r="A21" s="998" t="str">
        <f>"Lokasi "&amp;B50</f>
        <v>Lokasi Kalibrasi</v>
      </c>
      <c r="B21" s="998"/>
      <c r="C21" s="723" t="s">
        <v>26</v>
      </c>
      <c r="D21" s="1008" t="str">
        <f>ID!E10</f>
        <v>Ruang EEG</v>
      </c>
      <c r="E21" s="1008"/>
      <c r="F21" s="1008"/>
      <c r="H21" s="739"/>
    </row>
    <row r="22" spans="1:10" ht="31.5" customHeight="1" x14ac:dyDescent="0.25">
      <c r="A22" s="1008" t="str">
        <f>"Hasil "&amp;B50</f>
        <v>Hasil Kalibrasi</v>
      </c>
      <c r="B22" s="1008"/>
      <c r="C22" s="740" t="s">
        <v>26</v>
      </c>
      <c r="D22" s="1011" t="s">
        <v>454</v>
      </c>
      <c r="E22" s="1011"/>
      <c r="F22" s="1011"/>
    </row>
    <row r="23" spans="1:10" ht="14" x14ac:dyDescent="0.25">
      <c r="A23" s="998" t="s">
        <v>148</v>
      </c>
      <c r="B23" s="998"/>
      <c r="C23" s="723" t="s">
        <v>26</v>
      </c>
      <c r="D23" s="998" t="str">
        <f>ID!E12</f>
        <v>MK 021-18</v>
      </c>
      <c r="E23" s="998"/>
      <c r="F23" s="998"/>
    </row>
    <row r="26" spans="1:10" ht="26.25" customHeight="1" x14ac:dyDescent="0.25">
      <c r="D26" s="741" t="s">
        <v>455</v>
      </c>
      <c r="E26" s="1012">
        <f ca="1">TODAY()</f>
        <v>45198</v>
      </c>
      <c r="F26" s="1012"/>
    </row>
    <row r="27" spans="1:10" ht="14" x14ac:dyDescent="0.25">
      <c r="D27" s="998" t="s">
        <v>456</v>
      </c>
      <c r="E27" s="998"/>
      <c r="F27" s="998"/>
    </row>
    <row r="28" spans="1:10" ht="14" x14ac:dyDescent="0.25">
      <c r="D28" s="998" t="s">
        <v>457</v>
      </c>
      <c r="E28" s="998"/>
      <c r="F28" s="998"/>
    </row>
    <row r="29" spans="1:10" ht="14" x14ac:dyDescent="0.25">
      <c r="D29" s="742"/>
      <c r="E29" s="742"/>
    </row>
    <row r="30" spans="1:10" ht="14" x14ac:dyDescent="0.25">
      <c r="D30" s="742"/>
      <c r="E30" s="742"/>
    </row>
    <row r="31" spans="1:10" ht="14" x14ac:dyDescent="0.25">
      <c r="D31" s="742"/>
      <c r="E31" s="742"/>
    </row>
    <row r="32" spans="1:10" ht="14" x14ac:dyDescent="0.25">
      <c r="D32" s="998" t="s">
        <v>458</v>
      </c>
      <c r="E32" s="998"/>
      <c r="F32" s="998"/>
    </row>
    <row r="33" spans="1:6" ht="14" x14ac:dyDescent="0.25">
      <c r="D33" s="1013" t="s">
        <v>459</v>
      </c>
      <c r="E33" s="1013"/>
      <c r="F33" s="1013"/>
    </row>
    <row r="36" spans="1:6" ht="13" x14ac:dyDescent="0.25">
      <c r="A36" s="743"/>
      <c r="B36" s="743"/>
      <c r="C36" s="743"/>
      <c r="D36" s="743"/>
      <c r="E36" s="743"/>
      <c r="F36" s="743"/>
    </row>
    <row r="42" spans="1:6" ht="13" thickBot="1" x14ac:dyDescent="0.3"/>
    <row r="43" spans="1:6" ht="31.5" customHeight="1" x14ac:dyDescent="0.25">
      <c r="A43" s="744" t="s">
        <v>460</v>
      </c>
      <c r="B43" s="745" t="str">
        <f>MID([1]ID!I2,SEARCH("E - ",[1]ID!I2),LEN([1]ID!I2))</f>
        <v>E - 008.27 DL</v>
      </c>
    </row>
    <row r="44" spans="1:6" x14ac:dyDescent="0.25">
      <c r="A44" s="746"/>
      <c r="B44" s="747"/>
    </row>
    <row r="45" spans="1:6" ht="24" customHeight="1" x14ac:dyDescent="0.25">
      <c r="A45" s="748" t="s">
        <v>461</v>
      </c>
      <c r="B45" s="749" t="str">
        <f>[1]ID!A1</f>
        <v>Input Data Kalibrasi Centrifuge</v>
      </c>
    </row>
    <row r="46" spans="1:6" ht="39" customHeight="1" x14ac:dyDescent="0.25">
      <c r="A46" s="748" t="s">
        <v>462</v>
      </c>
      <c r="B46" s="750" t="str">
        <f>IF(B45="INPUT DATA KALIBRASI Centrifuge",B47,B48)</f>
        <v>SERTIFIKAT KALIBRASI</v>
      </c>
    </row>
    <row r="47" spans="1:6" ht="22.5" customHeight="1" x14ac:dyDescent="0.25">
      <c r="A47" s="748" t="s">
        <v>463</v>
      </c>
      <c r="B47" s="747" t="s">
        <v>464</v>
      </c>
    </row>
    <row r="48" spans="1:6" x14ac:dyDescent="0.25">
      <c r="A48" s="746"/>
      <c r="B48" s="747" t="s">
        <v>465</v>
      </c>
    </row>
    <row r="49" spans="1:2" x14ac:dyDescent="0.25">
      <c r="A49" s="746"/>
      <c r="B49" s="747"/>
    </row>
    <row r="50" spans="1:2" ht="48" customHeight="1" x14ac:dyDescent="0.25">
      <c r="A50" s="748" t="s">
        <v>466</v>
      </c>
      <c r="B50" s="747" t="str">
        <f>IF(RIGHT(A2,10)=" KALIBRASI","Kalibrasi","Pengujian")</f>
        <v>Kalibrasi</v>
      </c>
    </row>
    <row r="51" spans="1:2" x14ac:dyDescent="0.25">
      <c r="A51" s="746"/>
      <c r="B51" s="747"/>
    </row>
    <row r="52" spans="1:2" s="752" customFormat="1" ht="34.5" customHeight="1" x14ac:dyDescent="0.3">
      <c r="A52" s="748" t="s">
        <v>467</v>
      </c>
      <c r="B52" s="751" t="s">
        <v>468</v>
      </c>
    </row>
    <row r="53" spans="1:2" x14ac:dyDescent="0.25">
      <c r="A53" s="746"/>
      <c r="B53" s="747"/>
    </row>
    <row r="54" spans="1:2" ht="50.25" customHeight="1" x14ac:dyDescent="0.3">
      <c r="A54" s="753" t="s">
        <v>469</v>
      </c>
      <c r="B54" s="754"/>
    </row>
    <row r="55" spans="1:2" ht="27" customHeight="1" x14ac:dyDescent="0.25">
      <c r="A55" s="748" t="s">
        <v>470</v>
      </c>
      <c r="B55" s="755"/>
    </row>
    <row r="56" spans="1:2" x14ac:dyDescent="0.25">
      <c r="A56" s="746"/>
      <c r="B56" s="747"/>
    </row>
    <row r="57" spans="1:2" ht="30" customHeight="1" x14ac:dyDescent="0.3">
      <c r="A57" s="753" t="s">
        <v>471</v>
      </c>
      <c r="B57" s="756" t="str">
        <f>IF(B46=B47,B58,B59)</f>
        <v xml:space="preserve">Laik Pakai, disarankan untuk dikalibrasi ulang pada tanggal </v>
      </c>
    </row>
    <row r="58" spans="1:2" ht="28" x14ac:dyDescent="0.3">
      <c r="A58" s="746" t="s">
        <v>472</v>
      </c>
      <c r="B58" s="757" t="str">
        <f>CONCATENATE(B60,B55)</f>
        <v xml:space="preserve">Laik Pakai, disarankan untuk dikalibrasi ulang pada tanggal </v>
      </c>
    </row>
    <row r="59" spans="1:2" ht="28" x14ac:dyDescent="0.3">
      <c r="A59" s="746"/>
      <c r="B59" s="757" t="str">
        <f>CONCATENATE(B61,B55)</f>
        <v xml:space="preserve">Laik Pakai, disarankan untuk diuji ulang pada tanggal </v>
      </c>
    </row>
    <row r="60" spans="1:2" ht="42" customHeight="1" x14ac:dyDescent="0.3">
      <c r="A60" s="758" t="s">
        <v>463</v>
      </c>
      <c r="B60" s="757" t="s">
        <v>473</v>
      </c>
    </row>
    <row r="61" spans="1:2" ht="39.75" customHeight="1" thickBot="1" x14ac:dyDescent="0.35">
      <c r="A61" s="759"/>
      <c r="B61" s="760" t="s">
        <v>474</v>
      </c>
    </row>
  </sheetData>
  <mergeCells count="42">
    <mergeCell ref="E26:F26"/>
    <mergeCell ref="D27:F27"/>
    <mergeCell ref="D28:F28"/>
    <mergeCell ref="D32:F32"/>
    <mergeCell ref="D33:F33"/>
    <mergeCell ref="A21:B21"/>
    <mergeCell ref="D21:F21"/>
    <mergeCell ref="A22:B22"/>
    <mergeCell ref="D22:F22"/>
    <mergeCell ref="A23:B23"/>
    <mergeCell ref="D23:F23"/>
    <mergeCell ref="A18:B18"/>
    <mergeCell ref="D18:F18"/>
    <mergeCell ref="A19:B19"/>
    <mergeCell ref="D19:F19"/>
    <mergeCell ref="A20:B20"/>
    <mergeCell ref="D20:F20"/>
    <mergeCell ref="I15:J15"/>
    <mergeCell ref="A16:B16"/>
    <mergeCell ref="D16:F16"/>
    <mergeCell ref="I16:J16"/>
    <mergeCell ref="A17:B17"/>
    <mergeCell ref="D17:F17"/>
    <mergeCell ref="H17:J17"/>
    <mergeCell ref="A10:B10"/>
    <mergeCell ref="D10:F10"/>
    <mergeCell ref="I10:J10"/>
    <mergeCell ref="A11:B11"/>
    <mergeCell ref="D14:E14"/>
    <mergeCell ref="I14:J14"/>
    <mergeCell ref="A8:B8"/>
    <mergeCell ref="D8:F8"/>
    <mergeCell ref="I8:J8"/>
    <mergeCell ref="A9:B9"/>
    <mergeCell ref="D9:F9"/>
    <mergeCell ref="I9:J9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:J12" xr:uid="{DE9C4D08-3FD2-4167-957D-A4893F35B551}">
      <formula1>$O$9:$O$14</formula1>
    </dataValidation>
    <dataValidation type="list" allowBlank="1" showInputMessage="1" showErrorMessage="1" sqref="A2:F2" xr:uid="{A7675C07-F50E-4C94-8735-289C1EA62B0E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rowBreaks count="1" manualBreakCount="1">
    <brk id="33" max="5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7D1D-5C92-45C2-9573-98ABDF41A66B}">
  <dimension ref="A1:V212"/>
  <sheetViews>
    <sheetView view="pageBreakPreview" zoomScaleNormal="100" zoomScaleSheetLayoutView="100" workbookViewId="0">
      <selection activeCell="M46" sqref="M46"/>
    </sheetView>
  </sheetViews>
  <sheetFormatPr defaultColWidth="9.1796875" defaultRowHeight="13" x14ac:dyDescent="0.25"/>
  <cols>
    <col min="1" max="1" width="4.26953125" style="84" customWidth="1"/>
    <col min="2" max="2" width="4.26953125" style="139" customWidth="1"/>
    <col min="3" max="3" width="18.1796875" style="139" customWidth="1"/>
    <col min="4" max="4" width="3.26953125" style="139" customWidth="1"/>
    <col min="5" max="5" width="14.453125" style="139" customWidth="1"/>
    <col min="6" max="6" width="13.453125" style="139" customWidth="1"/>
    <col min="7" max="7" width="13.7265625" style="139" customWidth="1"/>
    <col min="8" max="8" width="11.81640625" style="139" customWidth="1"/>
    <col min="9" max="11" width="9.08984375" style="139" customWidth="1"/>
    <col min="12" max="13" width="8.36328125" style="139" customWidth="1"/>
    <col min="14" max="14" width="13.26953125" style="83" customWidth="1"/>
    <col min="15" max="15" width="5.1796875" style="83" customWidth="1"/>
    <col min="16" max="16" width="11.26953125" style="83" customWidth="1"/>
    <col min="17" max="17" width="10.81640625" style="84" customWidth="1"/>
    <col min="18" max="16384" width="9.1796875" style="84"/>
  </cols>
  <sheetData>
    <row r="1" spans="1:22" ht="18.5" customHeight="1" x14ac:dyDescent="0.25">
      <c r="A1" s="954" t="str">
        <f>PENYELIA!A1</f>
        <v>HASIL KALIBRASI ELEKTROENCEPHALOGRAPH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88"/>
      <c r="P1" s="88"/>
    </row>
    <row r="2" spans="1:22" ht="17" customHeight="1" x14ac:dyDescent="0.25">
      <c r="A2" s="955" t="str">
        <f>PENYELIA!A2</f>
        <v>Nomor Sertifikat : 20 / 1 / VIII - 22 / E - 008.27 DL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955"/>
      <c r="O2" s="90"/>
      <c r="P2" s="90"/>
    </row>
    <row r="3" spans="1:22" ht="15" customHeight="1" x14ac:dyDescent="0.25"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79"/>
      <c r="O3" s="79"/>
      <c r="P3" s="79"/>
      <c r="Q3" s="91"/>
    </row>
    <row r="4" spans="1:22" ht="15" customHeight="1" x14ac:dyDescent="0.25">
      <c r="A4" s="124" t="s">
        <v>25</v>
      </c>
      <c r="B4" s="124"/>
      <c r="C4" s="198"/>
      <c r="D4" s="712" t="s">
        <v>26</v>
      </c>
      <c r="E4" s="134" t="str">
        <f>PENYELIA!D4</f>
        <v>NIHON KOHDEN</v>
      </c>
      <c r="G4" s="124"/>
      <c r="H4" s="124"/>
      <c r="I4" s="124"/>
      <c r="J4" s="124"/>
      <c r="K4" s="124"/>
      <c r="L4" s="124"/>
      <c r="M4" s="124"/>
      <c r="N4" s="79"/>
      <c r="O4" s="79"/>
      <c r="P4" s="79"/>
      <c r="Q4" s="91"/>
    </row>
    <row r="5" spans="1:22" ht="14.5" x14ac:dyDescent="0.25">
      <c r="A5" s="124" t="s">
        <v>28</v>
      </c>
      <c r="B5" s="124"/>
      <c r="C5" s="198"/>
      <c r="D5" s="712" t="s">
        <v>26</v>
      </c>
      <c r="E5" s="124" t="str">
        <f>PENYELIA!D5</f>
        <v>NEUROFAX</v>
      </c>
      <c r="G5" s="124"/>
      <c r="H5" s="124"/>
      <c r="I5" s="124"/>
      <c r="J5" s="124"/>
      <c r="K5" s="124"/>
      <c r="L5" s="124"/>
      <c r="M5" s="124"/>
      <c r="N5" s="79"/>
      <c r="O5" s="79"/>
      <c r="P5" s="79"/>
      <c r="Q5" s="91"/>
    </row>
    <row r="6" spans="1:22" ht="14.25" customHeight="1" x14ac:dyDescent="0.25">
      <c r="A6" s="124" t="s">
        <v>29</v>
      </c>
      <c r="B6" s="124"/>
      <c r="C6" s="198"/>
      <c r="D6" s="712" t="s">
        <v>26</v>
      </c>
      <c r="E6" s="124" t="str">
        <f>PENYELIA!D6</f>
        <v>20827</v>
      </c>
      <c r="G6" s="124"/>
      <c r="H6" s="124"/>
      <c r="I6" s="124"/>
      <c r="J6" s="124"/>
      <c r="K6" s="124"/>
      <c r="L6" s="124"/>
      <c r="M6" s="124"/>
      <c r="N6" s="79"/>
      <c r="O6" s="79"/>
      <c r="P6" s="79"/>
      <c r="Q6" s="91"/>
    </row>
    <row r="7" spans="1:22" ht="14.25" customHeight="1" x14ac:dyDescent="0.25">
      <c r="A7" s="124" t="s">
        <v>475</v>
      </c>
      <c r="B7" s="124"/>
      <c r="C7" s="198"/>
      <c r="D7" s="712" t="s">
        <v>26</v>
      </c>
      <c r="E7" s="763">
        <f>ID!E7</f>
        <v>0.01</v>
      </c>
      <c r="G7" s="124"/>
      <c r="H7" s="124"/>
      <c r="I7" s="124"/>
      <c r="J7" s="124"/>
      <c r="K7" s="124"/>
      <c r="L7" s="124"/>
      <c r="M7" s="124"/>
      <c r="N7" s="79"/>
      <c r="O7" s="79"/>
      <c r="P7" s="79"/>
      <c r="Q7" s="91"/>
    </row>
    <row r="8" spans="1:22" ht="14.5" x14ac:dyDescent="0.25">
      <c r="A8" s="124" t="s">
        <v>476</v>
      </c>
      <c r="B8" s="124"/>
      <c r="C8" s="198"/>
      <c r="D8" s="712" t="s">
        <v>26</v>
      </c>
      <c r="E8" s="764">
        <f>ID!G7</f>
        <v>0.01</v>
      </c>
      <c r="G8" s="124"/>
      <c r="H8" s="124"/>
      <c r="I8" s="124"/>
      <c r="J8" s="124"/>
      <c r="K8" s="124"/>
      <c r="L8" s="124"/>
      <c r="M8" s="124"/>
      <c r="N8" s="79"/>
      <c r="O8" s="79"/>
      <c r="P8" s="79"/>
      <c r="Q8" s="91"/>
    </row>
    <row r="9" spans="1:22" ht="14.5" x14ac:dyDescent="0.25">
      <c r="A9" s="124" t="str">
        <f>PENYELIA!A8</f>
        <v>Tanggal Penerimaan Alat</v>
      </c>
      <c r="B9" s="124"/>
      <c r="C9" s="198"/>
      <c r="D9" s="712" t="s">
        <v>26</v>
      </c>
      <c r="E9" s="124" t="str">
        <f>PENYELIA!D8</f>
        <v>2 Agustus 2022</v>
      </c>
      <c r="G9" s="124"/>
      <c r="H9" s="124"/>
      <c r="I9" s="124"/>
      <c r="J9" s="124"/>
      <c r="K9" s="124"/>
      <c r="L9" s="124"/>
      <c r="M9" s="124"/>
      <c r="N9" s="79"/>
      <c r="O9" s="79"/>
      <c r="P9" s="79"/>
      <c r="Q9" s="91"/>
    </row>
    <row r="10" spans="1:22" ht="14.5" x14ac:dyDescent="0.25">
      <c r="A10" s="124" t="str">
        <f>PENYELIA!A9</f>
        <v>Tanggal Kalibrasi</v>
      </c>
      <c r="B10" s="124"/>
      <c r="C10" s="198"/>
      <c r="D10" s="712" t="s">
        <v>26</v>
      </c>
      <c r="E10" s="124" t="str">
        <f>PENYELIA!D9</f>
        <v>2 Agustus 2022</v>
      </c>
      <c r="G10" s="124"/>
      <c r="H10" s="124"/>
      <c r="I10" s="124"/>
      <c r="J10" s="124"/>
      <c r="K10" s="124"/>
      <c r="L10" s="124"/>
      <c r="M10" s="124"/>
      <c r="N10" s="79"/>
      <c r="O10" s="79"/>
      <c r="P10" s="79"/>
      <c r="Q10" s="91"/>
    </row>
    <row r="11" spans="1:22" ht="14.5" x14ac:dyDescent="0.25">
      <c r="A11" s="124" t="str">
        <f>PENYELIA!A10</f>
        <v>Tempat Kalibrasi</v>
      </c>
      <c r="B11" s="124"/>
      <c r="C11" s="198"/>
      <c r="D11" s="712" t="s">
        <v>26</v>
      </c>
      <c r="E11" s="124" t="str">
        <f>PENYELIA!D10</f>
        <v>Ruang EEG</v>
      </c>
      <c r="G11" s="124"/>
      <c r="H11" s="124"/>
      <c r="I11" s="124"/>
      <c r="J11" s="124"/>
      <c r="K11" s="124"/>
      <c r="L11" s="124"/>
      <c r="M11" s="124"/>
      <c r="N11" s="79"/>
      <c r="O11" s="79"/>
      <c r="P11" s="84"/>
      <c r="Q11" s="91"/>
    </row>
    <row r="12" spans="1:22" ht="14.5" x14ac:dyDescent="0.25">
      <c r="A12" s="124" t="s">
        <v>33</v>
      </c>
      <c r="B12" s="124"/>
      <c r="C12" s="198"/>
      <c r="D12" s="712" t="s">
        <v>26</v>
      </c>
      <c r="E12" s="124" t="str">
        <f>PENYELIA!D11</f>
        <v>Ruang EEG</v>
      </c>
      <c r="G12" s="124"/>
      <c r="H12" s="124"/>
      <c r="I12" s="124"/>
      <c r="J12" s="124"/>
      <c r="K12" s="124"/>
      <c r="L12" s="124"/>
      <c r="M12" s="124"/>
      <c r="N12" s="79"/>
      <c r="O12" s="79"/>
      <c r="P12" s="84"/>
      <c r="Q12" s="91"/>
    </row>
    <row r="13" spans="1:22" ht="14.5" x14ac:dyDescent="0.25">
      <c r="A13" s="124" t="s">
        <v>148</v>
      </c>
      <c r="B13" s="124"/>
      <c r="C13" s="198"/>
      <c r="D13" s="712" t="s">
        <v>26</v>
      </c>
      <c r="E13" s="124" t="str">
        <f>PENYELIA!D12</f>
        <v>MK 021-18</v>
      </c>
      <c r="G13" s="124"/>
      <c r="H13" s="124"/>
      <c r="I13" s="124"/>
      <c r="J13" s="124"/>
      <c r="K13" s="124"/>
      <c r="L13" s="124"/>
      <c r="M13" s="124"/>
      <c r="N13" s="79"/>
      <c r="O13" s="79"/>
      <c r="P13" s="84"/>
      <c r="Q13" s="91"/>
    </row>
    <row r="14" spans="1:22" ht="15" customHeight="1" thickBot="1" x14ac:dyDescent="0.3">
      <c r="A14" s="124"/>
      <c r="B14" s="124"/>
      <c r="C14" s="124"/>
      <c r="D14" s="233"/>
      <c r="E14" s="124"/>
      <c r="G14" s="124"/>
      <c r="H14" s="124"/>
      <c r="I14" s="124"/>
      <c r="J14" s="124"/>
      <c r="K14" s="124"/>
      <c r="L14" s="124"/>
      <c r="M14" s="124"/>
      <c r="N14" s="79"/>
      <c r="O14" s="79"/>
      <c r="S14" s="124"/>
    </row>
    <row r="15" spans="1:22" ht="14.5" x14ac:dyDescent="0.25">
      <c r="A15" s="125" t="s">
        <v>34</v>
      </c>
      <c r="B15" s="125" t="s">
        <v>35</v>
      </c>
      <c r="C15" s="125"/>
      <c r="D15" s="233"/>
      <c r="E15" s="124"/>
      <c r="G15" s="125"/>
      <c r="H15" s="125"/>
      <c r="I15" s="124"/>
      <c r="J15" s="124"/>
      <c r="K15" s="124"/>
      <c r="L15" s="124"/>
      <c r="M15" s="124"/>
      <c r="N15" s="79"/>
      <c r="O15" s="79"/>
      <c r="P15" s="981" t="s">
        <v>304</v>
      </c>
      <c r="Q15" s="982"/>
      <c r="R15" s="983"/>
      <c r="S15" s="124"/>
      <c r="T15" s="981" t="s">
        <v>304</v>
      </c>
      <c r="U15" s="982"/>
      <c r="V15" s="983"/>
    </row>
    <row r="16" spans="1:22" ht="15" customHeight="1" x14ac:dyDescent="0.25">
      <c r="A16" s="124"/>
      <c r="B16" s="124" t="s">
        <v>38</v>
      </c>
      <c r="C16" s="198"/>
      <c r="D16" s="712" t="s">
        <v>26</v>
      </c>
      <c r="E16" s="199" t="str">
        <f>P18&amp;P16&amp;Q18&amp;Q16&amp;R18&amp;R16</f>
        <v>( 22.6 ± 0.1 ) °C</v>
      </c>
      <c r="F16" s="84"/>
      <c r="G16" s="84"/>
      <c r="H16" s="84"/>
      <c r="I16" s="124"/>
      <c r="J16" s="124"/>
      <c r="K16" s="668"/>
      <c r="L16" s="124"/>
      <c r="M16" s="124"/>
      <c r="P16" s="537" t="str">
        <f>'DB SUHU'!N390</f>
        <v>22.6</v>
      </c>
      <c r="Q16" s="537" t="str">
        <f>'DB SUHU'!O390</f>
        <v>0.1</v>
      </c>
      <c r="R16" s="538" t="s">
        <v>305</v>
      </c>
      <c r="S16" s="124"/>
      <c r="T16" s="537" t="str">
        <f>'DB ESA'!H272</f>
        <v>219.8</v>
      </c>
      <c r="U16" s="537" t="str">
        <f>'DB ESA'!I272</f>
        <v>2.6</v>
      </c>
      <c r="V16" s="538" t="s">
        <v>306</v>
      </c>
    </row>
    <row r="17" spans="1:22" ht="16" thickBot="1" x14ac:dyDescent="0.35">
      <c r="A17" s="124"/>
      <c r="B17" s="124" t="s">
        <v>274</v>
      </c>
      <c r="C17" s="198"/>
      <c r="D17" s="712" t="s">
        <v>26</v>
      </c>
      <c r="E17" s="199" t="str">
        <f>P18&amp;P17&amp;Q18&amp;Q17&amp;R18&amp;R17</f>
        <v>( 51.6 ± 1.5 ) %RH</v>
      </c>
      <c r="F17" s="84"/>
      <c r="G17" s="84"/>
      <c r="H17" s="84"/>
      <c r="I17" s="124"/>
      <c r="J17" s="124"/>
      <c r="K17" s="668"/>
      <c r="L17" s="124"/>
      <c r="M17" s="124"/>
      <c r="P17" s="537" t="str">
        <f>'DB SUHU'!N391</f>
        <v>51.6</v>
      </c>
      <c r="Q17" s="537" t="str">
        <f>'DB SUHU'!O391</f>
        <v>1.5</v>
      </c>
      <c r="R17" s="538" t="s">
        <v>307</v>
      </c>
      <c r="S17" s="124"/>
      <c r="T17" s="541" t="s">
        <v>308</v>
      </c>
      <c r="U17" s="542" t="s">
        <v>309</v>
      </c>
      <c r="V17" s="543" t="s">
        <v>310</v>
      </c>
    </row>
    <row r="18" spans="1:22" ht="16" thickBot="1" x14ac:dyDescent="0.35">
      <c r="A18" s="124"/>
      <c r="B18" s="136" t="s">
        <v>42</v>
      </c>
      <c r="C18" s="124"/>
      <c r="D18" s="712" t="s">
        <v>26</v>
      </c>
      <c r="E18" s="199" t="str">
        <f>T17&amp;T16&amp;U17&amp;U16&amp;V17&amp;V16</f>
        <v>( 219.8 ± 2.6 ) Volt</v>
      </c>
      <c r="F18" s="84"/>
      <c r="G18" s="84"/>
      <c r="H18" s="84"/>
      <c r="I18" s="124"/>
      <c r="J18" s="124"/>
      <c r="K18" s="668"/>
      <c r="L18" s="124"/>
      <c r="M18" s="124"/>
      <c r="P18" s="541" t="s">
        <v>308</v>
      </c>
      <c r="Q18" s="542" t="s">
        <v>309</v>
      </c>
      <c r="R18" s="543" t="s">
        <v>310</v>
      </c>
      <c r="S18" s="91"/>
    </row>
    <row r="19" spans="1:22" ht="15.75" customHeight="1" x14ac:dyDescent="0.25">
      <c r="A19" s="124"/>
      <c r="B19" s="124"/>
      <c r="C19" s="124"/>
      <c r="E19" s="131"/>
      <c r="F19" s="134"/>
      <c r="G19" s="134"/>
      <c r="H19" s="124"/>
      <c r="I19" s="124"/>
      <c r="J19" s="124"/>
      <c r="K19" s="668"/>
      <c r="L19" s="124"/>
      <c r="M19" s="124"/>
    </row>
    <row r="20" spans="1:22" ht="14" x14ac:dyDescent="0.25">
      <c r="A20" s="125" t="s">
        <v>44</v>
      </c>
      <c r="B20" s="125" t="s">
        <v>311</v>
      </c>
      <c r="C20" s="125"/>
      <c r="E20" s="125"/>
      <c r="G20" s="125"/>
      <c r="H20" s="125"/>
      <c r="I20" s="125"/>
      <c r="J20" s="125"/>
      <c r="K20" s="124"/>
      <c r="L20" s="124"/>
      <c r="M20" s="124"/>
      <c r="P20" s="761" t="str">
        <f>P16</f>
        <v>22.6</v>
      </c>
      <c r="Q20" s="132" t="str">
        <f>Q18</f>
        <v xml:space="preserve"> ± </v>
      </c>
      <c r="R20" s="667" t="str">
        <f>Q16</f>
        <v>0.1</v>
      </c>
      <c r="S20" s="201" t="str">
        <f>R16</f>
        <v xml:space="preserve"> °C</v>
      </c>
    </row>
    <row r="21" spans="1:22" ht="14.5" x14ac:dyDescent="0.25">
      <c r="A21" s="124"/>
      <c r="B21" s="124" t="s">
        <v>47</v>
      </c>
      <c r="C21" s="198"/>
      <c r="D21" s="712" t="s">
        <v>26</v>
      </c>
      <c r="E21" s="124" t="str">
        <f>PENYELIA!D20</f>
        <v>Baik</v>
      </c>
      <c r="G21" s="124"/>
      <c r="H21" s="124"/>
      <c r="I21" s="124"/>
      <c r="J21" s="124"/>
      <c r="K21" s="124"/>
      <c r="L21" s="124"/>
      <c r="M21" s="124"/>
      <c r="N21" s="79"/>
      <c r="O21" s="79"/>
      <c r="P21" s="761" t="str">
        <f>P17</f>
        <v>51.6</v>
      </c>
      <c r="Q21" s="132" t="str">
        <f>Q18</f>
        <v xml:space="preserve"> ± </v>
      </c>
      <c r="R21" s="667" t="str">
        <f>Q17</f>
        <v>1.5</v>
      </c>
      <c r="S21" s="201" t="str">
        <f>R17</f>
        <v xml:space="preserve"> %RH</v>
      </c>
    </row>
    <row r="22" spans="1:22" ht="14.5" x14ac:dyDescent="0.25">
      <c r="A22" s="124"/>
      <c r="B22" s="124" t="s">
        <v>50</v>
      </c>
      <c r="C22" s="198"/>
      <c r="D22" s="712" t="s">
        <v>26</v>
      </c>
      <c r="E22" s="124" t="str">
        <f>PENYELIA!D21</f>
        <v>Baik</v>
      </c>
      <c r="G22" s="124"/>
      <c r="H22" s="124"/>
      <c r="I22" s="124"/>
      <c r="J22" s="124"/>
      <c r="K22" s="124"/>
      <c r="L22" s="124"/>
      <c r="M22" s="124"/>
      <c r="N22" s="79"/>
      <c r="O22" s="79"/>
      <c r="P22" s="761" t="str">
        <f>T16</f>
        <v>219.8</v>
      </c>
      <c r="Q22" s="200" t="str">
        <f>U17</f>
        <v xml:space="preserve"> ± </v>
      </c>
      <c r="R22" s="199" t="str">
        <f>U16</f>
        <v>2.6</v>
      </c>
      <c r="S22" s="201" t="str">
        <f>V16</f>
        <v xml:space="preserve"> Volt</v>
      </c>
    </row>
    <row r="23" spans="1:22" ht="15" customHeight="1" x14ac:dyDescent="0.25">
      <c r="B23" s="125"/>
      <c r="C23" s="125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79"/>
      <c r="O23" s="79"/>
      <c r="P23" s="92"/>
    </row>
    <row r="24" spans="1:22" ht="14.5" x14ac:dyDescent="0.25">
      <c r="A24" s="125" t="s">
        <v>51</v>
      </c>
      <c r="B24" s="125" t="s">
        <v>312</v>
      </c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79"/>
      <c r="O24" s="79"/>
      <c r="P24" s="92"/>
    </row>
    <row r="25" spans="1:22" ht="12.75" customHeight="1" x14ac:dyDescent="0.25">
      <c r="B25" s="825" t="s">
        <v>0</v>
      </c>
      <c r="C25" s="820" t="s">
        <v>54</v>
      </c>
      <c r="D25" s="820"/>
      <c r="E25" s="820"/>
      <c r="F25" s="820"/>
      <c r="G25" s="820"/>
      <c r="H25" s="820"/>
      <c r="I25" s="847" t="s">
        <v>55</v>
      </c>
      <c r="J25" s="847"/>
      <c r="K25" s="829" t="s">
        <v>279</v>
      </c>
      <c r="L25" s="830"/>
      <c r="M25" s="125"/>
      <c r="P25" s="92"/>
    </row>
    <row r="26" spans="1:22" ht="14" x14ac:dyDescent="0.25">
      <c r="B26" s="826"/>
      <c r="C26" s="820"/>
      <c r="D26" s="820"/>
      <c r="E26" s="820"/>
      <c r="F26" s="820"/>
      <c r="G26" s="820"/>
      <c r="H26" s="820"/>
      <c r="I26" s="847"/>
      <c r="J26" s="847"/>
      <c r="K26" s="831"/>
      <c r="L26" s="832"/>
      <c r="M26" s="125"/>
      <c r="P26" s="92"/>
    </row>
    <row r="27" spans="1:22" ht="14.5" x14ac:dyDescent="0.25">
      <c r="B27" s="204">
        <v>1</v>
      </c>
      <c r="C27" s="946" t="str">
        <f>ID!C26</f>
        <v>Resistensi Isolasi</v>
      </c>
      <c r="D27" s="946"/>
      <c r="E27" s="946"/>
      <c r="F27" s="946"/>
      <c r="G27" s="946"/>
      <c r="H27" s="946"/>
      <c r="I27" s="706" t="str">
        <f>PENYELIA!I25</f>
        <v>OL</v>
      </c>
      <c r="J27" s="707" t="str">
        <f>IF(OR(I27="OL",I27="-"),"","MΩ")</f>
        <v/>
      </c>
      <c r="K27" s="961">
        <f>PENYELIA!K25</f>
        <v>2</v>
      </c>
      <c r="L27" s="962"/>
      <c r="M27" s="79"/>
      <c r="P27" s="79"/>
    </row>
    <row r="28" spans="1:22" ht="14.5" x14ac:dyDescent="0.25">
      <c r="B28" s="204">
        <v>2</v>
      </c>
      <c r="C28" s="946" t="str">
        <f>ID!C27</f>
        <v>Resistansi Pembumian Protektif (kabel dapat dilepas)</v>
      </c>
      <c r="D28" s="946"/>
      <c r="E28" s="946"/>
      <c r="F28" s="946"/>
      <c r="G28" s="946"/>
      <c r="H28" s="946"/>
      <c r="I28" s="708">
        <f>PENYELIA!I26</f>
        <v>0.10120218680256682</v>
      </c>
      <c r="J28" s="707" t="str">
        <f>IF(OR(I28="OL",I28="-"),"","Ω")</f>
        <v>Ω</v>
      </c>
      <c r="K28" s="963">
        <f>PENYELIA!K26</f>
        <v>0.2</v>
      </c>
      <c r="L28" s="964"/>
      <c r="M28" s="79"/>
    </row>
    <row r="29" spans="1:22" ht="14.5" x14ac:dyDescent="0.25">
      <c r="B29" s="204">
        <v>3</v>
      </c>
      <c r="C29" s="946" t="str">
        <f>ID!C28</f>
        <v>Arus bocor peralatan untuk peralatan elektromedik kelas I</v>
      </c>
      <c r="D29" s="946"/>
      <c r="E29" s="946"/>
      <c r="F29" s="946"/>
      <c r="G29" s="946"/>
      <c r="H29" s="946"/>
      <c r="I29" s="709">
        <f>PENYELIA!I27</f>
        <v>594.65008986917508</v>
      </c>
      <c r="J29" s="707" t="str">
        <f>IF(OR(I29="OL",I29="-"),"","µA")</f>
        <v>µA</v>
      </c>
      <c r="K29" s="965">
        <f>PENYELIA!K27</f>
        <v>500</v>
      </c>
      <c r="L29" s="966"/>
      <c r="M29" s="79"/>
      <c r="P29" s="79"/>
    </row>
    <row r="30" spans="1:22" ht="14.5" x14ac:dyDescent="0.25">
      <c r="B30" s="204">
        <v>4</v>
      </c>
      <c r="C30" s="946" t="str">
        <f>ID!C29</f>
        <v>Arus bocor peralatan yang diaplikasikan</v>
      </c>
      <c r="D30" s="946"/>
      <c r="E30" s="946"/>
      <c r="F30" s="946"/>
      <c r="G30" s="946"/>
      <c r="H30" s="946"/>
      <c r="I30" s="709">
        <f>PENYELIA!I28</f>
        <v>41.02535655746567</v>
      </c>
      <c r="J30" s="707" t="str">
        <f>IF(OR(I30="OL",I30="-"),"","µA")</f>
        <v>µA</v>
      </c>
      <c r="K30" s="965">
        <f>PENYELIA!K28</f>
        <v>50</v>
      </c>
      <c r="L30" s="966"/>
      <c r="M30" s="79"/>
      <c r="P30" s="79"/>
      <c r="Q30" s="91"/>
    </row>
    <row r="31" spans="1:22" ht="15" customHeight="1" x14ac:dyDescent="0.2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34"/>
      <c r="M31" s="124"/>
      <c r="N31" s="79"/>
      <c r="O31" s="79"/>
      <c r="P31" s="79"/>
      <c r="Q31" s="91"/>
    </row>
    <row r="32" spans="1:22" ht="14.5" x14ac:dyDescent="0.25">
      <c r="A32" s="125" t="s">
        <v>75</v>
      </c>
      <c r="B32" s="125" t="str">
        <f>PENYELIA!B30</f>
        <v>Pengujian Kinerja</v>
      </c>
      <c r="C32" s="84"/>
      <c r="K32" s="124"/>
      <c r="N32" s="79"/>
      <c r="O32" s="79"/>
      <c r="P32" s="79"/>
      <c r="Q32" s="91"/>
    </row>
    <row r="33" spans="2:16" ht="14" x14ac:dyDescent="0.25">
      <c r="B33" s="125" t="str">
        <f>ID!B32</f>
        <v>a. Kualitas Elektroda</v>
      </c>
      <c r="C33" s="84"/>
      <c r="D33" s="124"/>
      <c r="E33" s="124"/>
      <c r="F33" s="124"/>
      <c r="G33" s="124"/>
      <c r="H33" s="124"/>
      <c r="J33" s="124"/>
    </row>
    <row r="34" spans="2:16" ht="14" x14ac:dyDescent="0.25">
      <c r="B34" s="820" t="s">
        <v>53</v>
      </c>
      <c r="C34" s="820" t="s">
        <v>54</v>
      </c>
      <c r="D34" s="820"/>
      <c r="E34" s="814" t="str">
        <f>ID!D33</f>
        <v>Setting Alat</v>
      </c>
      <c r="F34" s="847" t="s">
        <v>165</v>
      </c>
      <c r="G34" s="329"/>
      <c r="H34" s="984"/>
      <c r="I34" s="984"/>
      <c r="J34" s="984"/>
      <c r="K34" s="984"/>
    </row>
    <row r="35" spans="2:16" ht="14" x14ac:dyDescent="0.25">
      <c r="B35" s="820"/>
      <c r="C35" s="820"/>
      <c r="D35" s="820"/>
      <c r="E35" s="815"/>
      <c r="F35" s="847"/>
      <c r="G35" s="329"/>
      <c r="H35" s="984"/>
      <c r="I35" s="984"/>
      <c r="J35" s="984"/>
      <c r="K35" s="984"/>
    </row>
    <row r="36" spans="2:16" ht="14" x14ac:dyDescent="0.25">
      <c r="B36" s="129">
        <v>1</v>
      </c>
      <c r="C36" s="827" t="str">
        <f>ID!C35</f>
        <v>Impedansi</v>
      </c>
      <c r="D36" s="827"/>
      <c r="E36" s="456" t="str">
        <f>ID!D35</f>
        <v>Threshold</v>
      </c>
      <c r="F36" s="325" t="str">
        <f>PENYELIA!E34</f>
        <v>Baik</v>
      </c>
      <c r="G36" s="124"/>
      <c r="H36" s="986"/>
      <c r="I36" s="986"/>
      <c r="J36" s="986"/>
      <c r="K36" s="986"/>
    </row>
    <row r="37" spans="2:16" ht="14" x14ac:dyDescent="0.25">
      <c r="B37" s="129">
        <v>2</v>
      </c>
      <c r="C37" s="827" t="str">
        <f>ID!C36</f>
        <v>Noise</v>
      </c>
      <c r="D37" s="827"/>
      <c r="E37" s="481">
        <f>ID!D36</f>
        <v>5</v>
      </c>
      <c r="F37" s="325" t="str">
        <f>PENYELIA!E35</f>
        <v>Baik</v>
      </c>
      <c r="G37" s="124"/>
      <c r="H37" s="986"/>
      <c r="I37" s="986"/>
      <c r="J37" s="986"/>
      <c r="K37" s="986"/>
      <c r="L37" s="124"/>
      <c r="M37" s="124"/>
    </row>
    <row r="38" spans="2:16" ht="14" x14ac:dyDescent="0.25">
      <c r="B38" s="129">
        <v>3</v>
      </c>
      <c r="C38" s="827" t="str">
        <f>ID!C37</f>
        <v>Amplitudo</v>
      </c>
      <c r="D38" s="827"/>
      <c r="E38" s="430" t="str">
        <f>PENYELIA!D36</f>
        <v>50 µv</v>
      </c>
      <c r="F38" s="325" t="str">
        <f>PENYELIA!E36</f>
        <v>Baik</v>
      </c>
      <c r="G38" s="131"/>
      <c r="H38" s="427"/>
      <c r="I38" s="427"/>
      <c r="J38" s="427"/>
      <c r="K38" s="427"/>
      <c r="L38" s="124"/>
      <c r="M38" s="124"/>
    </row>
    <row r="39" spans="2:16" ht="7.5" customHeight="1" x14ac:dyDescent="0.25">
      <c r="B39" s="126"/>
      <c r="C39" s="126"/>
      <c r="E39" s="127"/>
      <c r="F39" s="124"/>
      <c r="G39" s="124"/>
      <c r="H39" s="124"/>
      <c r="I39" s="124"/>
      <c r="J39" s="124"/>
      <c r="K39" s="124"/>
      <c r="L39" s="124"/>
      <c r="M39" s="124"/>
    </row>
    <row r="40" spans="2:16" ht="14.5" x14ac:dyDescent="0.25">
      <c r="B40" s="125" t="str">
        <f>ID!B39</f>
        <v>b. Kalibrasi Frekuensi</v>
      </c>
      <c r="C40" s="124"/>
      <c r="E40" s="124"/>
      <c r="F40" s="124"/>
      <c r="G40" s="124"/>
      <c r="H40" s="124"/>
      <c r="I40" s="124"/>
      <c r="J40" s="124"/>
      <c r="K40" s="124"/>
      <c r="L40" s="124"/>
      <c r="M40" s="124"/>
      <c r="N40" s="79"/>
      <c r="O40" s="91"/>
      <c r="P40" s="84"/>
    </row>
    <row r="41" spans="2:16" ht="15" customHeight="1" x14ac:dyDescent="0.25">
      <c r="B41" s="825" t="s">
        <v>53</v>
      </c>
      <c r="C41" s="820" t="s">
        <v>54</v>
      </c>
      <c r="D41" s="820"/>
      <c r="E41" s="814" t="str">
        <f>PENYELIA!D39</f>
        <v>Setting Standar</v>
      </c>
      <c r="F41" s="814" t="str">
        <f>PENYELIA!E39</f>
        <v xml:space="preserve">Setting Montage Alat </v>
      </c>
      <c r="G41" s="814" t="str">
        <f>PENYELIA!F39</f>
        <v>Hasil Pengukuran (Hz)</v>
      </c>
      <c r="H41" s="814" t="str">
        <f>PENYELIA!G39</f>
        <v>Koreksi
(Hz)</v>
      </c>
      <c r="I41" s="814" t="s">
        <v>290</v>
      </c>
      <c r="J41" s="829" t="s">
        <v>291</v>
      </c>
      <c r="K41" s="830"/>
      <c r="L41" s="847" t="s">
        <v>313</v>
      </c>
      <c r="M41" s="847"/>
      <c r="N41" s="79"/>
      <c r="O41" s="79"/>
      <c r="P41" s="84"/>
    </row>
    <row r="42" spans="2:16" ht="31.5" customHeight="1" x14ac:dyDescent="0.25">
      <c r="B42" s="826"/>
      <c r="C42" s="820"/>
      <c r="D42" s="820"/>
      <c r="E42" s="815"/>
      <c r="F42" s="815"/>
      <c r="G42" s="815"/>
      <c r="H42" s="815"/>
      <c r="I42" s="815"/>
      <c r="J42" s="831"/>
      <c r="K42" s="832"/>
      <c r="L42" s="847"/>
      <c r="M42" s="847"/>
      <c r="N42" s="79"/>
      <c r="O42" s="79"/>
      <c r="P42" s="84"/>
    </row>
    <row r="43" spans="2:16" ht="17.25" customHeight="1" x14ac:dyDescent="0.25">
      <c r="B43" s="854">
        <v>1</v>
      </c>
      <c r="C43" s="937" t="str">
        <f>PENYELIA!C41</f>
        <v>Frekuensi (Hz)</v>
      </c>
      <c r="D43" s="937"/>
      <c r="E43" s="326">
        <f>ID!D42</f>
        <v>100</v>
      </c>
      <c r="F43" s="987" t="str">
        <f>PENYELIA!E41</f>
        <v>Fp2 - Fp1</v>
      </c>
      <c r="G43" s="327">
        <f>IFERROR(PENYELIA!F41,"-")</f>
        <v>0.11001100000000001</v>
      </c>
      <c r="H43" s="327">
        <f>IFERROR(PENYELIA!G41,"-")</f>
        <v>-1.0011000000000006E-2</v>
      </c>
      <c r="I43" s="327">
        <f>IFERROR(PENYELIA!H41,"-")</f>
        <v>9.0999990909999955</v>
      </c>
      <c r="J43" s="970" t="s">
        <v>442</v>
      </c>
      <c r="K43" s="967">
        <v>10</v>
      </c>
      <c r="L43" s="710" t="str">
        <f>IF(M43="-",""," ±")</f>
        <v xml:space="preserve"> ±</v>
      </c>
      <c r="M43" s="711" t="str">
        <f>IF(O43&gt;=10,TEXT(O43,"0"),IF(O43&gt;=1,TEXT(O43,"0.0"),TEXT(O43,"0.00")))</f>
        <v>5.8</v>
      </c>
      <c r="N43" s="79"/>
      <c r="O43" s="129">
        <f>IFERROR(PENYELIA!J41,"-")</f>
        <v>5.7984681882584619</v>
      </c>
      <c r="P43" s="84"/>
    </row>
    <row r="44" spans="2:16" ht="17.25" customHeight="1" x14ac:dyDescent="0.25">
      <c r="B44" s="854"/>
      <c r="C44" s="937"/>
      <c r="D44" s="937"/>
      <c r="E44" s="326">
        <f>ID!D43</f>
        <v>100</v>
      </c>
      <c r="F44" s="988"/>
      <c r="G44" s="327">
        <f>IFERROR(PENYELIA!F42,"-")</f>
        <v>1.9901989999999998</v>
      </c>
      <c r="H44" s="327">
        <f>IFERROR(PENYELIA!G42,"-")</f>
        <v>9.8010000000001707E-3</v>
      </c>
      <c r="I44" s="327">
        <f>IFERROR(PENYELIA!H42,"-")</f>
        <v>0.49246331648243075</v>
      </c>
      <c r="J44" s="971"/>
      <c r="K44" s="968"/>
      <c r="L44" s="710" t="str">
        <f t="shared" ref="L44:L46" si="0">IF(M44="-",""," ±")</f>
        <v xml:space="preserve"> ±</v>
      </c>
      <c r="M44" s="711" t="str">
        <f t="shared" ref="M44:M46" si="1">IF(O44&gt;=10,TEXT(O44,"0"),IF(O44&gt;=1,TEXT(O44,"0.0"),TEXT(O44,"0.00")))</f>
        <v>0.14</v>
      </c>
      <c r="N44" s="79"/>
      <c r="O44" s="327">
        <f>IFERROR(PENYELIA!J42,"-")</f>
        <v>0.1449874802716036</v>
      </c>
    </row>
    <row r="45" spans="2:16" ht="17.25" customHeight="1" x14ac:dyDescent="0.25">
      <c r="B45" s="854"/>
      <c r="C45" s="937"/>
      <c r="D45" s="937"/>
      <c r="E45" s="326">
        <f>ID!D44</f>
        <v>100</v>
      </c>
      <c r="F45" s="988"/>
      <c r="G45" s="327">
        <f>IFERROR(PENYELIA!F43,"-")</f>
        <v>5.0205019999999996</v>
      </c>
      <c r="H45" s="327">
        <f>IFERROR(PENYELIA!G43,"-")</f>
        <v>-2.0501999999999576E-2</v>
      </c>
      <c r="I45" s="327">
        <f>IFERROR(PENYELIA!H43,"-")</f>
        <v>0.40836553794818881</v>
      </c>
      <c r="J45" s="971"/>
      <c r="K45" s="968"/>
      <c r="L45" s="710" t="str">
        <f t="shared" si="0"/>
        <v xml:space="preserve"> ±</v>
      </c>
      <c r="M45" s="711" t="str">
        <f t="shared" si="1"/>
        <v>0.15</v>
      </c>
      <c r="N45" s="79"/>
      <c r="O45" s="327">
        <f>IFERROR(PENYELIA!J43,"-")</f>
        <v>0.1451261156827508</v>
      </c>
    </row>
    <row r="46" spans="2:16" ht="17.25" customHeight="1" x14ac:dyDescent="0.25">
      <c r="B46" s="854"/>
      <c r="C46" s="937"/>
      <c r="D46" s="937"/>
      <c r="E46" s="326">
        <f>ID!D45</f>
        <v>100</v>
      </c>
      <c r="F46" s="988"/>
      <c r="G46" s="327">
        <f>IFERROR(PENYELIA!F44,"-")</f>
        <v>51.205120000000001</v>
      </c>
      <c r="H46" s="327">
        <f>IFERROR(PENYELIA!G44,"-")</f>
        <v>-1.2051200000000009</v>
      </c>
      <c r="I46" s="327">
        <f>IFERROR(PENYELIA!H44,"-")</f>
        <v>2.3535146485351479</v>
      </c>
      <c r="J46" s="971"/>
      <c r="K46" s="968"/>
      <c r="L46" s="710" t="str">
        <f t="shared" si="0"/>
        <v xml:space="preserve"> ±</v>
      </c>
      <c r="M46" s="711" t="str">
        <f t="shared" si="1"/>
        <v>0.01</v>
      </c>
      <c r="N46" s="79"/>
      <c r="O46" s="327">
        <f>IFERROR(PENYELIA!J44,"-")</f>
        <v>1.2923056434590642E-2</v>
      </c>
    </row>
    <row r="47" spans="2:16" ht="17.25" customHeight="1" x14ac:dyDescent="0.25">
      <c r="B47" s="854"/>
      <c r="C47" s="937"/>
      <c r="D47" s="937"/>
      <c r="E47" s="326">
        <f>ID!D46</f>
        <v>100</v>
      </c>
      <c r="F47" s="989"/>
      <c r="G47" s="327">
        <f>IFERROR(PENYELIA!F45,"-")</f>
        <v>56.895688999999997</v>
      </c>
      <c r="H47" s="327">
        <f>IFERROR(PENYELIA!G45,"-")</f>
        <v>3.1043110000000027</v>
      </c>
      <c r="I47" s="327">
        <f>IFERROR(PENYELIA!H45,"-")</f>
        <v>5.4561444892599908</v>
      </c>
      <c r="J47" s="972"/>
      <c r="K47" s="969"/>
      <c r="L47" s="710" t="str">
        <f>IF(M47="-",""," ±")</f>
        <v xml:space="preserve"> ±</v>
      </c>
      <c r="M47" s="711" t="str">
        <f>IF(O47&gt;=10,TEXT(O47,"0"),IF(O47&gt;=1,TEXT(O47,"0.0"),TEXT(O47,"0.00")))</f>
        <v>0.01</v>
      </c>
      <c r="N47" s="79"/>
      <c r="O47" s="327">
        <f>IFERROR(PENYELIA!J45,"-")</f>
        <v>1.1017535149978733E-2</v>
      </c>
    </row>
    <row r="48" spans="2:16" ht="15" customHeight="1" x14ac:dyDescent="0.25">
      <c r="B48" s="125"/>
      <c r="C48" s="329"/>
      <c r="E48" s="329"/>
      <c r="F48" s="329"/>
      <c r="G48" s="125"/>
      <c r="H48" s="329"/>
      <c r="I48" s="331"/>
      <c r="J48" s="332"/>
      <c r="K48" s="974"/>
      <c r="L48" s="974"/>
      <c r="M48" s="84"/>
      <c r="N48" s="79"/>
      <c r="P48" s="84"/>
    </row>
    <row r="49" spans="2:16" ht="14.25" customHeight="1" x14ac:dyDescent="0.25">
      <c r="B49" s="125" t="str">
        <f>ID!B48</f>
        <v>c. Kalibrasi Amplitudo</v>
      </c>
      <c r="C49" s="329"/>
      <c r="E49" s="329"/>
      <c r="F49" s="329"/>
      <c r="G49" s="125"/>
      <c r="H49" s="329"/>
      <c r="I49" s="329"/>
      <c r="J49" s="332"/>
      <c r="K49" s="974"/>
      <c r="L49" s="974"/>
      <c r="M49" s="84"/>
      <c r="N49" s="79"/>
      <c r="P49" s="84"/>
    </row>
    <row r="50" spans="2:16" ht="22.5" customHeight="1" x14ac:dyDescent="0.25">
      <c r="B50" s="825" t="s">
        <v>53</v>
      </c>
      <c r="C50" s="975" t="s">
        <v>54</v>
      </c>
      <c r="D50" s="976"/>
      <c r="E50" s="814" t="str">
        <f>PENYELIA!D48</f>
        <v>Setting Standar</v>
      </c>
      <c r="F50" s="814" t="str">
        <f>PENYELIA!E48</f>
        <v>Setting Montage Alat</v>
      </c>
      <c r="G50" s="814" t="str">
        <f>PENYELIA!F48</f>
        <v>Hasil Pengukuran (µV)</v>
      </c>
      <c r="H50" s="814" t="str">
        <f>PENYELIA!G48</f>
        <v>Koreksi
(µV)</v>
      </c>
      <c r="I50" s="814" t="s">
        <v>290</v>
      </c>
      <c r="J50" s="829" t="s">
        <v>291</v>
      </c>
      <c r="K50" s="830"/>
      <c r="L50" s="847" t="s">
        <v>313</v>
      </c>
      <c r="M50" s="847"/>
      <c r="N50" s="84"/>
      <c r="O50" s="84"/>
      <c r="P50" s="84"/>
    </row>
    <row r="51" spans="2:16" ht="24" customHeight="1" x14ac:dyDescent="0.25">
      <c r="B51" s="826"/>
      <c r="C51" s="977"/>
      <c r="D51" s="978"/>
      <c r="E51" s="815"/>
      <c r="F51" s="815"/>
      <c r="G51" s="815"/>
      <c r="H51" s="815"/>
      <c r="I51" s="815"/>
      <c r="J51" s="831"/>
      <c r="K51" s="832"/>
      <c r="L51" s="847"/>
      <c r="M51" s="847"/>
      <c r="N51" s="84"/>
      <c r="O51" s="84"/>
      <c r="P51" s="84"/>
    </row>
    <row r="52" spans="2:16" ht="15" customHeight="1" x14ac:dyDescent="0.25">
      <c r="B52" s="828">
        <v>1</v>
      </c>
      <c r="C52" s="836" t="str">
        <f>ID!C51</f>
        <v>Amplitudo (µv)</v>
      </c>
      <c r="D52" s="838"/>
      <c r="E52" s="129" t="s">
        <v>111</v>
      </c>
      <c r="F52" s="828" t="s">
        <v>174</v>
      </c>
      <c r="G52" s="327">
        <f>IFERROR(PENYELIA!F50,"-")</f>
        <v>10.10101</v>
      </c>
      <c r="H52" s="327">
        <f>IFERROR(PENYELIA!G50,"-")</f>
        <v>-0.10101000000000049</v>
      </c>
      <c r="I52" s="327">
        <f>IFERROR(PENYELIA!H50,"-")</f>
        <v>0.99999900999999491</v>
      </c>
      <c r="J52" s="970" t="s">
        <v>442</v>
      </c>
      <c r="K52" s="967">
        <v>10</v>
      </c>
      <c r="L52" s="710" t="str">
        <f>IF(M52="-",""," ±")</f>
        <v xml:space="preserve"> ±</v>
      </c>
      <c r="M52" s="711" t="str">
        <f>IF(O52&gt;=10,TEXT(O52,"0"),IF(O52&gt;=1,TEXT(O52,"0.0"),TEXT(O52,"0.00")))</f>
        <v>1.0</v>
      </c>
      <c r="N52" s="79"/>
      <c r="O52" s="129">
        <f>IFERROR(PENYELIA!J50,"-")</f>
        <v>1.0203109904638641</v>
      </c>
      <c r="P52" s="84"/>
    </row>
    <row r="53" spans="2:16" ht="15" customHeight="1" x14ac:dyDescent="0.25">
      <c r="B53" s="828"/>
      <c r="C53" s="979"/>
      <c r="D53" s="980"/>
      <c r="E53" s="129" t="s">
        <v>113</v>
      </c>
      <c r="F53" s="828"/>
      <c r="G53" s="327">
        <f>IFERROR(PENYELIA!F51,"-")</f>
        <v>30.903089999999999</v>
      </c>
      <c r="H53" s="327">
        <f>IFERROR(PENYELIA!G51,"-")</f>
        <v>-0.90308999999999884</v>
      </c>
      <c r="I53" s="327">
        <f>IFERROR(PENYELIA!H51,"-")</f>
        <v>2.9223291263106663</v>
      </c>
      <c r="J53" s="971"/>
      <c r="K53" s="968"/>
      <c r="L53" s="710" t="str">
        <f t="shared" ref="L53:L70" si="2">IF(M53="-",""," ±")</f>
        <v xml:space="preserve"> ±</v>
      </c>
      <c r="M53" s="711" t="str">
        <f>IF(O53&gt;=10,TEXT(O53,"0"),IF(O53&gt;=1,TEXT(O53,"0.0"),TEXT(O53,"0.00")))</f>
        <v>1.0</v>
      </c>
      <c r="N53" s="79"/>
      <c r="O53" s="327">
        <f>IFERROR(PENYELIA!J51,"-")</f>
        <v>1.0350844321324577</v>
      </c>
      <c r="P53" s="84"/>
    </row>
    <row r="54" spans="2:16" ht="15" customHeight="1" x14ac:dyDescent="0.25">
      <c r="B54" s="828"/>
      <c r="C54" s="979"/>
      <c r="D54" s="980"/>
      <c r="E54" s="129" t="s">
        <v>114</v>
      </c>
      <c r="F54" s="828"/>
      <c r="G54" s="327">
        <f>IFERROR(PENYELIA!F52,"-")</f>
        <v>50.635063000000002</v>
      </c>
      <c r="H54" s="327">
        <f>IFERROR(PENYELIA!G52,"-")</f>
        <v>-0.63506300000000238</v>
      </c>
      <c r="I54" s="327">
        <f>IFERROR(PENYELIA!H52,"-")</f>
        <v>1.2541961288761552</v>
      </c>
      <c r="J54" s="971"/>
      <c r="K54" s="968"/>
      <c r="L54" s="710" t="str">
        <f t="shared" si="2"/>
        <v xml:space="preserve"> ±</v>
      </c>
      <c r="M54" s="711" t="str">
        <f t="shared" ref="M54:M70" si="3">IF(O54&gt;=10,TEXT(O54,"0"),IF(O54&gt;=1,TEXT(O54,"0.0"),TEXT(O54,"0.00")))</f>
        <v>1.0</v>
      </c>
      <c r="N54" s="79"/>
      <c r="O54" s="327">
        <f>IFERROR(PENYELIA!J52,"-")</f>
        <v>1.0171972343015296</v>
      </c>
      <c r="P54" s="84"/>
    </row>
    <row r="55" spans="2:16" ht="15" customHeight="1" x14ac:dyDescent="0.25">
      <c r="B55" s="828"/>
      <c r="C55" s="979"/>
      <c r="D55" s="980"/>
      <c r="E55" s="129" t="s">
        <v>103</v>
      </c>
      <c r="F55" s="828"/>
      <c r="G55" s="327">
        <f>IFERROR(PENYELIA!F53,"-")</f>
        <v>102.720271</v>
      </c>
      <c r="H55" s="327">
        <f>IFERROR(PENYELIA!G53,"-")</f>
        <v>-2.7202709999999968</v>
      </c>
      <c r="I55" s="327">
        <f>IFERROR(PENYELIA!H53,"-")</f>
        <v>2.6482319151981177</v>
      </c>
      <c r="J55" s="971"/>
      <c r="K55" s="968"/>
      <c r="L55" s="710" t="str">
        <f t="shared" si="2"/>
        <v xml:space="preserve"> ±</v>
      </c>
      <c r="M55" s="711" t="str">
        <f t="shared" si="3"/>
        <v>1.0</v>
      </c>
      <c r="N55" s="79"/>
      <c r="O55" s="327">
        <f>IFERROR(PENYELIA!J53,"-")</f>
        <v>1.0315801357531895</v>
      </c>
      <c r="P55" s="84"/>
    </row>
    <row r="56" spans="2:16" ht="15" customHeight="1" x14ac:dyDescent="0.25">
      <c r="B56" s="828">
        <v>2</v>
      </c>
      <c r="C56" s="979"/>
      <c r="D56" s="980"/>
      <c r="E56" s="129" t="s">
        <v>111</v>
      </c>
      <c r="F56" s="827" t="s">
        <v>175</v>
      </c>
      <c r="G56" s="327">
        <f>IFERROR(PENYELIA!F54,"-")</f>
        <v>10.10101</v>
      </c>
      <c r="H56" s="327">
        <f>IFERROR(PENYELIA!G54,"-")</f>
        <v>-0.10101000000000049</v>
      </c>
      <c r="I56" s="327">
        <f>IFERROR(PENYELIA!H54,"-")</f>
        <v>0.99999900999999491</v>
      </c>
      <c r="J56" s="971"/>
      <c r="K56" s="968"/>
      <c r="L56" s="710" t="str">
        <f t="shared" si="2"/>
        <v xml:space="preserve"> ±</v>
      </c>
      <c r="M56" s="711" t="str">
        <f t="shared" si="3"/>
        <v>1.0</v>
      </c>
      <c r="N56" s="79"/>
      <c r="O56" s="129">
        <f>IFERROR(PENYELIA!J54,"-")</f>
        <v>1.0203109904638641</v>
      </c>
      <c r="P56" s="84"/>
    </row>
    <row r="57" spans="2:16" ht="15" customHeight="1" x14ac:dyDescent="0.25">
      <c r="B57" s="828"/>
      <c r="C57" s="979"/>
      <c r="D57" s="980"/>
      <c r="E57" s="129" t="s">
        <v>113</v>
      </c>
      <c r="F57" s="827"/>
      <c r="G57" s="327">
        <f>IFERROR(PENYELIA!F55,"-")</f>
        <v>30.903089999999999</v>
      </c>
      <c r="H57" s="327">
        <f>IFERROR(PENYELIA!G55,"-")</f>
        <v>-0.90308999999999884</v>
      </c>
      <c r="I57" s="327">
        <f>IFERROR(PENYELIA!H55,"-")</f>
        <v>2.9223291263106663</v>
      </c>
      <c r="J57" s="971"/>
      <c r="K57" s="968"/>
      <c r="L57" s="710" t="str">
        <f t="shared" si="2"/>
        <v xml:space="preserve"> ±</v>
      </c>
      <c r="M57" s="711" t="str">
        <f t="shared" si="3"/>
        <v>1.0</v>
      </c>
      <c r="N57" s="79"/>
      <c r="O57" s="327">
        <f>IFERROR(PENYELIA!J55,"-")</f>
        <v>1.0350844321324577</v>
      </c>
      <c r="P57" s="84"/>
    </row>
    <row r="58" spans="2:16" ht="15" customHeight="1" x14ac:dyDescent="0.25">
      <c r="B58" s="828"/>
      <c r="C58" s="979"/>
      <c r="D58" s="980"/>
      <c r="E58" s="129" t="s">
        <v>114</v>
      </c>
      <c r="F58" s="827"/>
      <c r="G58" s="327">
        <f>IFERROR(PENYELIA!F56,"-")</f>
        <v>50.635063000000002</v>
      </c>
      <c r="H58" s="327">
        <f>IFERROR(PENYELIA!G56,"-")</f>
        <v>-0.63506300000000238</v>
      </c>
      <c r="I58" s="327">
        <f>IFERROR(PENYELIA!H56,"-")</f>
        <v>1.2541961288761552</v>
      </c>
      <c r="J58" s="971"/>
      <c r="K58" s="968"/>
      <c r="L58" s="710" t="str">
        <f t="shared" si="2"/>
        <v xml:space="preserve"> ±</v>
      </c>
      <c r="M58" s="711" t="str">
        <f t="shared" si="3"/>
        <v>1.0</v>
      </c>
      <c r="N58" s="79"/>
      <c r="O58" s="327">
        <f>IFERROR(PENYELIA!J56,"-")</f>
        <v>1.0171972343015296</v>
      </c>
      <c r="P58" s="84"/>
    </row>
    <row r="59" spans="2:16" ht="15" customHeight="1" x14ac:dyDescent="0.25">
      <c r="B59" s="828"/>
      <c r="C59" s="979"/>
      <c r="D59" s="980"/>
      <c r="E59" s="129" t="s">
        <v>103</v>
      </c>
      <c r="F59" s="827"/>
      <c r="G59" s="327">
        <f>IFERROR(PENYELIA!F57,"-")</f>
        <v>102.720271</v>
      </c>
      <c r="H59" s="327">
        <f>IFERROR(PENYELIA!G57,"-")</f>
        <v>-2.7202709999999968</v>
      </c>
      <c r="I59" s="327">
        <f>IFERROR(PENYELIA!H57,"-")</f>
        <v>2.6482319151981177</v>
      </c>
      <c r="J59" s="971"/>
      <c r="K59" s="968"/>
      <c r="L59" s="710" t="str">
        <f t="shared" si="2"/>
        <v xml:space="preserve"> ±</v>
      </c>
      <c r="M59" s="711" t="str">
        <f t="shared" si="3"/>
        <v>1.0</v>
      </c>
      <c r="N59" s="84"/>
      <c r="O59" s="327">
        <f>IFERROR(PENYELIA!J57,"-")</f>
        <v>1.0315801357531895</v>
      </c>
      <c r="P59" s="84"/>
    </row>
    <row r="60" spans="2:16" ht="15" customHeight="1" x14ac:dyDescent="0.25">
      <c r="B60" s="828">
        <v>3</v>
      </c>
      <c r="C60" s="979"/>
      <c r="D60" s="980"/>
      <c r="E60" s="129" t="s">
        <v>111</v>
      </c>
      <c r="F60" s="827" t="s">
        <v>176</v>
      </c>
      <c r="G60" s="327">
        <f>IFERROR(PENYELIA!F58,"-")</f>
        <v>10.10101</v>
      </c>
      <c r="H60" s="327">
        <f>IFERROR(PENYELIA!G58,"-")</f>
        <v>-0.10101000000000049</v>
      </c>
      <c r="I60" s="327">
        <f>IFERROR(PENYELIA!H58,"-")</f>
        <v>0.99999900999999491</v>
      </c>
      <c r="J60" s="971"/>
      <c r="K60" s="968"/>
      <c r="L60" s="710" t="str">
        <f t="shared" si="2"/>
        <v xml:space="preserve"> ±</v>
      </c>
      <c r="M60" s="711" t="str">
        <f t="shared" si="3"/>
        <v>1.0</v>
      </c>
      <c r="N60" s="84"/>
      <c r="O60" s="129">
        <f>IFERROR(PENYELIA!J58,"-")</f>
        <v>1.0203109904638641</v>
      </c>
      <c r="P60" s="84"/>
    </row>
    <row r="61" spans="2:16" ht="15" customHeight="1" x14ac:dyDescent="0.25">
      <c r="B61" s="828"/>
      <c r="C61" s="979"/>
      <c r="D61" s="980"/>
      <c r="E61" s="129" t="s">
        <v>113</v>
      </c>
      <c r="F61" s="827"/>
      <c r="G61" s="327">
        <f>IFERROR(PENYELIA!F59,"-")</f>
        <v>30.903089999999999</v>
      </c>
      <c r="H61" s="327">
        <f>IFERROR(PENYELIA!G59,"-")</f>
        <v>-0.90308999999999884</v>
      </c>
      <c r="I61" s="327">
        <f>IFERROR(PENYELIA!H59,"-")</f>
        <v>2.9223291263106663</v>
      </c>
      <c r="J61" s="971"/>
      <c r="K61" s="968"/>
      <c r="L61" s="710" t="str">
        <f t="shared" si="2"/>
        <v xml:space="preserve"> ±</v>
      </c>
      <c r="M61" s="711" t="str">
        <f t="shared" si="3"/>
        <v>1.0</v>
      </c>
      <c r="N61" s="84"/>
      <c r="O61" s="327">
        <f>IFERROR(PENYELIA!J59,"-")</f>
        <v>1.0350844321324577</v>
      </c>
      <c r="P61" s="84"/>
    </row>
    <row r="62" spans="2:16" ht="15" customHeight="1" x14ac:dyDescent="0.25">
      <c r="B62" s="828"/>
      <c r="C62" s="979"/>
      <c r="D62" s="980"/>
      <c r="E62" s="129" t="s">
        <v>114</v>
      </c>
      <c r="F62" s="827"/>
      <c r="G62" s="327">
        <f>IFERROR(PENYELIA!F60,"-")</f>
        <v>50.635063000000002</v>
      </c>
      <c r="H62" s="327">
        <f>IFERROR(PENYELIA!G60,"-")</f>
        <v>-0.63506300000000238</v>
      </c>
      <c r="I62" s="327">
        <f>IFERROR(PENYELIA!H60,"-")</f>
        <v>1.2541961288761552</v>
      </c>
      <c r="J62" s="971"/>
      <c r="K62" s="968"/>
      <c r="L62" s="710" t="str">
        <f t="shared" si="2"/>
        <v xml:space="preserve"> ±</v>
      </c>
      <c r="M62" s="711" t="str">
        <f t="shared" si="3"/>
        <v>1.0</v>
      </c>
      <c r="N62" s="84"/>
      <c r="O62" s="327">
        <f>IFERROR(PENYELIA!J60,"-")</f>
        <v>1.0171972343015296</v>
      </c>
      <c r="P62" s="84"/>
    </row>
    <row r="63" spans="2:16" ht="15" customHeight="1" x14ac:dyDescent="0.25">
      <c r="B63" s="828"/>
      <c r="C63" s="979"/>
      <c r="D63" s="980"/>
      <c r="E63" s="129" t="s">
        <v>103</v>
      </c>
      <c r="F63" s="827"/>
      <c r="G63" s="327">
        <f>IFERROR(PENYELIA!F61,"-")</f>
        <v>102.720271</v>
      </c>
      <c r="H63" s="327">
        <f>IFERROR(PENYELIA!G61,"-")</f>
        <v>-2.7202709999999968</v>
      </c>
      <c r="I63" s="327">
        <f>IFERROR(PENYELIA!H61,"-")</f>
        <v>2.6482319151981177</v>
      </c>
      <c r="J63" s="971"/>
      <c r="K63" s="968"/>
      <c r="L63" s="710" t="str">
        <f t="shared" si="2"/>
        <v xml:space="preserve"> ±</v>
      </c>
      <c r="M63" s="711" t="str">
        <f t="shared" si="3"/>
        <v>1.0</v>
      </c>
      <c r="N63" s="84"/>
      <c r="O63" s="327">
        <f>IFERROR(PENYELIA!J61,"-")</f>
        <v>1.0315801357531895</v>
      </c>
      <c r="P63" s="84"/>
    </row>
    <row r="64" spans="2:16" ht="15" customHeight="1" x14ac:dyDescent="0.25">
      <c r="B64" s="828">
        <v>4</v>
      </c>
      <c r="C64" s="979"/>
      <c r="D64" s="980"/>
      <c r="E64" s="129" t="s">
        <v>111</v>
      </c>
      <c r="F64" s="933" t="s">
        <v>177</v>
      </c>
      <c r="G64" s="327">
        <f>IFERROR(PENYELIA!F62,"-")</f>
        <v>10.10101</v>
      </c>
      <c r="H64" s="327">
        <f>IFERROR(PENYELIA!G62,"-")</f>
        <v>-0.10101000000000049</v>
      </c>
      <c r="I64" s="327">
        <f>IFERROR(PENYELIA!H62,"-")</f>
        <v>0.99999900999999491</v>
      </c>
      <c r="J64" s="971"/>
      <c r="K64" s="968"/>
      <c r="L64" s="710" t="str">
        <f t="shared" si="2"/>
        <v xml:space="preserve"> ±</v>
      </c>
      <c r="M64" s="711" t="str">
        <f t="shared" si="3"/>
        <v>1.0</v>
      </c>
      <c r="N64" s="84"/>
      <c r="O64" s="129">
        <f>IFERROR(PENYELIA!J62,"-")</f>
        <v>1.0203109904638641</v>
      </c>
      <c r="P64" s="84"/>
    </row>
    <row r="65" spans="1:17" ht="15" customHeight="1" x14ac:dyDescent="0.25">
      <c r="B65" s="828"/>
      <c r="C65" s="979"/>
      <c r="D65" s="980"/>
      <c r="E65" s="129" t="s">
        <v>113</v>
      </c>
      <c r="F65" s="933"/>
      <c r="G65" s="327">
        <f>IFERROR(PENYELIA!F63,"-")</f>
        <v>30.903089999999999</v>
      </c>
      <c r="H65" s="327">
        <f>IFERROR(PENYELIA!G63,"-")</f>
        <v>-0.90308999999999884</v>
      </c>
      <c r="I65" s="327">
        <f>IFERROR(PENYELIA!H63,"-")</f>
        <v>2.9223291263106663</v>
      </c>
      <c r="J65" s="971"/>
      <c r="K65" s="968"/>
      <c r="L65" s="710" t="str">
        <f t="shared" si="2"/>
        <v xml:space="preserve"> ±</v>
      </c>
      <c r="M65" s="711" t="str">
        <f t="shared" si="3"/>
        <v>1.0</v>
      </c>
      <c r="N65" s="84"/>
      <c r="O65" s="327">
        <f>IFERROR(PENYELIA!J63,"-")</f>
        <v>1.0350844321324577</v>
      </c>
      <c r="P65" s="79"/>
    </row>
    <row r="66" spans="1:17" ht="15" customHeight="1" x14ac:dyDescent="0.25">
      <c r="B66" s="828"/>
      <c r="C66" s="979"/>
      <c r="D66" s="980"/>
      <c r="E66" s="129" t="s">
        <v>114</v>
      </c>
      <c r="F66" s="933"/>
      <c r="G66" s="327">
        <f>IFERROR(PENYELIA!F64,"-")</f>
        <v>50.635063000000002</v>
      </c>
      <c r="H66" s="327">
        <f>IFERROR(PENYELIA!G64,"-")</f>
        <v>-0.63506300000000238</v>
      </c>
      <c r="I66" s="327">
        <f>IFERROR(PENYELIA!H64,"-")</f>
        <v>1.2541961288761552</v>
      </c>
      <c r="J66" s="971"/>
      <c r="K66" s="968"/>
      <c r="L66" s="710" t="str">
        <f t="shared" si="2"/>
        <v xml:space="preserve"> ±</v>
      </c>
      <c r="M66" s="711" t="str">
        <f t="shared" si="3"/>
        <v>1.0</v>
      </c>
      <c r="N66" s="84"/>
      <c r="O66" s="327">
        <f>IFERROR(PENYELIA!J64,"-")</f>
        <v>1.0171972343015296</v>
      </c>
      <c r="P66" s="79"/>
    </row>
    <row r="67" spans="1:17" ht="15" customHeight="1" x14ac:dyDescent="0.25">
      <c r="B67" s="828"/>
      <c r="C67" s="979"/>
      <c r="D67" s="980"/>
      <c r="E67" s="129" t="s">
        <v>103</v>
      </c>
      <c r="F67" s="933"/>
      <c r="G67" s="327">
        <f>IFERROR(PENYELIA!F65,"-")</f>
        <v>102.720271</v>
      </c>
      <c r="H67" s="327">
        <f>IFERROR(PENYELIA!G65,"-")</f>
        <v>-2.7202709999999968</v>
      </c>
      <c r="I67" s="327">
        <f>IFERROR(PENYELIA!H65,"-")</f>
        <v>2.6482319151981177</v>
      </c>
      <c r="J67" s="971"/>
      <c r="K67" s="968"/>
      <c r="L67" s="710" t="str">
        <f t="shared" si="2"/>
        <v xml:space="preserve"> ±</v>
      </c>
      <c r="M67" s="711" t="str">
        <f t="shared" si="3"/>
        <v>1.0</v>
      </c>
      <c r="N67" s="84"/>
      <c r="O67" s="327">
        <f>IFERROR(PENYELIA!J65,"-")</f>
        <v>1.0315801357531895</v>
      </c>
      <c r="P67" s="79"/>
    </row>
    <row r="68" spans="1:17" ht="15" customHeight="1" x14ac:dyDescent="0.25">
      <c r="B68" s="828">
        <v>5</v>
      </c>
      <c r="C68" s="979"/>
      <c r="D68" s="980"/>
      <c r="E68" s="129" t="s">
        <v>111</v>
      </c>
      <c r="F68" s="933" t="s">
        <v>178</v>
      </c>
      <c r="G68" s="327">
        <f>IFERROR(PENYELIA!F66,"-")</f>
        <v>10.10101</v>
      </c>
      <c r="H68" s="327">
        <f>IFERROR(PENYELIA!G66,"-")</f>
        <v>-0.10101000000000049</v>
      </c>
      <c r="I68" s="327">
        <f>IFERROR(PENYELIA!H66,"-")</f>
        <v>0.99999900999999491</v>
      </c>
      <c r="J68" s="971"/>
      <c r="K68" s="968"/>
      <c r="L68" s="710" t="str">
        <f t="shared" si="2"/>
        <v xml:space="preserve"> ±</v>
      </c>
      <c r="M68" s="711" t="str">
        <f t="shared" si="3"/>
        <v>1.0</v>
      </c>
      <c r="N68" s="84"/>
      <c r="O68" s="129">
        <f>IFERROR(PENYELIA!J66,"-")</f>
        <v>1.0203109904638641</v>
      </c>
      <c r="P68" s="79"/>
    </row>
    <row r="69" spans="1:17" ht="15" customHeight="1" x14ac:dyDescent="0.25">
      <c r="B69" s="828"/>
      <c r="C69" s="979"/>
      <c r="D69" s="980"/>
      <c r="E69" s="129" t="s">
        <v>113</v>
      </c>
      <c r="F69" s="933"/>
      <c r="G69" s="327">
        <f>IFERROR(PENYELIA!F67,"-")</f>
        <v>30.903089999999999</v>
      </c>
      <c r="H69" s="327">
        <f>IFERROR(PENYELIA!G67,"-")</f>
        <v>-0.90308999999999884</v>
      </c>
      <c r="I69" s="327">
        <f>IFERROR(PENYELIA!H67,"-")</f>
        <v>2.9223291263106663</v>
      </c>
      <c r="J69" s="971"/>
      <c r="K69" s="968"/>
      <c r="L69" s="710" t="str">
        <f t="shared" si="2"/>
        <v xml:space="preserve"> ±</v>
      </c>
      <c r="M69" s="711" t="str">
        <f t="shared" si="3"/>
        <v>1.0</v>
      </c>
      <c r="N69" s="84"/>
      <c r="O69" s="327">
        <f>IFERROR(PENYELIA!J67,"-")</f>
        <v>1.0350844321324577</v>
      </c>
      <c r="P69" s="79"/>
    </row>
    <row r="70" spans="1:17" ht="15" customHeight="1" x14ac:dyDescent="0.25">
      <c r="B70" s="828"/>
      <c r="C70" s="979"/>
      <c r="D70" s="980"/>
      <c r="E70" s="129" t="s">
        <v>114</v>
      </c>
      <c r="F70" s="933"/>
      <c r="G70" s="327">
        <f>IFERROR(PENYELIA!F68,"-")</f>
        <v>50.635063000000002</v>
      </c>
      <c r="H70" s="327">
        <f>IFERROR(PENYELIA!G68,"-")</f>
        <v>-0.63506300000000238</v>
      </c>
      <c r="I70" s="327">
        <f>IFERROR(PENYELIA!H68,"-")</f>
        <v>1.2541961288761552</v>
      </c>
      <c r="J70" s="971"/>
      <c r="K70" s="968"/>
      <c r="L70" s="710" t="str">
        <f t="shared" si="2"/>
        <v xml:space="preserve"> ±</v>
      </c>
      <c r="M70" s="711" t="str">
        <f t="shared" si="3"/>
        <v>1.0</v>
      </c>
      <c r="N70" s="124"/>
      <c r="O70" s="327">
        <f>IFERROR(PENYELIA!J68,"-")</f>
        <v>1.0171972343015296</v>
      </c>
      <c r="P70" s="79"/>
    </row>
    <row r="71" spans="1:17" ht="15" customHeight="1" x14ac:dyDescent="0.25">
      <c r="B71" s="828"/>
      <c r="C71" s="839"/>
      <c r="D71" s="841"/>
      <c r="E71" s="129" t="s">
        <v>103</v>
      </c>
      <c r="F71" s="933"/>
      <c r="G71" s="327">
        <f>IFERROR(PENYELIA!F69,"-")</f>
        <v>102.720271</v>
      </c>
      <c r="H71" s="327">
        <f>IFERROR(PENYELIA!G69,"-")</f>
        <v>-2.7202709999999968</v>
      </c>
      <c r="I71" s="327">
        <f>IFERROR(PENYELIA!H69,"-")</f>
        <v>2.6482319151981177</v>
      </c>
      <c r="J71" s="972"/>
      <c r="K71" s="969"/>
      <c r="L71" s="710" t="str">
        <f>IF(M71="-",""," ±")</f>
        <v xml:space="preserve"> ±</v>
      </c>
      <c r="M71" s="711" t="str">
        <f>IF(O71&gt;=10,TEXT(O71,"0"),IF(O71&gt;=1,TEXT(O71,"0.0"),TEXT(O71,"0.00")))</f>
        <v>1.0</v>
      </c>
      <c r="N71" s="132"/>
      <c r="O71" s="327">
        <f>IFERROR(PENYELIA!J69,"-")</f>
        <v>1.0315801357531895</v>
      </c>
      <c r="P71" s="79"/>
    </row>
    <row r="72" spans="1:17" ht="10.5" customHeight="1" x14ac:dyDescent="0.25">
      <c r="B72" s="126"/>
      <c r="C72" s="131"/>
      <c r="D72" s="233"/>
      <c r="E72" s="131"/>
      <c r="F72" s="132"/>
      <c r="G72" s="132"/>
      <c r="H72" s="132"/>
      <c r="I72" s="131"/>
      <c r="J72" s="333"/>
      <c r="K72" s="132"/>
      <c r="L72" s="132"/>
      <c r="M72" s="132"/>
      <c r="N72" s="86"/>
      <c r="O72" s="86"/>
      <c r="P72" s="86"/>
      <c r="Q72" s="91"/>
    </row>
    <row r="73" spans="1:17" ht="46.5" customHeight="1" x14ac:dyDescent="0.2">
      <c r="B73" s="126"/>
      <c r="C73" s="131"/>
      <c r="D73" s="233"/>
      <c r="E73" s="131"/>
      <c r="F73" s="132"/>
      <c r="G73" s="132"/>
      <c r="H73" s="132"/>
      <c r="I73" s="131"/>
      <c r="J73" s="313"/>
      <c r="M73" s="132"/>
      <c r="N73" s="334" t="s">
        <v>314</v>
      </c>
      <c r="O73" s="86"/>
      <c r="P73" s="86"/>
      <c r="Q73" s="91"/>
    </row>
    <row r="74" spans="1:17" ht="15" customHeight="1" x14ac:dyDescent="0.25">
      <c r="A74" s="153" t="str">
        <f>PENYELIA!A71</f>
        <v>V.</v>
      </c>
      <c r="B74" s="153" t="str">
        <f>PENYELIA!B71</f>
        <v xml:space="preserve">Keterangan </v>
      </c>
      <c r="C74" s="335"/>
      <c r="D74" s="336"/>
      <c r="E74" s="335"/>
      <c r="F74" s="154"/>
      <c r="G74" s="154"/>
      <c r="H74" s="154"/>
      <c r="I74" s="335"/>
      <c r="J74" s="337"/>
      <c r="K74" s="154"/>
      <c r="L74" s="154"/>
      <c r="M74" s="132"/>
      <c r="N74" s="86"/>
      <c r="O74" s="86"/>
      <c r="P74" s="86"/>
      <c r="Q74" s="91"/>
    </row>
    <row r="75" spans="1:17" ht="15" customHeight="1" x14ac:dyDescent="0.25">
      <c r="A75" s="338"/>
      <c r="B75" s="140" t="str">
        <f>PENYELIA!B72</f>
        <v>Ketidakpastian pengukuran dilaporkan pada tingkat kepercayaan 95 % dengan faktor cakupan k = 2</v>
      </c>
      <c r="C75" s="208"/>
      <c r="D75" s="140"/>
      <c r="E75" s="140"/>
      <c r="F75" s="140"/>
      <c r="G75" s="140"/>
      <c r="H75" s="140"/>
      <c r="I75" s="140"/>
      <c r="J75" s="140"/>
      <c r="K75" s="140"/>
      <c r="L75" s="154"/>
      <c r="M75" s="154"/>
      <c r="N75" s="86"/>
      <c r="O75" s="86"/>
      <c r="P75" s="86"/>
      <c r="Q75" s="91"/>
    </row>
    <row r="76" spans="1:17" ht="15" customHeight="1" x14ac:dyDescent="0.25">
      <c r="A76" s="338"/>
      <c r="B76" s="140" t="str">
        <f>PENYELIA!B73</f>
        <v>Hasil pengukuran keselamatan listrik tertelusur ke Satuan Internasional ( SI ) melalui PT. Kaliman (LK-032-IDN)</v>
      </c>
      <c r="C76" s="208"/>
      <c r="D76" s="140"/>
      <c r="E76" s="140"/>
      <c r="F76" s="140"/>
      <c r="G76" s="140"/>
      <c r="H76" s="140"/>
      <c r="I76" s="140"/>
      <c r="J76" s="140"/>
      <c r="K76" s="140"/>
      <c r="L76" s="154"/>
      <c r="M76" s="154"/>
      <c r="N76" s="79"/>
      <c r="O76" s="79"/>
      <c r="P76" s="79"/>
      <c r="Q76" s="91"/>
    </row>
    <row r="77" spans="1:17" ht="14.5" x14ac:dyDescent="0.25">
      <c r="A77" s="338"/>
      <c r="B77" s="140" t="str">
        <f>PENYELIA!B74</f>
        <v>Hasil kalibrasi Frekuensi dan Amplitudo tertelusur ke Satuan Internasional melalui CALTEK PTE LTD</v>
      </c>
      <c r="C77" s="208"/>
      <c r="D77" s="140"/>
      <c r="E77" s="140"/>
      <c r="F77" s="140"/>
      <c r="G77" s="140"/>
      <c r="H77" s="140"/>
      <c r="I77" s="140"/>
      <c r="J77" s="140"/>
      <c r="K77" s="140"/>
      <c r="L77" s="154"/>
      <c r="M77" s="154"/>
      <c r="N77" s="79"/>
      <c r="O77" s="79"/>
      <c r="P77" s="79"/>
      <c r="Q77" s="91"/>
    </row>
    <row r="78" spans="1:17" ht="15" customHeight="1" x14ac:dyDescent="0.25">
      <c r="A78" s="338"/>
      <c r="B78" s="140" t="str">
        <f>PENYELIA!B75</f>
        <v>Alat tidak boleh digunakan pada instalasi tanpa dilengkapi grounding</v>
      </c>
      <c r="C78" s="208"/>
      <c r="D78" s="140"/>
      <c r="E78" s="140"/>
      <c r="F78" s="140"/>
      <c r="G78" s="140"/>
      <c r="H78" s="140"/>
      <c r="I78" s="140"/>
      <c r="J78" s="140"/>
      <c r="K78" s="140"/>
      <c r="L78" s="154"/>
      <c r="M78" s="154"/>
      <c r="N78" s="79"/>
      <c r="O78" s="79"/>
      <c r="P78" s="79"/>
      <c r="Q78" s="91"/>
    </row>
    <row r="79" spans="1:17" ht="15" customHeight="1" x14ac:dyDescent="0.25">
      <c r="A79" s="338"/>
      <c r="B79" s="140"/>
      <c r="C79" s="208"/>
      <c r="D79" s="140"/>
      <c r="E79" s="140"/>
      <c r="F79" s="140"/>
      <c r="G79" s="140"/>
      <c r="H79" s="140"/>
      <c r="I79" s="140"/>
      <c r="J79" s="140"/>
      <c r="K79" s="140"/>
      <c r="L79" s="154"/>
      <c r="M79" s="154"/>
      <c r="N79" s="79"/>
      <c r="O79" s="79"/>
      <c r="P79" s="79"/>
      <c r="Q79" s="91"/>
    </row>
    <row r="80" spans="1:17" ht="14.5" x14ac:dyDescent="0.25">
      <c r="A80" s="153" t="s">
        <v>186</v>
      </c>
      <c r="B80" s="153" t="s">
        <v>187</v>
      </c>
      <c r="C80" s="208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79"/>
      <c r="O80" s="79"/>
      <c r="P80" s="79"/>
      <c r="Q80" s="91"/>
    </row>
    <row r="81" spans="1:17" ht="14.5" x14ac:dyDescent="0.25">
      <c r="A81" s="140"/>
      <c r="B81" s="156" t="str">
        <f>PENYELIA!B79</f>
        <v>EEG Simulator, Merek : NETECH, Model : 330, SN : 31487</v>
      </c>
      <c r="C81" s="208"/>
      <c r="D81" s="140"/>
      <c r="E81" s="153"/>
      <c r="F81" s="153"/>
      <c r="G81" s="153"/>
      <c r="H81" s="153"/>
      <c r="I81" s="140"/>
      <c r="J81" s="140"/>
      <c r="K81" s="140"/>
      <c r="L81" s="140"/>
      <c r="M81" s="124"/>
      <c r="N81" s="79"/>
      <c r="O81" s="79"/>
      <c r="P81" s="79"/>
      <c r="Q81" s="91"/>
    </row>
    <row r="82" spans="1:17" ht="14.5" x14ac:dyDescent="0.25">
      <c r="A82" s="140"/>
      <c r="B82" s="156" t="str">
        <f>PENYELIA!B80</f>
        <v>Electrical Safety Analyzer, Merek : Fluke, Model : ESA 615, SN : 4670010</v>
      </c>
      <c r="C82" s="208"/>
      <c r="D82" s="140"/>
      <c r="E82" s="140"/>
      <c r="F82" s="140"/>
      <c r="G82" s="140"/>
      <c r="H82" s="140"/>
      <c r="I82" s="140"/>
      <c r="J82" s="140"/>
      <c r="K82" s="140"/>
      <c r="L82" s="140"/>
      <c r="M82" s="124"/>
      <c r="N82" s="79"/>
      <c r="O82" s="79"/>
      <c r="P82" s="79"/>
      <c r="Q82" s="91"/>
    </row>
    <row r="83" spans="1:17" ht="14.5" hidden="1" x14ac:dyDescent="0.25">
      <c r="A83" s="140"/>
      <c r="B83" s="156" t="str">
        <f>PENYELIA!B81</f>
        <v>Thermohygrobarometer, Merek : EXTECH, Model : SD700, SN : A.100615</v>
      </c>
      <c r="C83" s="208"/>
      <c r="D83" s="140"/>
      <c r="E83" s="140"/>
      <c r="F83" s="140"/>
      <c r="G83" s="140"/>
      <c r="H83" s="140"/>
      <c r="I83" s="140"/>
      <c r="J83" s="140"/>
      <c r="K83" s="140"/>
      <c r="L83" s="140"/>
      <c r="M83" s="124"/>
      <c r="N83" s="79"/>
      <c r="O83" s="79"/>
      <c r="P83" s="79"/>
      <c r="Q83" s="91"/>
    </row>
    <row r="84" spans="1:17" ht="15" customHeight="1" x14ac:dyDescent="0.25">
      <c r="A84" s="338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24"/>
      <c r="N84" s="79"/>
      <c r="O84" s="79"/>
      <c r="P84" s="79"/>
      <c r="Q84" s="91"/>
    </row>
    <row r="85" spans="1:17" ht="14.5" x14ac:dyDescent="0.25">
      <c r="A85" s="153" t="s">
        <v>191</v>
      </c>
      <c r="B85" s="153" t="s">
        <v>192</v>
      </c>
      <c r="C85" s="140"/>
      <c r="D85" s="140"/>
      <c r="E85" s="140"/>
      <c r="F85" s="140"/>
      <c r="G85" s="140"/>
      <c r="H85" s="140"/>
      <c r="I85" s="140"/>
      <c r="J85" s="140"/>
      <c r="K85" s="140"/>
      <c r="L85" s="208"/>
      <c r="M85" s="124"/>
      <c r="N85" s="79"/>
      <c r="O85" s="79"/>
      <c r="P85" s="79"/>
      <c r="Q85" s="91"/>
    </row>
    <row r="86" spans="1:17" ht="15" customHeight="1" x14ac:dyDescent="0.25">
      <c r="A86" s="140"/>
      <c r="B86" s="878" t="str">
        <f>PENYELIA!B84</f>
        <v>Alat yang dikalibrasi dalam batas toleransi dan dinyatakan LAIK PAKAI, dimana hasil atau skor akhir sama dengan atau melampaui 70% berdasarkan Keputusan Direktur Jenderal Pelayanan Kesehatan No : HK.02.02/V/0412/2020</v>
      </c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124"/>
      <c r="N86" s="79"/>
      <c r="O86" s="79"/>
      <c r="P86" s="79"/>
      <c r="Q86" s="91"/>
    </row>
    <row r="87" spans="1:17" ht="15" customHeight="1" x14ac:dyDescent="0.25">
      <c r="A87" s="140"/>
      <c r="B87" s="878"/>
      <c r="C87" s="878"/>
      <c r="D87" s="878"/>
      <c r="E87" s="878"/>
      <c r="F87" s="878"/>
      <c r="G87" s="878"/>
      <c r="H87" s="878"/>
      <c r="I87" s="878"/>
      <c r="J87" s="878"/>
      <c r="K87" s="878"/>
      <c r="L87" s="878"/>
      <c r="M87" s="124"/>
      <c r="N87" s="79"/>
      <c r="O87" s="79"/>
      <c r="P87" s="79"/>
      <c r="Q87" s="91"/>
    </row>
    <row r="88" spans="1:17" ht="15" customHeight="1" x14ac:dyDescent="0.25">
      <c r="A88" s="338"/>
      <c r="B88" s="140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124"/>
      <c r="N88" s="79"/>
      <c r="O88" s="79"/>
      <c r="P88" s="79"/>
      <c r="Q88" s="91"/>
    </row>
    <row r="89" spans="1:17" ht="14.5" x14ac:dyDescent="0.25">
      <c r="A89" s="153" t="s">
        <v>121</v>
      </c>
      <c r="B89" s="153" t="s">
        <v>135</v>
      </c>
      <c r="C89" s="208"/>
      <c r="D89" s="140"/>
      <c r="E89" s="140"/>
      <c r="F89" s="140"/>
      <c r="G89" s="140"/>
      <c r="H89" s="140"/>
      <c r="I89" s="140"/>
      <c r="J89" s="140"/>
      <c r="K89" s="140"/>
      <c r="L89" s="140"/>
      <c r="M89" s="124"/>
      <c r="N89" s="79"/>
      <c r="O89" s="79"/>
      <c r="P89" s="79"/>
      <c r="Q89" s="91"/>
    </row>
    <row r="90" spans="1:17" ht="14.5" x14ac:dyDescent="0.25">
      <c r="A90" s="140"/>
      <c r="B90" s="138" t="str">
        <f>PENYELIA!B87</f>
        <v>Gusti Arya Dinata</v>
      </c>
      <c r="C90" s="208"/>
      <c r="D90" s="153"/>
      <c r="E90" s="140"/>
      <c r="F90" s="140"/>
      <c r="G90" s="140"/>
      <c r="H90" s="140"/>
      <c r="I90" s="140"/>
      <c r="J90" s="140"/>
      <c r="K90" s="1014"/>
      <c r="L90" s="1014"/>
      <c r="M90" s="124"/>
      <c r="N90" s="79"/>
      <c r="O90" s="79"/>
      <c r="P90" s="79"/>
      <c r="Q90" s="91"/>
    </row>
    <row r="91" spans="1:17" ht="14.5" x14ac:dyDescent="0.25">
      <c r="A91" s="140"/>
      <c r="B91" s="138"/>
      <c r="C91" s="208"/>
      <c r="D91" s="153"/>
      <c r="E91" s="140"/>
      <c r="F91" s="140"/>
      <c r="G91" s="140"/>
      <c r="H91" s="140"/>
      <c r="I91" s="140"/>
      <c r="J91" s="140"/>
      <c r="K91" s="339"/>
      <c r="L91" s="339"/>
      <c r="M91" s="124"/>
      <c r="N91" s="79"/>
      <c r="O91" s="79"/>
      <c r="P91" s="79"/>
      <c r="Q91" s="91"/>
    </row>
    <row r="92" spans="1:17" ht="15" customHeight="1" x14ac:dyDescent="0.25">
      <c r="A92" s="338"/>
      <c r="B92" s="140"/>
      <c r="C92" s="138"/>
      <c r="D92" s="140"/>
      <c r="E92" s="140"/>
      <c r="F92" s="140"/>
      <c r="G92" s="140"/>
      <c r="H92" s="140"/>
      <c r="I92" s="140"/>
      <c r="J92" s="140"/>
      <c r="K92" s="340"/>
      <c r="L92" s="341"/>
      <c r="M92" s="124"/>
      <c r="N92" s="79"/>
      <c r="O92" s="79"/>
      <c r="P92" s="85"/>
      <c r="Q92" s="91"/>
    </row>
    <row r="93" spans="1:17" ht="15" customHeight="1" x14ac:dyDescent="0.25">
      <c r="A93" s="338"/>
      <c r="B93" s="140"/>
      <c r="C93" s="342"/>
      <c r="D93" s="342"/>
      <c r="E93" s="342"/>
      <c r="F93" s="342"/>
      <c r="G93" s="342"/>
      <c r="H93" s="342"/>
      <c r="I93" s="214" t="s">
        <v>315</v>
      </c>
      <c r="J93" s="338"/>
      <c r="K93" s="343"/>
      <c r="L93" s="341"/>
      <c r="M93" s="124"/>
      <c r="N93" s="93"/>
      <c r="O93" s="79"/>
      <c r="P93" s="79"/>
      <c r="Q93" s="91"/>
    </row>
    <row r="94" spans="1:17" ht="15" customHeight="1" x14ac:dyDescent="0.25">
      <c r="A94" s="338"/>
      <c r="B94" s="140"/>
      <c r="C94" s="344"/>
      <c r="D94" s="211"/>
      <c r="E94" s="211"/>
      <c r="F94" s="211"/>
      <c r="G94" s="345"/>
      <c r="H94" s="671" t="str">
        <f>IF(I100=P100,"a.n"," ")</f>
        <v xml:space="preserve"> </v>
      </c>
      <c r="I94" s="214" t="s">
        <v>316</v>
      </c>
      <c r="J94" s="338"/>
      <c r="K94" s="343"/>
      <c r="L94" s="341"/>
      <c r="M94" s="124"/>
      <c r="N94" s="80"/>
      <c r="O94" s="79"/>
      <c r="P94" s="79"/>
      <c r="Q94" s="91"/>
    </row>
    <row r="95" spans="1:17" ht="15" customHeight="1" x14ac:dyDescent="0.25">
      <c r="A95" s="338"/>
      <c r="B95" s="140"/>
      <c r="C95" s="344"/>
      <c r="D95" s="212"/>
      <c r="E95" s="212"/>
      <c r="F95" s="212"/>
      <c r="G95" s="212"/>
      <c r="H95" s="212"/>
      <c r="I95" s="214" t="s">
        <v>317</v>
      </c>
      <c r="J95" s="338"/>
      <c r="K95" s="343"/>
      <c r="L95" s="341"/>
      <c r="M95" s="124"/>
      <c r="N95" s="79"/>
      <c r="O95" s="79"/>
      <c r="P95" s="79"/>
      <c r="Q95" s="91"/>
    </row>
    <row r="96" spans="1:17" ht="14" x14ac:dyDescent="0.25">
      <c r="A96" s="338"/>
      <c r="B96" s="140"/>
      <c r="C96" s="207"/>
      <c r="D96" s="207"/>
      <c r="E96" s="207"/>
      <c r="F96" s="207"/>
      <c r="G96" s="207"/>
      <c r="H96" s="208"/>
      <c r="I96" s="214"/>
      <c r="J96" s="338"/>
      <c r="K96" s="343"/>
      <c r="L96" s="140"/>
      <c r="M96" s="140"/>
      <c r="N96" s="213"/>
      <c r="O96" s="213"/>
      <c r="P96" s="213"/>
    </row>
    <row r="97" spans="1:17" ht="14" x14ac:dyDescent="0.25">
      <c r="A97" s="338"/>
      <c r="B97" s="140"/>
      <c r="C97" s="209"/>
      <c r="D97" s="209"/>
      <c r="E97" s="209"/>
      <c r="F97" s="209"/>
      <c r="G97" s="209"/>
      <c r="H97" s="208"/>
      <c r="I97" s="214"/>
      <c r="J97" s="338"/>
      <c r="K97" s="343"/>
      <c r="L97" s="140"/>
      <c r="M97" s="140"/>
    </row>
    <row r="98" spans="1:17" ht="14" x14ac:dyDescent="0.25">
      <c r="A98" s="338"/>
      <c r="B98" s="140"/>
      <c r="C98" s="140"/>
      <c r="D98" s="140"/>
      <c r="E98" s="140"/>
      <c r="F98" s="140"/>
      <c r="G98" s="140"/>
      <c r="H98" s="208"/>
      <c r="I98" s="214"/>
      <c r="J98" s="338"/>
      <c r="K98" s="343"/>
      <c r="L98" s="140"/>
      <c r="M98" s="140"/>
    </row>
    <row r="99" spans="1:17" ht="14" x14ac:dyDescent="0.3">
      <c r="A99" s="338"/>
      <c r="B99" s="140"/>
      <c r="C99" s="140"/>
      <c r="D99" s="140"/>
      <c r="E99" s="140"/>
      <c r="F99" s="140"/>
      <c r="G99" s="140"/>
      <c r="H99" s="140"/>
      <c r="I99" s="215"/>
      <c r="J99" s="338"/>
      <c r="K99" s="343"/>
      <c r="L99" s="140"/>
      <c r="M99" s="140"/>
      <c r="P99" s="669" t="s">
        <v>318</v>
      </c>
      <c r="Q99" s="670" t="s">
        <v>319</v>
      </c>
    </row>
    <row r="100" spans="1:17" ht="14" x14ac:dyDescent="0.3">
      <c r="A100" s="338"/>
      <c r="B100" s="346"/>
      <c r="C100" s="346"/>
      <c r="D100" s="346"/>
      <c r="E100" s="346"/>
      <c r="F100" s="346"/>
      <c r="G100" s="346"/>
      <c r="H100" s="346"/>
      <c r="I100" s="218" t="s">
        <v>318</v>
      </c>
      <c r="J100" s="338"/>
      <c r="K100" s="343"/>
      <c r="L100" s="346"/>
      <c r="M100" s="213"/>
      <c r="P100" s="669" t="s">
        <v>320</v>
      </c>
      <c r="Q100" s="670" t="s">
        <v>321</v>
      </c>
    </row>
    <row r="101" spans="1:17" ht="14" x14ac:dyDescent="0.25">
      <c r="A101" s="338"/>
      <c r="B101" s="208"/>
      <c r="C101" s="208"/>
      <c r="D101" s="208"/>
      <c r="E101" s="208"/>
      <c r="F101" s="208"/>
      <c r="G101" s="208"/>
      <c r="H101" s="208"/>
      <c r="I101" s="216" t="str">
        <f>VLOOKUP(I100,P99:Q100,2,0)</f>
        <v>NIP 198008062010121001</v>
      </c>
      <c r="J101" s="338"/>
      <c r="K101" s="343"/>
      <c r="L101" s="208"/>
    </row>
    <row r="102" spans="1:17" x14ac:dyDescent="0.25">
      <c r="A102" s="33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</row>
    <row r="103" spans="1:17" x14ac:dyDescent="0.25">
      <c r="A103" s="33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</row>
    <row r="104" spans="1:17" x14ac:dyDescent="0.25">
      <c r="A104" s="33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</row>
    <row r="105" spans="1:17" x14ac:dyDescent="0.25">
      <c r="A105" s="33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</row>
    <row r="106" spans="1:17" x14ac:dyDescent="0.25">
      <c r="A106" s="33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</row>
    <row r="107" spans="1:17" x14ac:dyDescent="0.25">
      <c r="A107" s="33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</row>
    <row r="108" spans="1:17" x14ac:dyDescent="0.25">
      <c r="A108" s="33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</row>
    <row r="109" spans="1:17" x14ac:dyDescent="0.25">
      <c r="A109" s="33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</row>
    <row r="110" spans="1:17" x14ac:dyDescent="0.25">
      <c r="A110" s="33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</row>
    <row r="111" spans="1:17" x14ac:dyDescent="0.25">
      <c r="A111" s="33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</row>
    <row r="112" spans="1:17" x14ac:dyDescent="0.25">
      <c r="A112" s="33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</row>
    <row r="113" spans="1:12" x14ac:dyDescent="0.25">
      <c r="A113" s="33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</row>
    <row r="114" spans="1:12" x14ac:dyDescent="0.25">
      <c r="A114" s="33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</row>
    <row r="115" spans="1:12" x14ac:dyDescent="0.25">
      <c r="A115" s="33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</row>
    <row r="116" spans="1:12" x14ac:dyDescent="0.25">
      <c r="A116" s="33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</row>
    <row r="117" spans="1:12" x14ac:dyDescent="0.25">
      <c r="A117" s="33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</row>
    <row r="118" spans="1:12" x14ac:dyDescent="0.25">
      <c r="A118" s="33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</row>
    <row r="119" spans="1:12" x14ac:dyDescent="0.25">
      <c r="A119" s="33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</row>
    <row r="120" spans="1:12" x14ac:dyDescent="0.25">
      <c r="A120" s="33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</row>
    <row r="121" spans="1:12" x14ac:dyDescent="0.25">
      <c r="A121" s="33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</row>
    <row r="122" spans="1:12" x14ac:dyDescent="0.25">
      <c r="A122" s="33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</row>
    <row r="123" spans="1:12" x14ac:dyDescent="0.25">
      <c r="A123" s="33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</row>
    <row r="124" spans="1:12" x14ac:dyDescent="0.25">
      <c r="A124" s="33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</row>
    <row r="125" spans="1:12" x14ac:dyDescent="0.25">
      <c r="A125" s="33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</row>
    <row r="126" spans="1:12" x14ac:dyDescent="0.25">
      <c r="A126" s="33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</row>
    <row r="127" spans="1:12" x14ac:dyDescent="0.25">
      <c r="A127" s="33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</row>
    <row r="128" spans="1:12" x14ac:dyDescent="0.25">
      <c r="A128" s="33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</row>
    <row r="129" spans="1:12" x14ac:dyDescent="0.25">
      <c r="A129" s="33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</row>
    <row r="130" spans="1:12" x14ac:dyDescent="0.25">
      <c r="A130" s="33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</row>
    <row r="131" spans="1:12" x14ac:dyDescent="0.25">
      <c r="A131" s="33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</row>
    <row r="132" spans="1:12" x14ac:dyDescent="0.25">
      <c r="A132" s="33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</row>
    <row r="133" spans="1:12" x14ac:dyDescent="0.25">
      <c r="A133" s="33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</row>
    <row r="134" spans="1:12" x14ac:dyDescent="0.25">
      <c r="A134" s="33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</row>
    <row r="135" spans="1:12" x14ac:dyDescent="0.25">
      <c r="A135" s="33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</row>
    <row r="136" spans="1:12" x14ac:dyDescent="0.25">
      <c r="A136" s="33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</row>
    <row r="137" spans="1:12" x14ac:dyDescent="0.25">
      <c r="A137" s="33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</row>
    <row r="138" spans="1:12" x14ac:dyDescent="0.25">
      <c r="A138" s="33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</row>
    <row r="139" spans="1:12" x14ac:dyDescent="0.25">
      <c r="A139" s="33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</row>
    <row r="140" spans="1:12" x14ac:dyDescent="0.25">
      <c r="A140" s="33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</row>
    <row r="141" spans="1:12" x14ac:dyDescent="0.25">
      <c r="A141" s="33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</row>
    <row r="142" spans="1:12" x14ac:dyDescent="0.25">
      <c r="A142" s="33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</row>
    <row r="143" spans="1:12" x14ac:dyDescent="0.25">
      <c r="A143" s="33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</row>
    <row r="144" spans="1:12" x14ac:dyDescent="0.25">
      <c r="A144" s="33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</row>
    <row r="145" spans="1:14" x14ac:dyDescent="0.25">
      <c r="A145" s="33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</row>
    <row r="146" spans="1:14" x14ac:dyDescent="0.25">
      <c r="A146" s="33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</row>
    <row r="147" spans="1:14" hidden="1" x14ac:dyDescent="0.25">
      <c r="A147" s="33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</row>
    <row r="148" spans="1:14" hidden="1" x14ac:dyDescent="0.25">
      <c r="A148" s="33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</row>
    <row r="149" spans="1:14" x14ac:dyDescent="0.25">
      <c r="A149" s="33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</row>
    <row r="150" spans="1:14" x14ac:dyDescent="0.25">
      <c r="A150" s="33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</row>
    <row r="151" spans="1:14" hidden="1" x14ac:dyDescent="0.25">
      <c r="A151" s="33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</row>
    <row r="152" spans="1:14" x14ac:dyDescent="0.25">
      <c r="A152" s="33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</row>
    <row r="153" spans="1:14" ht="64.5" customHeight="1" x14ac:dyDescent="0.2">
      <c r="A153" s="33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N153" s="217" t="s">
        <v>322</v>
      </c>
    </row>
    <row r="155" spans="1:14" x14ac:dyDescent="0.25">
      <c r="E155" s="84"/>
    </row>
    <row r="156" spans="1:14" x14ac:dyDescent="0.25">
      <c r="E156" s="84"/>
    </row>
    <row r="157" spans="1:14" x14ac:dyDescent="0.25">
      <c r="E157" s="84"/>
    </row>
    <row r="158" spans="1:14" x14ac:dyDescent="0.25">
      <c r="E158" s="84"/>
    </row>
    <row r="159" spans="1:14" x14ac:dyDescent="0.25">
      <c r="E159" s="84"/>
    </row>
    <row r="160" spans="1:14" x14ac:dyDescent="0.25">
      <c r="E160" s="84"/>
    </row>
    <row r="161" spans="5:5" x14ac:dyDescent="0.25">
      <c r="E161" s="84"/>
    </row>
    <row r="162" spans="5:5" x14ac:dyDescent="0.25">
      <c r="E162" s="84"/>
    </row>
    <row r="163" spans="5:5" x14ac:dyDescent="0.25">
      <c r="E163" s="84"/>
    </row>
    <row r="164" spans="5:5" x14ac:dyDescent="0.25">
      <c r="E164" s="84"/>
    </row>
    <row r="165" spans="5:5" x14ac:dyDescent="0.25">
      <c r="E165" s="84"/>
    </row>
    <row r="166" spans="5:5" x14ac:dyDescent="0.25">
      <c r="E166" s="84"/>
    </row>
    <row r="167" spans="5:5" x14ac:dyDescent="0.25">
      <c r="E167" s="84"/>
    </row>
    <row r="168" spans="5:5" x14ac:dyDescent="0.25">
      <c r="E168" s="84"/>
    </row>
    <row r="169" spans="5:5" ht="14" x14ac:dyDescent="0.25">
      <c r="E169" s="200"/>
    </row>
    <row r="170" spans="5:5" ht="14" x14ac:dyDescent="0.25">
      <c r="E170" s="124"/>
    </row>
    <row r="171" spans="5:5" x14ac:dyDescent="0.25">
      <c r="E171" s="84"/>
    </row>
    <row r="172" spans="5:5" x14ac:dyDescent="0.25">
      <c r="E172" s="84"/>
    </row>
    <row r="175" spans="5:5" x14ac:dyDescent="0.25">
      <c r="E175" s="84"/>
    </row>
    <row r="176" spans="5:5" x14ac:dyDescent="0.25">
      <c r="E176" s="84"/>
    </row>
    <row r="177" spans="5:5" x14ac:dyDescent="0.25">
      <c r="E177" s="84"/>
    </row>
    <row r="178" spans="5:5" x14ac:dyDescent="0.25">
      <c r="E178" s="84"/>
    </row>
    <row r="179" spans="5:5" x14ac:dyDescent="0.25">
      <c r="E179" s="84"/>
    </row>
    <row r="180" spans="5:5" x14ac:dyDescent="0.25">
      <c r="E180" s="84"/>
    </row>
    <row r="181" spans="5:5" x14ac:dyDescent="0.25">
      <c r="E181" s="84"/>
    </row>
    <row r="182" spans="5:5" x14ac:dyDescent="0.25">
      <c r="E182" s="84"/>
    </row>
    <row r="183" spans="5:5" x14ac:dyDescent="0.25">
      <c r="E183" s="84"/>
    </row>
    <row r="184" spans="5:5" x14ac:dyDescent="0.25">
      <c r="E184" s="84"/>
    </row>
    <row r="185" spans="5:5" x14ac:dyDescent="0.25">
      <c r="E185" s="84"/>
    </row>
    <row r="186" spans="5:5" x14ac:dyDescent="0.25">
      <c r="E186" s="84"/>
    </row>
    <row r="187" spans="5:5" x14ac:dyDescent="0.25">
      <c r="E187" s="84"/>
    </row>
    <row r="188" spans="5:5" x14ac:dyDescent="0.25">
      <c r="E188" s="84"/>
    </row>
    <row r="189" spans="5:5" x14ac:dyDescent="0.25">
      <c r="E189" s="84"/>
    </row>
    <row r="190" spans="5:5" x14ac:dyDescent="0.25">
      <c r="E190" s="84"/>
    </row>
    <row r="191" spans="5:5" x14ac:dyDescent="0.25">
      <c r="E191" s="84"/>
    </row>
    <row r="192" spans="5:5" x14ac:dyDescent="0.25">
      <c r="E192" s="84"/>
    </row>
    <row r="193" spans="5:5" x14ac:dyDescent="0.25">
      <c r="E193" s="84"/>
    </row>
    <row r="194" spans="5:5" x14ac:dyDescent="0.25">
      <c r="E194" s="84"/>
    </row>
    <row r="195" spans="5:5" x14ac:dyDescent="0.25">
      <c r="E195" s="84"/>
    </row>
    <row r="196" spans="5:5" x14ac:dyDescent="0.25">
      <c r="E196" s="84"/>
    </row>
    <row r="197" spans="5:5" x14ac:dyDescent="0.25">
      <c r="E197" s="84"/>
    </row>
    <row r="198" spans="5:5" x14ac:dyDescent="0.25">
      <c r="E198" s="84"/>
    </row>
    <row r="199" spans="5:5" x14ac:dyDescent="0.25">
      <c r="E199" s="84"/>
    </row>
    <row r="200" spans="5:5" x14ac:dyDescent="0.25">
      <c r="E200" s="84"/>
    </row>
    <row r="201" spans="5:5" x14ac:dyDescent="0.25">
      <c r="E201" s="84"/>
    </row>
    <row r="202" spans="5:5" x14ac:dyDescent="0.25">
      <c r="E202" s="84"/>
    </row>
    <row r="203" spans="5:5" x14ac:dyDescent="0.25">
      <c r="E203" s="84"/>
    </row>
    <row r="204" spans="5:5" x14ac:dyDescent="0.25">
      <c r="E204" s="84"/>
    </row>
    <row r="205" spans="5:5" x14ac:dyDescent="0.25">
      <c r="E205" s="84"/>
    </row>
    <row r="206" spans="5:5" x14ac:dyDescent="0.25">
      <c r="E206" s="84"/>
    </row>
    <row r="207" spans="5:5" x14ac:dyDescent="0.25">
      <c r="E207" s="84"/>
    </row>
    <row r="208" spans="5:5" x14ac:dyDescent="0.25">
      <c r="E208" s="84"/>
    </row>
    <row r="209" spans="5:5" x14ac:dyDescent="0.25">
      <c r="E209" s="84"/>
    </row>
    <row r="210" spans="5:5" x14ac:dyDescent="0.25">
      <c r="E210" s="84"/>
    </row>
    <row r="211" spans="5:5" x14ac:dyDescent="0.25">
      <c r="E211" s="84"/>
    </row>
    <row r="212" spans="5:5" x14ac:dyDescent="0.25">
      <c r="E212" s="84"/>
    </row>
  </sheetData>
  <mergeCells count="64">
    <mergeCell ref="B86:L87"/>
    <mergeCell ref="K90:L90"/>
    <mergeCell ref="B52:B55"/>
    <mergeCell ref="C52:D71"/>
    <mergeCell ref="F52:F55"/>
    <mergeCell ref="J52:J71"/>
    <mergeCell ref="K52:K71"/>
    <mergeCell ref="B56:B59"/>
    <mergeCell ref="F56:F59"/>
    <mergeCell ref="B60:B63"/>
    <mergeCell ref="F60:F63"/>
    <mergeCell ref="B64:B67"/>
    <mergeCell ref="F64:F67"/>
    <mergeCell ref="B68:B71"/>
    <mergeCell ref="F68:F71"/>
    <mergeCell ref="K48:L49"/>
    <mergeCell ref="B50:B51"/>
    <mergeCell ref="C50:D51"/>
    <mergeCell ref="E50:E51"/>
    <mergeCell ref="F50:F51"/>
    <mergeCell ref="G50:G51"/>
    <mergeCell ref="H50:H51"/>
    <mergeCell ref="I50:I51"/>
    <mergeCell ref="J50:K51"/>
    <mergeCell ref="L50:M51"/>
    <mergeCell ref="L41:M42"/>
    <mergeCell ref="B43:B47"/>
    <mergeCell ref="C43:D47"/>
    <mergeCell ref="F43:F47"/>
    <mergeCell ref="J43:J47"/>
    <mergeCell ref="K43:K47"/>
    <mergeCell ref="C36:D36"/>
    <mergeCell ref="H36:K37"/>
    <mergeCell ref="C37:D37"/>
    <mergeCell ref="C38:D38"/>
    <mergeCell ref="B41:B42"/>
    <mergeCell ref="C41:D42"/>
    <mergeCell ref="E41:E42"/>
    <mergeCell ref="F41:F42"/>
    <mergeCell ref="G41:G42"/>
    <mergeCell ref="H41:H42"/>
    <mergeCell ref="I41:I42"/>
    <mergeCell ref="J41:K42"/>
    <mergeCell ref="C30:H30"/>
    <mergeCell ref="K30:L30"/>
    <mergeCell ref="B34:B35"/>
    <mergeCell ref="C34:D35"/>
    <mergeCell ref="E34:E35"/>
    <mergeCell ref="F34:F35"/>
    <mergeCell ref="H34:K35"/>
    <mergeCell ref="C27:H27"/>
    <mergeCell ref="K27:L27"/>
    <mergeCell ref="C28:H28"/>
    <mergeCell ref="K28:L28"/>
    <mergeCell ref="C29:H29"/>
    <mergeCell ref="K29:L29"/>
    <mergeCell ref="A1:N1"/>
    <mergeCell ref="A2:N2"/>
    <mergeCell ref="P15:R15"/>
    <mergeCell ref="T15:V15"/>
    <mergeCell ref="B25:B26"/>
    <mergeCell ref="C25:H26"/>
    <mergeCell ref="I25:J26"/>
    <mergeCell ref="K25:L26"/>
  </mergeCells>
  <dataValidations count="1">
    <dataValidation type="list" allowBlank="1" showInputMessage="1" showErrorMessage="1" sqref="I100" xr:uid="{C7C5DAB0-327D-4419-B210-074C41735A43}">
      <formula1>$P$99:$P$100</formula1>
    </dataValidation>
  </dataValidations>
  <pageMargins left="0.7" right="0.7" top="0.75" bottom="0.75" header="0.3" footer="0.3"/>
  <pageSetup paperSize="9" scale="63" orientation="portrait" r:id="rId1"/>
  <rowBreaks count="1" manualBreakCount="1">
    <brk id="73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2087-703D-4B4F-8BF3-3B46191F8F3F}">
  <dimension ref="A1:AL410"/>
  <sheetViews>
    <sheetView topLeftCell="J377" workbookViewId="0">
      <selection activeCell="A390" sqref="A390"/>
    </sheetView>
  </sheetViews>
  <sheetFormatPr defaultColWidth="8.7265625" defaultRowHeight="12.5" x14ac:dyDescent="0.25"/>
  <cols>
    <col min="1" max="16384" width="8.7265625" style="76"/>
  </cols>
  <sheetData>
    <row r="1" spans="1:24" ht="18" thickBot="1" x14ac:dyDescent="0.3">
      <c r="A1" s="1022" t="s">
        <v>323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  <c r="L1" s="1023"/>
      <c r="M1" s="1023"/>
      <c r="N1" s="1023"/>
      <c r="O1" s="1023"/>
      <c r="P1" s="1023"/>
      <c r="Q1" s="1023"/>
      <c r="R1" s="1023"/>
      <c r="S1" s="1023"/>
      <c r="T1" s="1023"/>
      <c r="U1" s="1023"/>
    </row>
    <row r="2" spans="1:24" x14ac:dyDescent="0.25">
      <c r="A2" s="1020">
        <v>1</v>
      </c>
      <c r="B2" s="1021" t="s">
        <v>324</v>
      </c>
      <c r="C2" s="1021"/>
      <c r="D2" s="1021"/>
      <c r="E2" s="1021"/>
      <c r="F2" s="1021"/>
      <c r="G2" s="1021"/>
      <c r="I2" s="1021" t="str">
        <f>B2</f>
        <v>KOREKSI KIMO THERMOHYGROMETER 15062873</v>
      </c>
      <c r="J2" s="1021"/>
      <c r="K2" s="1021"/>
      <c r="L2" s="1021"/>
      <c r="M2" s="1021"/>
      <c r="N2" s="1021"/>
      <c r="P2" s="1021" t="str">
        <f>I2</f>
        <v>KOREKSI KIMO THERMOHYGROMETER 15062873</v>
      </c>
      <c r="Q2" s="1021"/>
      <c r="R2" s="1021"/>
      <c r="S2" s="1021"/>
      <c r="T2" s="1021"/>
      <c r="U2" s="1021"/>
      <c r="W2" s="1015" t="s">
        <v>251</v>
      </c>
      <c r="X2" s="1016"/>
    </row>
    <row r="3" spans="1:24" ht="13" x14ac:dyDescent="0.25">
      <c r="A3" s="1020"/>
      <c r="B3" s="1017" t="s">
        <v>325</v>
      </c>
      <c r="C3" s="1017"/>
      <c r="D3" s="1017" t="s">
        <v>244</v>
      </c>
      <c r="E3" s="1017"/>
      <c r="F3" s="1017"/>
      <c r="G3" s="1017" t="s">
        <v>239</v>
      </c>
      <c r="I3" s="1017" t="s">
        <v>326</v>
      </c>
      <c r="J3" s="1017"/>
      <c r="K3" s="1017" t="s">
        <v>244</v>
      </c>
      <c r="L3" s="1017"/>
      <c r="M3" s="1017"/>
      <c r="N3" s="1017" t="s">
        <v>239</v>
      </c>
      <c r="P3" s="1017" t="s">
        <v>327</v>
      </c>
      <c r="Q3" s="1017"/>
      <c r="R3" s="1017" t="s">
        <v>244</v>
      </c>
      <c r="S3" s="1017"/>
      <c r="T3" s="1017"/>
      <c r="U3" s="1017" t="s">
        <v>239</v>
      </c>
      <c r="W3" s="590" t="s">
        <v>325</v>
      </c>
      <c r="X3" s="591">
        <v>0.6</v>
      </c>
    </row>
    <row r="4" spans="1:24" ht="14.5" x14ac:dyDescent="0.25">
      <c r="A4" s="1020"/>
      <c r="B4" s="1018" t="s">
        <v>328</v>
      </c>
      <c r="C4" s="1018"/>
      <c r="D4" s="592">
        <v>2020</v>
      </c>
      <c r="E4" s="592">
        <v>2017</v>
      </c>
      <c r="F4" s="592">
        <v>2016</v>
      </c>
      <c r="G4" s="1017"/>
      <c r="I4" s="1019" t="s">
        <v>41</v>
      </c>
      <c r="J4" s="1018"/>
      <c r="K4" s="592">
        <f>D4</f>
        <v>2020</v>
      </c>
      <c r="L4" s="592">
        <f>E4</f>
        <v>2017</v>
      </c>
      <c r="M4" s="592">
        <v>2016</v>
      </c>
      <c r="N4" s="1017"/>
      <c r="P4" s="1019" t="s">
        <v>329</v>
      </c>
      <c r="Q4" s="1018"/>
      <c r="R4" s="592">
        <f>K4</f>
        <v>2020</v>
      </c>
      <c r="S4" s="592">
        <f>L4</f>
        <v>2017</v>
      </c>
      <c r="T4" s="592">
        <v>2016</v>
      </c>
      <c r="U4" s="1017"/>
      <c r="W4" s="590" t="s">
        <v>41</v>
      </c>
      <c r="X4" s="591">
        <v>3.1</v>
      </c>
    </row>
    <row r="5" spans="1:24" ht="13.5" thickBot="1" x14ac:dyDescent="0.3">
      <c r="A5" s="1020"/>
      <c r="B5" s="593">
        <v>1</v>
      </c>
      <c r="C5" s="588">
        <v>15</v>
      </c>
      <c r="D5" s="594">
        <v>-0.5</v>
      </c>
      <c r="E5" s="594">
        <v>0.3</v>
      </c>
      <c r="F5" s="588">
        <v>0</v>
      </c>
      <c r="G5" s="595">
        <f>0.5*(MAX(D5:F5)-MIN(D5:F5))</f>
        <v>0.4</v>
      </c>
      <c r="I5" s="593">
        <v>1</v>
      </c>
      <c r="J5" s="588">
        <v>35</v>
      </c>
      <c r="K5" s="594">
        <v>-6</v>
      </c>
      <c r="L5" s="594">
        <v>-9.4</v>
      </c>
      <c r="M5" s="596"/>
      <c r="N5" s="595">
        <f>0.5*(MAX(K5:M5)-MIN(K5:M5))</f>
        <v>1.7000000000000002</v>
      </c>
      <c r="P5" s="593">
        <v>1</v>
      </c>
      <c r="Q5" s="588">
        <v>750</v>
      </c>
      <c r="R5" s="597" t="s">
        <v>16</v>
      </c>
      <c r="S5" s="597" t="s">
        <v>16</v>
      </c>
      <c r="T5" s="598"/>
      <c r="U5" s="595">
        <f>0.5*(MAX(R5:T5)-MIN(R5:T5))</f>
        <v>0</v>
      </c>
      <c r="W5" s="599" t="s">
        <v>329</v>
      </c>
      <c r="X5" s="600">
        <v>0</v>
      </c>
    </row>
    <row r="6" spans="1:24" ht="13" x14ac:dyDescent="0.25">
      <c r="A6" s="1020"/>
      <c r="B6" s="593">
        <v>2</v>
      </c>
      <c r="C6" s="588">
        <v>20</v>
      </c>
      <c r="D6" s="594">
        <v>-0.2</v>
      </c>
      <c r="E6" s="594">
        <v>0.2</v>
      </c>
      <c r="F6" s="588">
        <v>0</v>
      </c>
      <c r="G6" s="595">
        <f t="shared" ref="G6:G11" si="0">0.5*(MAX(D6:F6)-MIN(D6:F6))</f>
        <v>0.2</v>
      </c>
      <c r="I6" s="593">
        <v>2</v>
      </c>
      <c r="J6" s="588">
        <v>40</v>
      </c>
      <c r="K6" s="594">
        <v>-6</v>
      </c>
      <c r="L6" s="594">
        <v>-8.6</v>
      </c>
      <c r="M6" s="596"/>
      <c r="N6" s="595">
        <f t="shared" ref="N6:N11" si="1">0.5*(MAX(K6:M6)-MIN(K6:M6))</f>
        <v>1.2999999999999998</v>
      </c>
      <c r="P6" s="593">
        <v>2</v>
      </c>
      <c r="Q6" s="588">
        <v>800</v>
      </c>
      <c r="R6" s="597" t="s">
        <v>16</v>
      </c>
      <c r="S6" s="597" t="s">
        <v>16</v>
      </c>
      <c r="T6" s="598"/>
      <c r="U6" s="595">
        <f t="shared" ref="U6:U11" si="2">0.5*(MAX(R6:T6)-MIN(R6:T6))</f>
        <v>0</v>
      </c>
    </row>
    <row r="7" spans="1:24" ht="13" x14ac:dyDescent="0.25">
      <c r="A7" s="1020"/>
      <c r="B7" s="593">
        <v>3</v>
      </c>
      <c r="C7" s="588">
        <v>25</v>
      </c>
      <c r="D7" s="594">
        <v>9.9999999999999995E-7</v>
      </c>
      <c r="E7" s="594">
        <v>0.1</v>
      </c>
      <c r="F7" s="588">
        <v>0</v>
      </c>
      <c r="G7" s="595">
        <f t="shared" si="0"/>
        <v>0.05</v>
      </c>
      <c r="I7" s="593">
        <v>3</v>
      </c>
      <c r="J7" s="588">
        <v>50</v>
      </c>
      <c r="K7" s="594">
        <v>-5.8</v>
      </c>
      <c r="L7" s="594">
        <v>-7.2</v>
      </c>
      <c r="M7" s="596"/>
      <c r="N7" s="595">
        <f t="shared" si="1"/>
        <v>0.70000000000000018</v>
      </c>
      <c r="P7" s="593">
        <v>3</v>
      </c>
      <c r="Q7" s="588">
        <v>850</v>
      </c>
      <c r="R7" s="597" t="s">
        <v>16</v>
      </c>
      <c r="S7" s="597" t="s">
        <v>16</v>
      </c>
      <c r="T7" s="598"/>
      <c r="U7" s="595">
        <f t="shared" si="2"/>
        <v>0</v>
      </c>
    </row>
    <row r="8" spans="1:24" ht="13" x14ac:dyDescent="0.25">
      <c r="A8" s="1020"/>
      <c r="B8" s="593">
        <v>4</v>
      </c>
      <c r="C8" s="601">
        <v>30</v>
      </c>
      <c r="D8" s="594">
        <v>9.9999999999999995E-7</v>
      </c>
      <c r="E8" s="602">
        <v>-0.2</v>
      </c>
      <c r="F8" s="588">
        <v>0</v>
      </c>
      <c r="G8" s="595">
        <f t="shared" si="0"/>
        <v>0.10000050000000001</v>
      </c>
      <c r="I8" s="593">
        <v>4</v>
      </c>
      <c r="J8" s="601">
        <v>60</v>
      </c>
      <c r="K8" s="602">
        <v>-5.3</v>
      </c>
      <c r="L8" s="602">
        <v>-5.2</v>
      </c>
      <c r="M8" s="596"/>
      <c r="N8" s="595">
        <f t="shared" si="1"/>
        <v>4.9999999999999822E-2</v>
      </c>
      <c r="P8" s="593">
        <v>4</v>
      </c>
      <c r="Q8" s="601">
        <v>900</v>
      </c>
      <c r="R8" s="602" t="s">
        <v>16</v>
      </c>
      <c r="S8" s="602" t="s">
        <v>16</v>
      </c>
      <c r="T8" s="598"/>
      <c r="U8" s="595">
        <f t="shared" si="2"/>
        <v>0</v>
      </c>
    </row>
    <row r="9" spans="1:24" ht="13" x14ac:dyDescent="0.25">
      <c r="A9" s="1020"/>
      <c r="B9" s="593">
        <v>5</v>
      </c>
      <c r="C9" s="601">
        <v>35</v>
      </c>
      <c r="D9" s="602">
        <v>-0.1</v>
      </c>
      <c r="E9" s="602">
        <v>-0.5</v>
      </c>
      <c r="F9" s="588">
        <v>0</v>
      </c>
      <c r="G9" s="595">
        <f t="shared" si="0"/>
        <v>0.25</v>
      </c>
      <c r="I9" s="593">
        <v>5</v>
      </c>
      <c r="J9" s="601">
        <v>70</v>
      </c>
      <c r="K9" s="602">
        <v>-4.4000000000000004</v>
      </c>
      <c r="L9" s="602">
        <v>-2.6</v>
      </c>
      <c r="M9" s="596"/>
      <c r="N9" s="595">
        <f t="shared" si="1"/>
        <v>0.90000000000000013</v>
      </c>
      <c r="P9" s="593">
        <v>5</v>
      </c>
      <c r="Q9" s="601">
        <v>1000</v>
      </c>
      <c r="R9" s="602" t="s">
        <v>16</v>
      </c>
      <c r="S9" s="602" t="s">
        <v>16</v>
      </c>
      <c r="T9" s="598"/>
      <c r="U9" s="595">
        <f t="shared" si="2"/>
        <v>0</v>
      </c>
    </row>
    <row r="10" spans="1:24" ht="13" x14ac:dyDescent="0.25">
      <c r="A10" s="1020"/>
      <c r="B10" s="593">
        <v>6</v>
      </c>
      <c r="C10" s="601">
        <v>37</v>
      </c>
      <c r="D10" s="602">
        <v>-0.2</v>
      </c>
      <c r="E10" s="602">
        <v>-0.6</v>
      </c>
      <c r="F10" s="588">
        <v>0</v>
      </c>
      <c r="G10" s="595">
        <f t="shared" si="0"/>
        <v>0.3</v>
      </c>
      <c r="I10" s="593">
        <v>6</v>
      </c>
      <c r="J10" s="601">
        <v>80</v>
      </c>
      <c r="K10" s="602">
        <v>-3.2</v>
      </c>
      <c r="L10" s="602">
        <v>0.7</v>
      </c>
      <c r="M10" s="596"/>
      <c r="N10" s="595">
        <f t="shared" si="1"/>
        <v>1.9500000000000002</v>
      </c>
      <c r="P10" s="593">
        <v>6</v>
      </c>
      <c r="Q10" s="601">
        <v>1005</v>
      </c>
      <c r="R10" s="602" t="s">
        <v>16</v>
      </c>
      <c r="S10" s="602" t="s">
        <v>16</v>
      </c>
      <c r="T10" s="598"/>
      <c r="U10" s="595">
        <f t="shared" si="2"/>
        <v>0</v>
      </c>
    </row>
    <row r="11" spans="1:24" ht="13.5" thickBot="1" x14ac:dyDescent="0.3">
      <c r="A11" s="1020"/>
      <c r="B11" s="593">
        <v>7</v>
      </c>
      <c r="C11" s="601">
        <v>40</v>
      </c>
      <c r="D11" s="602">
        <v>-0.3</v>
      </c>
      <c r="E11" s="602">
        <v>-0.8</v>
      </c>
      <c r="F11" s="588">
        <v>0</v>
      </c>
      <c r="G11" s="595">
        <f t="shared" si="0"/>
        <v>0.4</v>
      </c>
      <c r="I11" s="593">
        <v>7</v>
      </c>
      <c r="J11" s="601">
        <v>90</v>
      </c>
      <c r="K11" s="602">
        <v>-1.6</v>
      </c>
      <c r="L11" s="602">
        <v>4.5</v>
      </c>
      <c r="M11" s="596"/>
      <c r="N11" s="595">
        <f t="shared" si="1"/>
        <v>3.05</v>
      </c>
      <c r="P11" s="593">
        <v>7</v>
      </c>
      <c r="Q11" s="601">
        <v>1020</v>
      </c>
      <c r="R11" s="602" t="s">
        <v>16</v>
      </c>
      <c r="S11" s="602" t="s">
        <v>16</v>
      </c>
      <c r="T11" s="598"/>
      <c r="U11" s="595">
        <f t="shared" si="2"/>
        <v>0</v>
      </c>
    </row>
    <row r="12" spans="1:24" ht="13.5" thickBot="1" x14ac:dyDescent="0.35">
      <c r="A12" s="603"/>
      <c r="B12" s="603"/>
      <c r="O12" s="604"/>
      <c r="P12" s="605"/>
    </row>
    <row r="13" spans="1:24" x14ac:dyDescent="0.25">
      <c r="A13" s="1020">
        <v>2</v>
      </c>
      <c r="B13" s="1021" t="s">
        <v>330</v>
      </c>
      <c r="C13" s="1021"/>
      <c r="D13" s="1021"/>
      <c r="E13" s="1021"/>
      <c r="F13" s="1021"/>
      <c r="G13" s="1021"/>
      <c r="I13" s="1021" t="str">
        <f>B13</f>
        <v>KOREKSI KIMO THERMOHYGROMETER 15062874</v>
      </c>
      <c r="J13" s="1021"/>
      <c r="K13" s="1021"/>
      <c r="L13" s="1021"/>
      <c r="M13" s="1021"/>
      <c r="N13" s="1021"/>
      <c r="P13" s="1021" t="str">
        <f>I13</f>
        <v>KOREKSI KIMO THERMOHYGROMETER 15062874</v>
      </c>
      <c r="Q13" s="1021"/>
      <c r="R13" s="1021"/>
      <c r="S13" s="1021"/>
      <c r="T13" s="1021"/>
      <c r="U13" s="1021"/>
      <c r="W13" s="1015" t="s">
        <v>251</v>
      </c>
      <c r="X13" s="1016"/>
    </row>
    <row r="14" spans="1:24" ht="13" x14ac:dyDescent="0.25">
      <c r="A14" s="1020"/>
      <c r="B14" s="1017" t="s">
        <v>325</v>
      </c>
      <c r="C14" s="1017"/>
      <c r="D14" s="1017" t="s">
        <v>244</v>
      </c>
      <c r="E14" s="1017"/>
      <c r="F14" s="1017"/>
      <c r="G14" s="1017" t="s">
        <v>239</v>
      </c>
      <c r="I14" s="1017" t="s">
        <v>326</v>
      </c>
      <c r="J14" s="1017"/>
      <c r="K14" s="1017" t="s">
        <v>244</v>
      </c>
      <c r="L14" s="1017"/>
      <c r="M14" s="1017"/>
      <c r="N14" s="1017" t="s">
        <v>239</v>
      </c>
      <c r="P14" s="1017" t="s">
        <v>327</v>
      </c>
      <c r="Q14" s="1017"/>
      <c r="R14" s="1017" t="s">
        <v>244</v>
      </c>
      <c r="S14" s="1017"/>
      <c r="T14" s="1017"/>
      <c r="U14" s="1017" t="s">
        <v>239</v>
      </c>
      <c r="W14" s="590" t="s">
        <v>325</v>
      </c>
      <c r="X14" s="591">
        <v>0.5</v>
      </c>
    </row>
    <row r="15" spans="1:24" ht="14.5" x14ac:dyDescent="0.25">
      <c r="A15" s="1020"/>
      <c r="B15" s="1018" t="s">
        <v>328</v>
      </c>
      <c r="C15" s="1018"/>
      <c r="D15" s="592">
        <v>2023</v>
      </c>
      <c r="E15" s="592">
        <v>2021</v>
      </c>
      <c r="F15" s="592">
        <v>2018</v>
      </c>
      <c r="G15" s="1017"/>
      <c r="I15" s="1019" t="s">
        <v>41</v>
      </c>
      <c r="J15" s="1018"/>
      <c r="K15" s="592">
        <f>D15</f>
        <v>2023</v>
      </c>
      <c r="L15" s="592">
        <f>E15</f>
        <v>2021</v>
      </c>
      <c r="M15" s="592">
        <v>2016</v>
      </c>
      <c r="N15" s="1017"/>
      <c r="P15" s="1019" t="s">
        <v>329</v>
      </c>
      <c r="Q15" s="1018"/>
      <c r="R15" s="592">
        <f>K15</f>
        <v>2023</v>
      </c>
      <c r="S15" s="592">
        <f>L15</f>
        <v>2021</v>
      </c>
      <c r="T15" s="592">
        <v>2016</v>
      </c>
      <c r="U15" s="1017"/>
      <c r="W15" s="590" t="s">
        <v>41</v>
      </c>
      <c r="X15" s="591">
        <v>3.3</v>
      </c>
    </row>
    <row r="16" spans="1:24" ht="13.5" thickBot="1" x14ac:dyDescent="0.3">
      <c r="A16" s="1020"/>
      <c r="B16" s="593">
        <v>1</v>
      </c>
      <c r="C16" s="588">
        <v>15</v>
      </c>
      <c r="D16" s="594">
        <v>0.2</v>
      </c>
      <c r="E16" s="594">
        <v>0.4</v>
      </c>
      <c r="F16" s="594">
        <v>9.9999999999999995E-7</v>
      </c>
      <c r="G16" s="595">
        <f>0.5*(MAX(D16:F16)-MIN(D16:F16))</f>
        <v>0.19999950000000002</v>
      </c>
      <c r="I16" s="593">
        <v>1</v>
      </c>
      <c r="J16" s="588">
        <v>35</v>
      </c>
      <c r="K16" s="594">
        <v>-12.6</v>
      </c>
      <c r="L16" s="594">
        <v>-6.9</v>
      </c>
      <c r="M16" s="594">
        <v>-1.6</v>
      </c>
      <c r="N16" s="595">
        <f>0.5*(MAX(K16:M16)-MIN(K16:M16))</f>
        <v>5.5</v>
      </c>
      <c r="P16" s="593">
        <v>1</v>
      </c>
      <c r="Q16" s="588">
        <v>750</v>
      </c>
      <c r="R16" s="597" t="s">
        <v>16</v>
      </c>
      <c r="S16" s="597" t="s">
        <v>16</v>
      </c>
      <c r="T16" s="598"/>
      <c r="U16" s="595">
        <f>0.5*(MAX(R16:T16)-MIN(R16:T16))</f>
        <v>0</v>
      </c>
      <c r="W16" s="599" t="s">
        <v>329</v>
      </c>
      <c r="X16" s="600">
        <v>0</v>
      </c>
    </row>
    <row r="17" spans="1:24" ht="13" x14ac:dyDescent="0.25">
      <c r="A17" s="1020"/>
      <c r="B17" s="593">
        <v>2</v>
      </c>
      <c r="C17" s="588">
        <v>20</v>
      </c>
      <c r="D17" s="594">
        <v>0.2</v>
      </c>
      <c r="E17" s="594">
        <v>0.7</v>
      </c>
      <c r="F17" s="594">
        <v>-0.1</v>
      </c>
      <c r="G17" s="595">
        <f t="shared" ref="G17:G22" si="3">0.5*(MAX(D17:F17)-MIN(D17:F17))</f>
        <v>0.39999999999999997</v>
      </c>
      <c r="I17" s="593">
        <v>2</v>
      </c>
      <c r="J17" s="588">
        <v>40</v>
      </c>
      <c r="K17" s="594">
        <v>-10.3</v>
      </c>
      <c r="L17" s="594">
        <v>-6.2</v>
      </c>
      <c r="M17" s="594">
        <v>-1.6</v>
      </c>
      <c r="N17" s="595">
        <f t="shared" ref="N17:N22" si="4">0.5*(MAX(K17:M17)-MIN(K17:M17))</f>
        <v>4.3500000000000005</v>
      </c>
      <c r="P17" s="593">
        <v>2</v>
      </c>
      <c r="Q17" s="588">
        <v>800</v>
      </c>
      <c r="R17" s="597" t="s">
        <v>16</v>
      </c>
      <c r="S17" s="597" t="s">
        <v>16</v>
      </c>
      <c r="T17" s="598"/>
      <c r="U17" s="595">
        <f t="shared" ref="U17:U22" si="5">0.5*(MAX(R17:T17)-MIN(R17:T17))</f>
        <v>0</v>
      </c>
    </row>
    <row r="18" spans="1:24" ht="13" x14ac:dyDescent="0.25">
      <c r="A18" s="1020"/>
      <c r="B18" s="593">
        <v>3</v>
      </c>
      <c r="C18" s="588">
        <v>25</v>
      </c>
      <c r="D18" s="594">
        <v>0.3</v>
      </c>
      <c r="E18" s="594">
        <v>0.5</v>
      </c>
      <c r="F18" s="594">
        <v>-0.2</v>
      </c>
      <c r="G18" s="595">
        <f t="shared" si="3"/>
        <v>0.35</v>
      </c>
      <c r="I18" s="593">
        <v>3</v>
      </c>
      <c r="J18" s="588">
        <v>50</v>
      </c>
      <c r="K18" s="594">
        <v>-8</v>
      </c>
      <c r="L18" s="594">
        <v>-5.3</v>
      </c>
      <c r="M18" s="594">
        <v>-1.5</v>
      </c>
      <c r="N18" s="595">
        <f t="shared" si="4"/>
        <v>3.25</v>
      </c>
      <c r="P18" s="593">
        <v>3</v>
      </c>
      <c r="Q18" s="588">
        <v>850</v>
      </c>
      <c r="R18" s="597" t="s">
        <v>16</v>
      </c>
      <c r="S18" s="597" t="s">
        <v>16</v>
      </c>
      <c r="T18" s="598"/>
      <c r="U18" s="595">
        <f t="shared" si="5"/>
        <v>0</v>
      </c>
    </row>
    <row r="19" spans="1:24" ht="13" x14ac:dyDescent="0.25">
      <c r="A19" s="1020"/>
      <c r="B19" s="593">
        <v>4</v>
      </c>
      <c r="C19" s="601">
        <v>30</v>
      </c>
      <c r="D19" s="602">
        <v>0.4</v>
      </c>
      <c r="E19" s="602">
        <v>0.2</v>
      </c>
      <c r="F19" s="602">
        <v>-0.3</v>
      </c>
      <c r="G19" s="595">
        <f t="shared" si="3"/>
        <v>0.35</v>
      </c>
      <c r="I19" s="593">
        <v>4</v>
      </c>
      <c r="J19" s="601">
        <v>60</v>
      </c>
      <c r="K19" s="602">
        <v>-5.7</v>
      </c>
      <c r="L19" s="602">
        <v>-4</v>
      </c>
      <c r="M19" s="602">
        <v>-1.3</v>
      </c>
      <c r="N19" s="595">
        <f t="shared" si="4"/>
        <v>2.2000000000000002</v>
      </c>
      <c r="P19" s="593">
        <v>4</v>
      </c>
      <c r="Q19" s="601">
        <v>900</v>
      </c>
      <c r="R19" s="602" t="s">
        <v>16</v>
      </c>
      <c r="S19" s="602" t="s">
        <v>16</v>
      </c>
      <c r="T19" s="598"/>
      <c r="U19" s="595">
        <f t="shared" si="5"/>
        <v>0</v>
      </c>
    </row>
    <row r="20" spans="1:24" ht="13" x14ac:dyDescent="0.25">
      <c r="A20" s="1020"/>
      <c r="B20" s="593">
        <v>5</v>
      </c>
      <c r="C20" s="601">
        <v>35</v>
      </c>
      <c r="D20" s="602">
        <v>0.5</v>
      </c>
      <c r="E20" s="602">
        <v>-0.1</v>
      </c>
      <c r="F20" s="602">
        <v>-0.3</v>
      </c>
      <c r="G20" s="595">
        <f t="shared" si="3"/>
        <v>0.4</v>
      </c>
      <c r="I20" s="593">
        <v>5</v>
      </c>
      <c r="J20" s="601">
        <v>70</v>
      </c>
      <c r="K20" s="602">
        <v>-3.4</v>
      </c>
      <c r="L20" s="602">
        <v>-2.4</v>
      </c>
      <c r="M20" s="602">
        <v>-1.1000000000000001</v>
      </c>
      <c r="N20" s="595">
        <f t="shared" si="4"/>
        <v>1.1499999999999999</v>
      </c>
      <c r="P20" s="593">
        <v>5</v>
      </c>
      <c r="Q20" s="601">
        <v>1000</v>
      </c>
      <c r="R20" s="602" t="s">
        <v>16</v>
      </c>
      <c r="S20" s="602" t="s">
        <v>16</v>
      </c>
      <c r="T20" s="598"/>
      <c r="U20" s="595">
        <f t="shared" si="5"/>
        <v>0</v>
      </c>
    </row>
    <row r="21" spans="1:24" ht="13" x14ac:dyDescent="0.25">
      <c r="A21" s="1020"/>
      <c r="B21" s="593">
        <v>6</v>
      </c>
      <c r="C21" s="601">
        <v>37</v>
      </c>
      <c r="D21" s="602">
        <v>0.6</v>
      </c>
      <c r="E21" s="602">
        <v>-0.2</v>
      </c>
      <c r="F21" s="602">
        <v>-0.3</v>
      </c>
      <c r="G21" s="595">
        <f t="shared" si="3"/>
        <v>0.44999999999999996</v>
      </c>
      <c r="I21" s="593">
        <v>6</v>
      </c>
      <c r="J21" s="601">
        <v>80</v>
      </c>
      <c r="K21" s="602">
        <v>-1.1000000000000001</v>
      </c>
      <c r="L21" s="602">
        <v>-0.5</v>
      </c>
      <c r="M21" s="602">
        <v>-0.7</v>
      </c>
      <c r="N21" s="595">
        <f t="shared" si="4"/>
        <v>0.30000000000000004</v>
      </c>
      <c r="P21" s="593">
        <v>6</v>
      </c>
      <c r="Q21" s="601">
        <v>1005</v>
      </c>
      <c r="R21" s="602" t="s">
        <v>16</v>
      </c>
      <c r="S21" s="602" t="s">
        <v>16</v>
      </c>
      <c r="T21" s="598"/>
      <c r="U21" s="595">
        <f t="shared" si="5"/>
        <v>0</v>
      </c>
    </row>
    <row r="22" spans="1:24" ht="13.5" thickBot="1" x14ac:dyDescent="0.3">
      <c r="A22" s="1020"/>
      <c r="B22" s="593">
        <v>7</v>
      </c>
      <c r="C22" s="601">
        <v>40</v>
      </c>
      <c r="D22" s="602">
        <v>0.6</v>
      </c>
      <c r="E22" s="602">
        <v>-0.1</v>
      </c>
      <c r="F22" s="602">
        <v>-0.3</v>
      </c>
      <c r="G22" s="595">
        <f t="shared" si="3"/>
        <v>0.44999999999999996</v>
      </c>
      <c r="I22" s="593">
        <v>7</v>
      </c>
      <c r="J22" s="601">
        <v>90</v>
      </c>
      <c r="K22" s="602">
        <v>1.2</v>
      </c>
      <c r="L22" s="602">
        <v>1.7</v>
      </c>
      <c r="M22" s="602">
        <v>-0.3</v>
      </c>
      <c r="N22" s="595">
        <f t="shared" si="4"/>
        <v>1</v>
      </c>
      <c r="P22" s="593">
        <v>7</v>
      </c>
      <c r="Q22" s="601">
        <v>1020</v>
      </c>
      <c r="R22" s="602" t="s">
        <v>16</v>
      </c>
      <c r="S22" s="602" t="s">
        <v>16</v>
      </c>
      <c r="T22" s="598"/>
      <c r="U22" s="595">
        <f t="shared" si="5"/>
        <v>0</v>
      </c>
    </row>
    <row r="23" spans="1:24" ht="13.5" thickBot="1" x14ac:dyDescent="0.35">
      <c r="A23" s="603"/>
      <c r="B23" s="603"/>
      <c r="O23" s="604"/>
      <c r="P23" s="605"/>
    </row>
    <row r="24" spans="1:24" x14ac:dyDescent="0.25">
      <c r="A24" s="1024">
        <v>3</v>
      </c>
      <c r="B24" s="1021" t="s">
        <v>331</v>
      </c>
      <c r="C24" s="1021"/>
      <c r="D24" s="1021"/>
      <c r="E24" s="1021"/>
      <c r="F24" s="1021"/>
      <c r="G24" s="1021"/>
      <c r="I24" s="1021" t="str">
        <f>B24</f>
        <v>KOREKSI KIMO THERMOHYGROMETER 14082463</v>
      </c>
      <c r="J24" s="1021"/>
      <c r="K24" s="1021"/>
      <c r="L24" s="1021"/>
      <c r="M24" s="1021"/>
      <c r="N24" s="1021"/>
      <c r="P24" s="1021" t="str">
        <f>I24</f>
        <v>KOREKSI KIMO THERMOHYGROMETER 14082463</v>
      </c>
      <c r="Q24" s="1021"/>
      <c r="R24" s="1021"/>
      <c r="S24" s="1021"/>
      <c r="T24" s="1021"/>
      <c r="U24" s="1021"/>
      <c r="W24" s="1015" t="s">
        <v>251</v>
      </c>
      <c r="X24" s="1016"/>
    </row>
    <row r="25" spans="1:24" ht="13" x14ac:dyDescent="0.25">
      <c r="A25" s="1025"/>
      <c r="B25" s="1017" t="s">
        <v>325</v>
      </c>
      <c r="C25" s="1017"/>
      <c r="D25" s="1017" t="s">
        <v>244</v>
      </c>
      <c r="E25" s="1017"/>
      <c r="F25" s="1017"/>
      <c r="G25" s="1017" t="s">
        <v>239</v>
      </c>
      <c r="I25" s="1017" t="s">
        <v>326</v>
      </c>
      <c r="J25" s="1017"/>
      <c r="K25" s="1017" t="s">
        <v>244</v>
      </c>
      <c r="L25" s="1017"/>
      <c r="M25" s="1017"/>
      <c r="N25" s="1017" t="s">
        <v>239</v>
      </c>
      <c r="P25" s="1017" t="s">
        <v>327</v>
      </c>
      <c r="Q25" s="1017"/>
      <c r="R25" s="1017" t="s">
        <v>244</v>
      </c>
      <c r="S25" s="1017"/>
      <c r="T25" s="1017"/>
      <c r="U25" s="1017" t="s">
        <v>239</v>
      </c>
      <c r="W25" s="590" t="s">
        <v>325</v>
      </c>
      <c r="X25" s="591">
        <v>0.5</v>
      </c>
    </row>
    <row r="26" spans="1:24" ht="14.5" x14ac:dyDescent="0.25">
      <c r="A26" s="1025"/>
      <c r="B26" s="1018" t="s">
        <v>328</v>
      </c>
      <c r="C26" s="1018"/>
      <c r="D26" s="592">
        <v>2023</v>
      </c>
      <c r="E26" s="592">
        <v>2021</v>
      </c>
      <c r="F26" s="592">
        <v>2018</v>
      </c>
      <c r="G26" s="1017"/>
      <c r="I26" s="1019" t="s">
        <v>41</v>
      </c>
      <c r="J26" s="1018"/>
      <c r="K26" s="592">
        <f>D26</f>
        <v>2023</v>
      </c>
      <c r="L26" s="592">
        <f>E26</f>
        <v>2021</v>
      </c>
      <c r="M26" s="592">
        <v>2016</v>
      </c>
      <c r="N26" s="1017"/>
      <c r="P26" s="1019" t="s">
        <v>329</v>
      </c>
      <c r="Q26" s="1018"/>
      <c r="R26" s="592">
        <f>K26</f>
        <v>2023</v>
      </c>
      <c r="S26" s="592">
        <f>L26</f>
        <v>2021</v>
      </c>
      <c r="T26" s="592">
        <v>2016</v>
      </c>
      <c r="U26" s="1017"/>
      <c r="W26" s="590" t="s">
        <v>41</v>
      </c>
      <c r="X26" s="591">
        <v>2.4</v>
      </c>
    </row>
    <row r="27" spans="1:24" ht="13.5" thickBot="1" x14ac:dyDescent="0.3">
      <c r="A27" s="1025"/>
      <c r="B27" s="593">
        <v>1</v>
      </c>
      <c r="C27" s="588">
        <v>15</v>
      </c>
      <c r="D27" s="594">
        <v>0.2</v>
      </c>
      <c r="E27" s="594">
        <v>0.4</v>
      </c>
      <c r="F27" s="594">
        <v>9.9999999999999995E-7</v>
      </c>
      <c r="G27" s="595">
        <f>0.5*(MAX(D27:F27)-MIN(D27:F27))</f>
        <v>0.19999950000000002</v>
      </c>
      <c r="I27" s="593">
        <v>1</v>
      </c>
      <c r="J27" s="588">
        <v>35</v>
      </c>
      <c r="K27" s="594">
        <v>-11.5</v>
      </c>
      <c r="L27" s="594">
        <v>-7.3</v>
      </c>
      <c r="M27" s="594">
        <v>-5.7</v>
      </c>
      <c r="N27" s="595">
        <f>0.5*(MAX(K27:M27)-MIN(K27:M27))</f>
        <v>2.9</v>
      </c>
      <c r="P27" s="593">
        <v>1</v>
      </c>
      <c r="Q27" s="588">
        <v>750</v>
      </c>
      <c r="R27" s="597" t="s">
        <v>16</v>
      </c>
      <c r="S27" s="597" t="s">
        <v>16</v>
      </c>
      <c r="T27" s="588"/>
      <c r="U27" s="595">
        <f>0.5*(MAX(R27:T27)-MIN(R27:T27))</f>
        <v>0</v>
      </c>
      <c r="W27" s="599" t="s">
        <v>329</v>
      </c>
      <c r="X27" s="600">
        <v>0</v>
      </c>
    </row>
    <row r="28" spans="1:24" ht="13" x14ac:dyDescent="0.25">
      <c r="A28" s="1025"/>
      <c r="B28" s="593">
        <v>2</v>
      </c>
      <c r="C28" s="588">
        <v>20</v>
      </c>
      <c r="D28" s="594">
        <v>0.2</v>
      </c>
      <c r="E28" s="594">
        <v>1</v>
      </c>
      <c r="F28" s="594">
        <v>9.9999999999999995E-7</v>
      </c>
      <c r="G28" s="595">
        <f t="shared" ref="G28:G33" si="6">0.5*(MAX(D28:F28)-MIN(D28:F28))</f>
        <v>0.49999949999999999</v>
      </c>
      <c r="I28" s="593">
        <v>2</v>
      </c>
      <c r="J28" s="588">
        <v>40</v>
      </c>
      <c r="K28" s="594">
        <v>-9.6999999999999993</v>
      </c>
      <c r="L28" s="594">
        <v>-5.9</v>
      </c>
      <c r="M28" s="594">
        <v>-5.3</v>
      </c>
      <c r="N28" s="595">
        <f t="shared" ref="N28:N33" si="7">0.5*(MAX(K28:M28)-MIN(K28:M28))</f>
        <v>2.1999999999999997</v>
      </c>
      <c r="P28" s="593">
        <v>2</v>
      </c>
      <c r="Q28" s="588">
        <v>800</v>
      </c>
      <c r="R28" s="597" t="s">
        <v>16</v>
      </c>
      <c r="S28" s="597" t="s">
        <v>16</v>
      </c>
      <c r="T28" s="588"/>
      <c r="U28" s="595">
        <f t="shared" ref="U28:U33" si="8">0.5*(MAX(R28:T28)-MIN(R28:T28))</f>
        <v>0</v>
      </c>
    </row>
    <row r="29" spans="1:24" ht="13" x14ac:dyDescent="0.25">
      <c r="A29" s="1025"/>
      <c r="B29" s="593">
        <v>3</v>
      </c>
      <c r="C29" s="588">
        <v>25</v>
      </c>
      <c r="D29" s="594">
        <v>0.3</v>
      </c>
      <c r="E29" s="594">
        <v>0.7</v>
      </c>
      <c r="F29" s="594">
        <v>-0.1</v>
      </c>
      <c r="G29" s="595">
        <f t="shared" si="6"/>
        <v>0.39999999999999997</v>
      </c>
      <c r="I29" s="593">
        <v>3</v>
      </c>
      <c r="J29" s="588">
        <v>50</v>
      </c>
      <c r="K29" s="594">
        <v>-7.9</v>
      </c>
      <c r="L29" s="594">
        <v>-4.5</v>
      </c>
      <c r="M29" s="594">
        <v>-4.9000000000000004</v>
      </c>
      <c r="N29" s="595">
        <f t="shared" si="7"/>
        <v>1.7000000000000002</v>
      </c>
      <c r="P29" s="593">
        <v>3</v>
      </c>
      <c r="Q29" s="588">
        <v>850</v>
      </c>
      <c r="R29" s="597" t="s">
        <v>16</v>
      </c>
      <c r="S29" s="597" t="s">
        <v>16</v>
      </c>
      <c r="T29" s="588"/>
      <c r="U29" s="595">
        <f t="shared" si="8"/>
        <v>0</v>
      </c>
    </row>
    <row r="30" spans="1:24" ht="13" x14ac:dyDescent="0.25">
      <c r="A30" s="1025"/>
      <c r="B30" s="593">
        <v>4</v>
      </c>
      <c r="C30" s="601">
        <v>30</v>
      </c>
      <c r="D30" s="594">
        <v>0.3</v>
      </c>
      <c r="E30" s="594">
        <v>9.9999999999999995E-7</v>
      </c>
      <c r="F30" s="602">
        <v>-0.3</v>
      </c>
      <c r="G30" s="595">
        <f t="shared" si="6"/>
        <v>0.3</v>
      </c>
      <c r="I30" s="593">
        <v>4</v>
      </c>
      <c r="J30" s="601">
        <v>60</v>
      </c>
      <c r="K30" s="602">
        <v>-6.2</v>
      </c>
      <c r="L30" s="602">
        <v>-3.2</v>
      </c>
      <c r="M30" s="602">
        <v>-4.3</v>
      </c>
      <c r="N30" s="595">
        <f t="shared" si="7"/>
        <v>1.5</v>
      </c>
      <c r="P30" s="593">
        <v>4</v>
      </c>
      <c r="Q30" s="601">
        <v>900</v>
      </c>
      <c r="R30" s="602" t="s">
        <v>16</v>
      </c>
      <c r="S30" s="602" t="s">
        <v>16</v>
      </c>
      <c r="T30" s="588"/>
      <c r="U30" s="595">
        <f t="shared" si="8"/>
        <v>0</v>
      </c>
    </row>
    <row r="31" spans="1:24" ht="13" x14ac:dyDescent="0.25">
      <c r="A31" s="1025"/>
      <c r="B31" s="593">
        <v>5</v>
      </c>
      <c r="C31" s="601">
        <v>35</v>
      </c>
      <c r="D31" s="594">
        <v>0.3</v>
      </c>
      <c r="E31" s="602">
        <v>-0.3</v>
      </c>
      <c r="F31" s="602">
        <v>-0.5</v>
      </c>
      <c r="G31" s="595">
        <f t="shared" si="6"/>
        <v>0.4</v>
      </c>
      <c r="I31" s="593">
        <v>5</v>
      </c>
      <c r="J31" s="601">
        <v>70</v>
      </c>
      <c r="K31" s="602">
        <v>-4.4000000000000004</v>
      </c>
      <c r="L31" s="602">
        <v>-2</v>
      </c>
      <c r="M31" s="602">
        <v>-3.6</v>
      </c>
      <c r="N31" s="595">
        <f t="shared" si="7"/>
        <v>1.2000000000000002</v>
      </c>
      <c r="P31" s="593">
        <v>5</v>
      </c>
      <c r="Q31" s="601">
        <v>1000</v>
      </c>
      <c r="R31" s="602" t="s">
        <v>16</v>
      </c>
      <c r="S31" s="602" t="s">
        <v>16</v>
      </c>
      <c r="T31" s="588"/>
      <c r="U31" s="595">
        <f t="shared" si="8"/>
        <v>0</v>
      </c>
    </row>
    <row r="32" spans="1:24" ht="13" x14ac:dyDescent="0.25">
      <c r="A32" s="1025"/>
      <c r="B32" s="593">
        <v>6</v>
      </c>
      <c r="C32" s="601">
        <v>37</v>
      </c>
      <c r="D32" s="594">
        <v>0.3</v>
      </c>
      <c r="E32" s="602">
        <v>-0.2</v>
      </c>
      <c r="F32" s="602">
        <v>-0.6</v>
      </c>
      <c r="G32" s="595">
        <f t="shared" si="6"/>
        <v>0.44999999999999996</v>
      </c>
      <c r="I32" s="593">
        <v>6</v>
      </c>
      <c r="J32" s="601">
        <v>80</v>
      </c>
      <c r="K32" s="602">
        <v>-2.7</v>
      </c>
      <c r="L32" s="602">
        <v>-0.8</v>
      </c>
      <c r="M32" s="602">
        <v>-2.9</v>
      </c>
      <c r="N32" s="595">
        <f t="shared" si="7"/>
        <v>1.0499999999999998</v>
      </c>
      <c r="P32" s="593">
        <v>6</v>
      </c>
      <c r="Q32" s="601">
        <v>1005</v>
      </c>
      <c r="R32" s="602" t="s">
        <v>16</v>
      </c>
      <c r="S32" s="602" t="s">
        <v>16</v>
      </c>
      <c r="T32" s="588"/>
      <c r="U32" s="595">
        <f t="shared" si="8"/>
        <v>0</v>
      </c>
    </row>
    <row r="33" spans="1:24" ht="13.5" thickBot="1" x14ac:dyDescent="0.3">
      <c r="A33" s="1026"/>
      <c r="B33" s="593">
        <v>7</v>
      </c>
      <c r="C33" s="601">
        <v>40</v>
      </c>
      <c r="D33" s="594">
        <v>0.3</v>
      </c>
      <c r="E33" s="602">
        <v>0.2</v>
      </c>
      <c r="F33" s="602">
        <v>-0.7</v>
      </c>
      <c r="G33" s="595">
        <f t="shared" si="6"/>
        <v>0.5</v>
      </c>
      <c r="I33" s="593">
        <v>7</v>
      </c>
      <c r="J33" s="601">
        <v>90</v>
      </c>
      <c r="K33" s="602">
        <v>-0.9</v>
      </c>
      <c r="L33" s="602">
        <v>0.3</v>
      </c>
      <c r="M33" s="602">
        <v>-2</v>
      </c>
      <c r="N33" s="595">
        <f t="shared" si="7"/>
        <v>1.1499999999999999</v>
      </c>
      <c r="P33" s="593">
        <v>7</v>
      </c>
      <c r="Q33" s="601">
        <v>1020</v>
      </c>
      <c r="R33" s="602" t="s">
        <v>16</v>
      </c>
      <c r="S33" s="602" t="s">
        <v>16</v>
      </c>
      <c r="T33" s="588"/>
      <c r="U33" s="595">
        <f t="shared" si="8"/>
        <v>0</v>
      </c>
    </row>
    <row r="34" spans="1:24" ht="13.5" thickBot="1" x14ac:dyDescent="0.35">
      <c r="A34" s="603"/>
      <c r="B34" s="603"/>
      <c r="H34" s="428"/>
      <c r="O34" s="604"/>
      <c r="P34" s="605"/>
    </row>
    <row r="35" spans="1:24" x14ac:dyDescent="0.25">
      <c r="A35" s="1024">
        <v>4</v>
      </c>
      <c r="B35" s="1021" t="s">
        <v>332</v>
      </c>
      <c r="C35" s="1021"/>
      <c r="D35" s="1021"/>
      <c r="E35" s="1021"/>
      <c r="F35" s="1021"/>
      <c r="G35" s="1021"/>
      <c r="I35" s="1021" t="str">
        <f>B35</f>
        <v>KOREKSI KIMO THERMOHYGROMETER 15062872</v>
      </c>
      <c r="J35" s="1021"/>
      <c r="K35" s="1021"/>
      <c r="L35" s="1021"/>
      <c r="M35" s="1021"/>
      <c r="N35" s="1021"/>
      <c r="P35" s="1021" t="str">
        <f>I35</f>
        <v>KOREKSI KIMO THERMOHYGROMETER 15062872</v>
      </c>
      <c r="Q35" s="1021"/>
      <c r="R35" s="1021"/>
      <c r="S35" s="1021"/>
      <c r="T35" s="1021"/>
      <c r="U35" s="1021"/>
      <c r="W35" s="1015" t="s">
        <v>251</v>
      </c>
      <c r="X35" s="1016"/>
    </row>
    <row r="36" spans="1:24" ht="13" x14ac:dyDescent="0.25">
      <c r="A36" s="1025"/>
      <c r="B36" s="1017" t="s">
        <v>325</v>
      </c>
      <c r="C36" s="1017"/>
      <c r="D36" s="1017" t="s">
        <v>244</v>
      </c>
      <c r="E36" s="1017"/>
      <c r="F36" s="1017"/>
      <c r="G36" s="1017" t="s">
        <v>239</v>
      </c>
      <c r="I36" s="1017" t="s">
        <v>326</v>
      </c>
      <c r="J36" s="1017"/>
      <c r="K36" s="1017" t="s">
        <v>244</v>
      </c>
      <c r="L36" s="1017"/>
      <c r="M36" s="1017"/>
      <c r="N36" s="1017" t="s">
        <v>239</v>
      </c>
      <c r="P36" s="1017" t="s">
        <v>327</v>
      </c>
      <c r="Q36" s="1017"/>
      <c r="R36" s="1017" t="s">
        <v>244</v>
      </c>
      <c r="S36" s="1017"/>
      <c r="T36" s="1017"/>
      <c r="U36" s="1017" t="s">
        <v>239</v>
      </c>
      <c r="W36" s="590" t="s">
        <v>325</v>
      </c>
      <c r="X36" s="591">
        <v>0.3</v>
      </c>
    </row>
    <row r="37" spans="1:24" ht="14.5" x14ac:dyDescent="0.25">
      <c r="A37" s="1025"/>
      <c r="B37" s="1018" t="s">
        <v>328</v>
      </c>
      <c r="C37" s="1018"/>
      <c r="D37" s="592">
        <v>2019</v>
      </c>
      <c r="E37" s="592">
        <v>2017</v>
      </c>
      <c r="F37" s="592">
        <v>2016</v>
      </c>
      <c r="G37" s="1017"/>
      <c r="I37" s="1019" t="s">
        <v>41</v>
      </c>
      <c r="J37" s="1018"/>
      <c r="K37" s="592">
        <f>D37</f>
        <v>2019</v>
      </c>
      <c r="L37" s="592">
        <f>E37</f>
        <v>2017</v>
      </c>
      <c r="M37" s="592">
        <v>2016</v>
      </c>
      <c r="N37" s="1017"/>
      <c r="P37" s="1019" t="s">
        <v>329</v>
      </c>
      <c r="Q37" s="1018"/>
      <c r="R37" s="592">
        <f>K37</f>
        <v>2019</v>
      </c>
      <c r="S37" s="592">
        <f>L37</f>
        <v>2017</v>
      </c>
      <c r="T37" s="592">
        <v>2016</v>
      </c>
      <c r="U37" s="1017"/>
      <c r="W37" s="590" t="s">
        <v>41</v>
      </c>
      <c r="X37" s="591">
        <v>1.3</v>
      </c>
    </row>
    <row r="38" spans="1:24" ht="13.5" thickBot="1" x14ac:dyDescent="0.3">
      <c r="A38" s="1025"/>
      <c r="B38" s="593">
        <v>1</v>
      </c>
      <c r="C38" s="588">
        <v>15</v>
      </c>
      <c r="D38" s="594">
        <v>-0.2</v>
      </c>
      <c r="E38" s="594">
        <v>-0.1</v>
      </c>
      <c r="F38" s="598"/>
      <c r="G38" s="595">
        <f>0.5*(MAX(D38:F38)-MIN(D38:F38))</f>
        <v>0.05</v>
      </c>
      <c r="I38" s="593">
        <v>1</v>
      </c>
      <c r="J38" s="588">
        <v>35</v>
      </c>
      <c r="K38" s="594">
        <v>-4.5</v>
      </c>
      <c r="L38" s="594">
        <v>-1.7</v>
      </c>
      <c r="M38" s="598"/>
      <c r="N38" s="595">
        <f>0.5*(MAX(K38:M38)-MIN(K38:M38))</f>
        <v>1.4</v>
      </c>
      <c r="P38" s="593">
        <v>1</v>
      </c>
      <c r="Q38" s="588">
        <v>750</v>
      </c>
      <c r="R38" s="597" t="s">
        <v>16</v>
      </c>
      <c r="S38" s="597" t="s">
        <v>16</v>
      </c>
      <c r="T38" s="598"/>
      <c r="U38" s="595">
        <f>0.5*(MAX(R38:T38)-MIN(R38:T38))</f>
        <v>0</v>
      </c>
      <c r="W38" s="599" t="s">
        <v>329</v>
      </c>
      <c r="X38" s="600">
        <v>0</v>
      </c>
    </row>
    <row r="39" spans="1:24" ht="13" x14ac:dyDescent="0.25">
      <c r="A39" s="1025"/>
      <c r="B39" s="593">
        <v>2</v>
      </c>
      <c r="C39" s="588">
        <v>20</v>
      </c>
      <c r="D39" s="594">
        <v>-0.1</v>
      </c>
      <c r="E39" s="594">
        <v>-0.3</v>
      </c>
      <c r="F39" s="598"/>
      <c r="G39" s="595">
        <f t="shared" ref="G39:G44" si="9">0.5*(MAX(D39:F39)-MIN(D39:F39))</f>
        <v>9.9999999999999992E-2</v>
      </c>
      <c r="I39" s="593">
        <v>2</v>
      </c>
      <c r="J39" s="588">
        <v>40</v>
      </c>
      <c r="K39" s="594">
        <v>-4.4000000000000004</v>
      </c>
      <c r="L39" s="594">
        <v>-1.5</v>
      </c>
      <c r="M39" s="598"/>
      <c r="N39" s="595">
        <f t="shared" ref="N39:N44" si="10">0.5*(MAX(K39:L39)-MIN(K39:L39))</f>
        <v>1.4500000000000002</v>
      </c>
      <c r="P39" s="593">
        <v>2</v>
      </c>
      <c r="Q39" s="588">
        <v>800</v>
      </c>
      <c r="R39" s="597" t="s">
        <v>16</v>
      </c>
      <c r="S39" s="597" t="s">
        <v>16</v>
      </c>
      <c r="T39" s="598"/>
      <c r="U39" s="595">
        <f t="shared" ref="U39:U44" si="11">0.5*(MAX(R39:T39)-MIN(R39:T39))</f>
        <v>0</v>
      </c>
    </row>
    <row r="40" spans="1:24" ht="13" x14ac:dyDescent="0.25">
      <c r="A40" s="1025"/>
      <c r="B40" s="593">
        <v>3</v>
      </c>
      <c r="C40" s="588">
        <v>25</v>
      </c>
      <c r="D40" s="594">
        <v>-0.1</v>
      </c>
      <c r="E40" s="594">
        <v>-0.5</v>
      </c>
      <c r="F40" s="598"/>
      <c r="G40" s="595">
        <f t="shared" si="9"/>
        <v>0.2</v>
      </c>
      <c r="I40" s="593">
        <v>3</v>
      </c>
      <c r="J40" s="588">
        <v>50</v>
      </c>
      <c r="K40" s="594">
        <v>-4.3</v>
      </c>
      <c r="L40" s="594">
        <v>-1</v>
      </c>
      <c r="M40" s="598"/>
      <c r="N40" s="595">
        <f t="shared" si="10"/>
        <v>1.65</v>
      </c>
      <c r="P40" s="593">
        <v>3</v>
      </c>
      <c r="Q40" s="588">
        <v>850</v>
      </c>
      <c r="R40" s="597" t="s">
        <v>16</v>
      </c>
      <c r="S40" s="597" t="s">
        <v>16</v>
      </c>
      <c r="T40" s="598"/>
      <c r="U40" s="595">
        <f t="shared" si="11"/>
        <v>0</v>
      </c>
    </row>
    <row r="41" spans="1:24" ht="13" x14ac:dyDescent="0.25">
      <c r="A41" s="1025"/>
      <c r="B41" s="593">
        <v>4</v>
      </c>
      <c r="C41" s="601">
        <v>30</v>
      </c>
      <c r="D41" s="602">
        <v>-0.1</v>
      </c>
      <c r="E41" s="602">
        <v>-0.6</v>
      </c>
      <c r="F41" s="598"/>
      <c r="G41" s="595">
        <f t="shared" si="9"/>
        <v>0.25</v>
      </c>
      <c r="I41" s="593">
        <v>4</v>
      </c>
      <c r="J41" s="601">
        <v>60</v>
      </c>
      <c r="K41" s="602">
        <v>-4.2</v>
      </c>
      <c r="L41" s="602">
        <v>-0.3</v>
      </c>
      <c r="M41" s="598"/>
      <c r="N41" s="595">
        <f t="shared" si="10"/>
        <v>1.9500000000000002</v>
      </c>
      <c r="P41" s="593">
        <v>4</v>
      </c>
      <c r="Q41" s="601">
        <v>900</v>
      </c>
      <c r="R41" s="602" t="s">
        <v>16</v>
      </c>
      <c r="S41" s="602" t="s">
        <v>16</v>
      </c>
      <c r="T41" s="598"/>
      <c r="U41" s="595">
        <f t="shared" si="11"/>
        <v>0</v>
      </c>
    </row>
    <row r="42" spans="1:24" ht="13" x14ac:dyDescent="0.25">
      <c r="A42" s="1025"/>
      <c r="B42" s="593">
        <v>5</v>
      </c>
      <c r="C42" s="601">
        <v>35</v>
      </c>
      <c r="D42" s="602">
        <v>-0.3</v>
      </c>
      <c r="E42" s="602">
        <v>-0.6</v>
      </c>
      <c r="F42" s="598"/>
      <c r="G42" s="595">
        <f t="shared" si="9"/>
        <v>0.15</v>
      </c>
      <c r="I42" s="593">
        <v>5</v>
      </c>
      <c r="J42" s="601">
        <v>70</v>
      </c>
      <c r="K42" s="602">
        <v>-4</v>
      </c>
      <c r="L42" s="602">
        <v>0.7</v>
      </c>
      <c r="M42" s="598"/>
      <c r="N42" s="595">
        <f t="shared" si="10"/>
        <v>2.35</v>
      </c>
      <c r="P42" s="593">
        <v>5</v>
      </c>
      <c r="Q42" s="601">
        <v>1000</v>
      </c>
      <c r="R42" s="602" t="s">
        <v>16</v>
      </c>
      <c r="S42" s="602" t="s">
        <v>16</v>
      </c>
      <c r="T42" s="598"/>
      <c r="U42" s="595">
        <f t="shared" si="11"/>
        <v>0</v>
      </c>
    </row>
    <row r="43" spans="1:24" ht="13" x14ac:dyDescent="0.25">
      <c r="A43" s="1025"/>
      <c r="B43" s="593">
        <v>6</v>
      </c>
      <c r="C43" s="601">
        <v>37</v>
      </c>
      <c r="D43" s="602">
        <v>-0.4</v>
      </c>
      <c r="E43" s="602">
        <v>-0.6</v>
      </c>
      <c r="F43" s="598"/>
      <c r="G43" s="595">
        <f t="shared" si="9"/>
        <v>9.9999999999999978E-2</v>
      </c>
      <c r="I43" s="593">
        <v>6</v>
      </c>
      <c r="J43" s="601">
        <v>80</v>
      </c>
      <c r="K43" s="602">
        <v>-3.8</v>
      </c>
      <c r="L43" s="602">
        <v>1.9</v>
      </c>
      <c r="M43" s="598"/>
      <c r="N43" s="595">
        <f t="shared" si="10"/>
        <v>2.8499999999999996</v>
      </c>
      <c r="P43" s="593">
        <v>6</v>
      </c>
      <c r="Q43" s="601">
        <v>1005</v>
      </c>
      <c r="R43" s="602" t="s">
        <v>16</v>
      </c>
      <c r="S43" s="602" t="s">
        <v>16</v>
      </c>
      <c r="T43" s="598"/>
      <c r="U43" s="595">
        <f t="shared" si="11"/>
        <v>0</v>
      </c>
    </row>
    <row r="44" spans="1:24" ht="13.5" thickBot="1" x14ac:dyDescent="0.3">
      <c r="A44" s="1026"/>
      <c r="B44" s="593">
        <v>7</v>
      </c>
      <c r="C44" s="601">
        <v>40</v>
      </c>
      <c r="D44" s="602">
        <v>-0.5</v>
      </c>
      <c r="E44" s="602">
        <v>-0.6</v>
      </c>
      <c r="F44" s="598"/>
      <c r="G44" s="595">
        <f t="shared" si="9"/>
        <v>4.9999999999999989E-2</v>
      </c>
      <c r="I44" s="593">
        <v>7</v>
      </c>
      <c r="J44" s="601">
        <v>90</v>
      </c>
      <c r="K44" s="602">
        <v>-3.5</v>
      </c>
      <c r="L44" s="602">
        <v>3.3</v>
      </c>
      <c r="M44" s="598"/>
      <c r="N44" s="595">
        <f t="shared" si="10"/>
        <v>3.4</v>
      </c>
      <c r="P44" s="593">
        <v>7</v>
      </c>
      <c r="Q44" s="601">
        <v>1020</v>
      </c>
      <c r="R44" s="602" t="s">
        <v>16</v>
      </c>
      <c r="S44" s="602" t="s">
        <v>16</v>
      </c>
      <c r="T44" s="598"/>
      <c r="U44" s="595">
        <f t="shared" si="11"/>
        <v>0</v>
      </c>
    </row>
    <row r="45" spans="1:24" ht="13.5" thickBot="1" x14ac:dyDescent="0.35">
      <c r="A45" s="603"/>
      <c r="B45" s="603"/>
      <c r="O45" s="604"/>
      <c r="P45" s="605"/>
    </row>
    <row r="46" spans="1:24" x14ac:dyDescent="0.25">
      <c r="A46" s="1024">
        <v>5</v>
      </c>
      <c r="B46" s="1021" t="s">
        <v>333</v>
      </c>
      <c r="C46" s="1021"/>
      <c r="D46" s="1021"/>
      <c r="E46" s="1021"/>
      <c r="F46" s="1021"/>
      <c r="G46" s="1021"/>
      <c r="I46" s="1021" t="str">
        <f>B46</f>
        <v>KOREKSI KIMO THERMOHYGROMETER 15062875</v>
      </c>
      <c r="J46" s="1021"/>
      <c r="K46" s="1021"/>
      <c r="L46" s="1021"/>
      <c r="M46" s="1021"/>
      <c r="N46" s="1021"/>
      <c r="P46" s="1021" t="str">
        <f>I46</f>
        <v>KOREKSI KIMO THERMOHYGROMETER 15062875</v>
      </c>
      <c r="Q46" s="1021"/>
      <c r="R46" s="1021"/>
      <c r="S46" s="1021"/>
      <c r="T46" s="1021"/>
      <c r="U46" s="1021"/>
      <c r="W46" s="1015" t="s">
        <v>251</v>
      </c>
      <c r="X46" s="1016"/>
    </row>
    <row r="47" spans="1:24" ht="13" x14ac:dyDescent="0.25">
      <c r="A47" s="1025"/>
      <c r="B47" s="1017" t="s">
        <v>325</v>
      </c>
      <c r="C47" s="1017"/>
      <c r="D47" s="1017" t="s">
        <v>244</v>
      </c>
      <c r="E47" s="1017"/>
      <c r="F47" s="1017"/>
      <c r="G47" s="1017" t="s">
        <v>239</v>
      </c>
      <c r="I47" s="1017" t="s">
        <v>326</v>
      </c>
      <c r="J47" s="1017"/>
      <c r="K47" s="1017" t="s">
        <v>244</v>
      </c>
      <c r="L47" s="1017"/>
      <c r="M47" s="1017"/>
      <c r="N47" s="1017" t="s">
        <v>239</v>
      </c>
      <c r="P47" s="1017" t="s">
        <v>327</v>
      </c>
      <c r="Q47" s="1017"/>
      <c r="R47" s="1017" t="s">
        <v>244</v>
      </c>
      <c r="S47" s="1017"/>
      <c r="T47" s="1017"/>
      <c r="U47" s="1017" t="s">
        <v>239</v>
      </c>
      <c r="W47" s="590" t="s">
        <v>325</v>
      </c>
      <c r="X47" s="591">
        <v>0.5</v>
      </c>
    </row>
    <row r="48" spans="1:24" ht="14.5" x14ac:dyDescent="0.25">
      <c r="A48" s="1025"/>
      <c r="B48" s="1018" t="s">
        <v>328</v>
      </c>
      <c r="C48" s="1018"/>
      <c r="D48" s="592">
        <v>2023</v>
      </c>
      <c r="E48" s="592">
        <v>2020</v>
      </c>
      <c r="F48" s="592">
        <v>2017</v>
      </c>
      <c r="G48" s="1017"/>
      <c r="I48" s="1019" t="s">
        <v>41</v>
      </c>
      <c r="J48" s="1018"/>
      <c r="K48" s="592">
        <f>D48</f>
        <v>2023</v>
      </c>
      <c r="L48" s="592">
        <f>E48</f>
        <v>2020</v>
      </c>
      <c r="M48" s="592">
        <v>2016</v>
      </c>
      <c r="N48" s="1017"/>
      <c r="P48" s="1019" t="s">
        <v>329</v>
      </c>
      <c r="Q48" s="1018"/>
      <c r="R48" s="592">
        <f>K48</f>
        <v>2023</v>
      </c>
      <c r="S48" s="592">
        <f>L48</f>
        <v>2020</v>
      </c>
      <c r="T48" s="592">
        <v>2016</v>
      </c>
      <c r="U48" s="1017"/>
      <c r="W48" s="590" t="s">
        <v>41</v>
      </c>
      <c r="X48" s="591">
        <v>2.2999999999999998</v>
      </c>
    </row>
    <row r="49" spans="1:24" ht="13.5" thickBot="1" x14ac:dyDescent="0.3">
      <c r="A49" s="1025"/>
      <c r="B49" s="593">
        <v>1</v>
      </c>
      <c r="C49" s="588">
        <v>15</v>
      </c>
      <c r="D49" s="594">
        <v>0.3</v>
      </c>
      <c r="E49" s="594">
        <v>-0.3</v>
      </c>
      <c r="F49" s="594">
        <v>0.3</v>
      </c>
      <c r="G49" s="595">
        <f>0.5*(MAX(D49:F49)-MIN(D49:F49))</f>
        <v>0.3</v>
      </c>
      <c r="I49" s="593">
        <v>1</v>
      </c>
      <c r="J49" s="588">
        <v>35</v>
      </c>
      <c r="K49" s="594">
        <v>-10.5</v>
      </c>
      <c r="L49" s="594">
        <v>-7.7</v>
      </c>
      <c r="M49" s="594">
        <v>-9.6</v>
      </c>
      <c r="N49" s="595">
        <f>0.5*(MAX(K49:M49)-MIN(K49:M49))</f>
        <v>1.4</v>
      </c>
      <c r="P49" s="593">
        <v>1</v>
      </c>
      <c r="Q49" s="588">
        <v>750</v>
      </c>
      <c r="R49" s="597" t="s">
        <v>16</v>
      </c>
      <c r="S49" s="597" t="s">
        <v>16</v>
      </c>
      <c r="T49" s="598"/>
      <c r="U49" s="595">
        <f>0.5*(MAX(R49:T49)-MIN(R49:T49))</f>
        <v>0</v>
      </c>
      <c r="W49" s="599" t="s">
        <v>329</v>
      </c>
      <c r="X49" s="600">
        <v>0</v>
      </c>
    </row>
    <row r="50" spans="1:24" ht="13" x14ac:dyDescent="0.25">
      <c r="A50" s="1025"/>
      <c r="B50" s="593">
        <v>2</v>
      </c>
      <c r="C50" s="588">
        <v>20</v>
      </c>
      <c r="D50" s="594">
        <v>0.4</v>
      </c>
      <c r="E50" s="594">
        <v>0.1</v>
      </c>
      <c r="F50" s="594">
        <v>0.3</v>
      </c>
      <c r="G50" s="595">
        <f t="shared" ref="G50:G55" si="12">0.5*(MAX(D50:F50)-MIN(D50:F50))</f>
        <v>0.15000000000000002</v>
      </c>
      <c r="I50" s="593">
        <v>2</v>
      </c>
      <c r="J50" s="588">
        <v>40</v>
      </c>
      <c r="K50" s="594">
        <v>-9.6</v>
      </c>
      <c r="L50" s="594">
        <v>-7.2</v>
      </c>
      <c r="M50" s="594">
        <v>-8</v>
      </c>
      <c r="N50" s="595">
        <f t="shared" ref="N50:N55" si="13">0.5*(MAX(K50:M50)-MIN(K50:M50))</f>
        <v>1.1999999999999997</v>
      </c>
      <c r="P50" s="593">
        <v>2</v>
      </c>
      <c r="Q50" s="588">
        <v>800</v>
      </c>
      <c r="R50" s="597" t="s">
        <v>16</v>
      </c>
      <c r="S50" s="597" t="s">
        <v>16</v>
      </c>
      <c r="T50" s="598"/>
      <c r="U50" s="595">
        <f t="shared" ref="U50:U55" si="14">0.5*(MAX(R50:T50)-MIN(R50:T50))</f>
        <v>0</v>
      </c>
    </row>
    <row r="51" spans="1:24" ht="13" x14ac:dyDescent="0.25">
      <c r="A51" s="1025"/>
      <c r="B51" s="593">
        <v>3</v>
      </c>
      <c r="C51" s="588">
        <v>25</v>
      </c>
      <c r="D51" s="594">
        <v>0.4</v>
      </c>
      <c r="E51" s="594">
        <v>0.4</v>
      </c>
      <c r="F51" s="594">
        <v>0.2</v>
      </c>
      <c r="G51" s="595">
        <f t="shared" si="12"/>
        <v>0.1</v>
      </c>
      <c r="I51" s="593">
        <v>3</v>
      </c>
      <c r="J51" s="588">
        <v>50</v>
      </c>
      <c r="K51" s="594">
        <v>-8.8000000000000007</v>
      </c>
      <c r="L51" s="594">
        <v>-6.2</v>
      </c>
      <c r="M51" s="594">
        <v>-6.2</v>
      </c>
      <c r="N51" s="595">
        <f t="shared" si="13"/>
        <v>1.3000000000000003</v>
      </c>
      <c r="P51" s="593">
        <v>3</v>
      </c>
      <c r="Q51" s="588">
        <v>850</v>
      </c>
      <c r="R51" s="597" t="s">
        <v>16</v>
      </c>
      <c r="S51" s="597" t="s">
        <v>16</v>
      </c>
      <c r="T51" s="598"/>
      <c r="U51" s="595">
        <f t="shared" si="14"/>
        <v>0</v>
      </c>
    </row>
    <row r="52" spans="1:24" ht="13" x14ac:dyDescent="0.25">
      <c r="A52" s="1025"/>
      <c r="B52" s="593">
        <v>4</v>
      </c>
      <c r="C52" s="601">
        <v>30</v>
      </c>
      <c r="D52" s="594">
        <v>0.4</v>
      </c>
      <c r="E52" s="602">
        <v>0.6</v>
      </c>
      <c r="F52" s="602">
        <v>0.1</v>
      </c>
      <c r="G52" s="595">
        <f t="shared" si="12"/>
        <v>0.25</v>
      </c>
      <c r="I52" s="593">
        <v>4</v>
      </c>
      <c r="J52" s="601">
        <v>60</v>
      </c>
      <c r="K52" s="602">
        <v>-8</v>
      </c>
      <c r="L52" s="602">
        <v>-5.2</v>
      </c>
      <c r="M52" s="602">
        <v>-4.2</v>
      </c>
      <c r="N52" s="595">
        <f t="shared" si="13"/>
        <v>1.9</v>
      </c>
      <c r="P52" s="593">
        <v>4</v>
      </c>
      <c r="Q52" s="601">
        <v>900</v>
      </c>
      <c r="R52" s="602" t="s">
        <v>16</v>
      </c>
      <c r="S52" s="602" t="s">
        <v>16</v>
      </c>
      <c r="T52" s="598"/>
      <c r="U52" s="595">
        <f t="shared" si="14"/>
        <v>0</v>
      </c>
    </row>
    <row r="53" spans="1:24" ht="13" x14ac:dyDescent="0.25">
      <c r="A53" s="1025"/>
      <c r="B53" s="593">
        <v>5</v>
      </c>
      <c r="C53" s="601">
        <v>35</v>
      </c>
      <c r="D53" s="594">
        <v>0.4</v>
      </c>
      <c r="E53" s="602">
        <v>0.7</v>
      </c>
      <c r="F53" s="594">
        <v>9.9999999999999995E-7</v>
      </c>
      <c r="G53" s="595">
        <f t="shared" si="12"/>
        <v>0.34999949999999996</v>
      </c>
      <c r="I53" s="593">
        <v>5</v>
      </c>
      <c r="J53" s="601">
        <v>70</v>
      </c>
      <c r="K53" s="602">
        <v>-7.1</v>
      </c>
      <c r="L53" s="602">
        <v>-4.0999999999999996</v>
      </c>
      <c r="M53" s="602">
        <v>-2.1</v>
      </c>
      <c r="N53" s="595">
        <f t="shared" si="13"/>
        <v>2.5</v>
      </c>
      <c r="P53" s="593">
        <v>5</v>
      </c>
      <c r="Q53" s="601">
        <v>1000</v>
      </c>
      <c r="R53" s="602" t="s">
        <v>16</v>
      </c>
      <c r="S53" s="602" t="s">
        <v>16</v>
      </c>
      <c r="T53" s="598"/>
      <c r="U53" s="595">
        <f t="shared" si="14"/>
        <v>0</v>
      </c>
    </row>
    <row r="54" spans="1:24" ht="13" x14ac:dyDescent="0.25">
      <c r="A54" s="1025"/>
      <c r="B54" s="593">
        <v>6</v>
      </c>
      <c r="C54" s="601">
        <v>37</v>
      </c>
      <c r="D54" s="594">
        <v>0.03</v>
      </c>
      <c r="E54" s="602">
        <v>0.7</v>
      </c>
      <c r="F54" s="594">
        <v>9.9999999999999995E-7</v>
      </c>
      <c r="G54" s="595">
        <f t="shared" si="12"/>
        <v>0.34999949999999996</v>
      </c>
      <c r="I54" s="593">
        <v>6</v>
      </c>
      <c r="J54" s="601">
        <v>80</v>
      </c>
      <c r="K54" s="602">
        <v>-6.3</v>
      </c>
      <c r="L54" s="602">
        <v>-3</v>
      </c>
      <c r="M54" s="602">
        <v>0.2</v>
      </c>
      <c r="N54" s="595">
        <f t="shared" si="13"/>
        <v>3.25</v>
      </c>
      <c r="P54" s="593">
        <v>6</v>
      </c>
      <c r="Q54" s="601">
        <v>1005</v>
      </c>
      <c r="R54" s="602" t="s">
        <v>16</v>
      </c>
      <c r="S54" s="602" t="s">
        <v>16</v>
      </c>
      <c r="T54" s="598"/>
      <c r="U54" s="595">
        <f t="shared" si="14"/>
        <v>0</v>
      </c>
    </row>
    <row r="55" spans="1:24" ht="13.5" thickBot="1" x14ac:dyDescent="0.3">
      <c r="A55" s="1026"/>
      <c r="B55" s="593">
        <v>7</v>
      </c>
      <c r="C55" s="601">
        <v>40</v>
      </c>
      <c r="D55" s="602">
        <v>0.3</v>
      </c>
      <c r="E55" s="602">
        <v>0.7</v>
      </c>
      <c r="F55" s="602">
        <v>-0.1</v>
      </c>
      <c r="G55" s="595">
        <f t="shared" si="12"/>
        <v>0.39999999999999997</v>
      </c>
      <c r="I55" s="593">
        <v>7</v>
      </c>
      <c r="J55" s="601">
        <v>90</v>
      </c>
      <c r="K55" s="602">
        <v>-5.4</v>
      </c>
      <c r="L55" s="602">
        <v>-1.8</v>
      </c>
      <c r="M55" s="602">
        <v>2.7</v>
      </c>
      <c r="N55" s="595">
        <f t="shared" si="13"/>
        <v>4.0500000000000007</v>
      </c>
      <c r="P55" s="593">
        <v>7</v>
      </c>
      <c r="Q55" s="601">
        <v>1020</v>
      </c>
      <c r="R55" s="602" t="s">
        <v>16</v>
      </c>
      <c r="S55" s="602" t="s">
        <v>16</v>
      </c>
      <c r="T55" s="598"/>
      <c r="U55" s="595">
        <f t="shared" si="14"/>
        <v>0</v>
      </c>
    </row>
    <row r="56" spans="1:24" ht="13.5" thickBot="1" x14ac:dyDescent="0.35">
      <c r="A56" s="606"/>
      <c r="B56" s="440"/>
      <c r="C56" s="440"/>
      <c r="D56" s="440"/>
      <c r="E56" s="607"/>
      <c r="F56" s="589"/>
      <c r="G56" s="485"/>
      <c r="H56" s="440"/>
      <c r="I56" s="440"/>
      <c r="J56" s="440"/>
      <c r="K56" s="607"/>
      <c r="L56" s="589"/>
      <c r="O56" s="604"/>
      <c r="P56" s="605"/>
    </row>
    <row r="57" spans="1:24" x14ac:dyDescent="0.25">
      <c r="A57" s="1020">
        <v>6</v>
      </c>
      <c r="B57" s="1021" t="s">
        <v>334</v>
      </c>
      <c r="C57" s="1021"/>
      <c r="D57" s="1021"/>
      <c r="E57" s="1021"/>
      <c r="F57" s="1021"/>
      <c r="G57" s="1021"/>
      <c r="I57" s="1021" t="str">
        <f>B57</f>
        <v>KOREKSI GREISINGER 34903046</v>
      </c>
      <c r="J57" s="1021"/>
      <c r="K57" s="1021"/>
      <c r="L57" s="1021"/>
      <c r="M57" s="1021"/>
      <c r="N57" s="1021"/>
      <c r="P57" s="1021" t="str">
        <f>I57</f>
        <v>KOREKSI GREISINGER 34903046</v>
      </c>
      <c r="Q57" s="1021"/>
      <c r="R57" s="1021"/>
      <c r="S57" s="1021"/>
      <c r="T57" s="1021"/>
      <c r="U57" s="1021"/>
      <c r="W57" s="1015" t="s">
        <v>251</v>
      </c>
      <c r="X57" s="1016"/>
    </row>
    <row r="58" spans="1:24" ht="13" x14ac:dyDescent="0.25">
      <c r="A58" s="1020"/>
      <c r="B58" s="1017" t="s">
        <v>325</v>
      </c>
      <c r="C58" s="1017"/>
      <c r="D58" s="1017" t="s">
        <v>244</v>
      </c>
      <c r="E58" s="1017"/>
      <c r="F58" s="1017"/>
      <c r="G58" s="1017" t="s">
        <v>239</v>
      </c>
      <c r="I58" s="1017" t="s">
        <v>326</v>
      </c>
      <c r="J58" s="1017"/>
      <c r="K58" s="1017" t="s">
        <v>244</v>
      </c>
      <c r="L58" s="1017"/>
      <c r="M58" s="1017"/>
      <c r="N58" s="1017" t="s">
        <v>239</v>
      </c>
      <c r="P58" s="1017" t="s">
        <v>327</v>
      </c>
      <c r="Q58" s="1017"/>
      <c r="R58" s="1027" t="s">
        <v>244</v>
      </c>
      <c r="S58" s="1028"/>
      <c r="T58" s="1029"/>
      <c r="U58" s="1017" t="s">
        <v>239</v>
      </c>
      <c r="W58" s="590" t="s">
        <v>325</v>
      </c>
      <c r="X58" s="591">
        <v>0.8</v>
      </c>
    </row>
    <row r="59" spans="1:24" ht="14.5" x14ac:dyDescent="0.25">
      <c r="A59" s="1020"/>
      <c r="B59" s="1018" t="s">
        <v>328</v>
      </c>
      <c r="C59" s="1018"/>
      <c r="D59" s="592">
        <v>2019</v>
      </c>
      <c r="E59" s="592">
        <v>2018</v>
      </c>
      <c r="F59" s="592">
        <v>2016</v>
      </c>
      <c r="G59" s="1017"/>
      <c r="I59" s="1019" t="s">
        <v>41</v>
      </c>
      <c r="J59" s="1018"/>
      <c r="K59" s="592">
        <f>D59</f>
        <v>2019</v>
      </c>
      <c r="L59" s="592">
        <f>E59</f>
        <v>2018</v>
      </c>
      <c r="M59" s="592">
        <v>2016</v>
      </c>
      <c r="N59" s="1017"/>
      <c r="P59" s="1019" t="s">
        <v>329</v>
      </c>
      <c r="Q59" s="1018"/>
      <c r="R59" s="592">
        <f>K59</f>
        <v>2019</v>
      </c>
      <c r="S59" s="592">
        <f>L59</f>
        <v>2018</v>
      </c>
      <c r="T59" s="592">
        <v>2016</v>
      </c>
      <c r="U59" s="1017"/>
      <c r="W59" s="590" t="s">
        <v>41</v>
      </c>
      <c r="X59" s="591">
        <v>2.6</v>
      </c>
    </row>
    <row r="60" spans="1:24" ht="13.5" thickBot="1" x14ac:dyDescent="0.3">
      <c r="A60" s="1020"/>
      <c r="B60" s="593">
        <v>1</v>
      </c>
      <c r="C60" s="588">
        <v>15</v>
      </c>
      <c r="D60" s="588">
        <v>0.4</v>
      </c>
      <c r="E60" s="588">
        <v>0.4</v>
      </c>
      <c r="F60" s="598"/>
      <c r="G60" s="595">
        <f>0.5*(MAX(D60:F60)-MIN(D60:F60))</f>
        <v>0</v>
      </c>
      <c r="I60" s="593">
        <v>1</v>
      </c>
      <c r="J60" s="588">
        <v>30</v>
      </c>
      <c r="K60" s="588">
        <v>-1.5</v>
      </c>
      <c r="L60" s="588">
        <v>1.7</v>
      </c>
      <c r="M60" s="598"/>
      <c r="N60" s="595">
        <f>0.5*(MAX(K60:M60)-MIN(K60:M60))</f>
        <v>1.6</v>
      </c>
      <c r="P60" s="593">
        <v>1</v>
      </c>
      <c r="Q60" s="588">
        <v>750</v>
      </c>
      <c r="R60" s="588">
        <v>0.9</v>
      </c>
      <c r="S60" s="588">
        <v>2.1</v>
      </c>
      <c r="T60" s="598"/>
      <c r="U60" s="595">
        <f>0.5*(MAX(R60:T60)-MIN(R60:T60))</f>
        <v>0.60000000000000009</v>
      </c>
      <c r="W60" s="599" t="s">
        <v>329</v>
      </c>
      <c r="X60" s="600">
        <v>1.6</v>
      </c>
    </row>
    <row r="61" spans="1:24" ht="13" x14ac:dyDescent="0.25">
      <c r="A61" s="1020"/>
      <c r="B61" s="593">
        <v>2</v>
      </c>
      <c r="C61" s="588">
        <v>20</v>
      </c>
      <c r="D61" s="588">
        <v>0.3</v>
      </c>
      <c r="E61" s="588">
        <v>0.2</v>
      </c>
      <c r="F61" s="598"/>
      <c r="G61" s="595">
        <f t="shared" ref="G61:G66" si="15">0.5*(MAX(D61:F61)-MIN(D61:F61))</f>
        <v>4.9999999999999989E-2</v>
      </c>
      <c r="I61" s="593">
        <v>2</v>
      </c>
      <c r="J61" s="588">
        <v>40</v>
      </c>
      <c r="K61" s="588">
        <v>-3.8</v>
      </c>
      <c r="L61" s="588">
        <v>1.5</v>
      </c>
      <c r="M61" s="598"/>
      <c r="N61" s="595">
        <f t="shared" ref="N61:N66" si="16">0.5*(MAX(K61:M61)-MIN(K61:M61))</f>
        <v>2.65</v>
      </c>
      <c r="P61" s="593">
        <v>2</v>
      </c>
      <c r="Q61" s="588">
        <v>800</v>
      </c>
      <c r="R61" s="588">
        <v>0.9</v>
      </c>
      <c r="S61" s="588">
        <v>1.6</v>
      </c>
      <c r="T61" s="598"/>
      <c r="U61" s="595">
        <f t="shared" ref="U61:U66" si="17">0.5*(MAX(R61:T61)-MIN(R61:T61))</f>
        <v>0.35000000000000003</v>
      </c>
    </row>
    <row r="62" spans="1:24" ht="13" x14ac:dyDescent="0.25">
      <c r="A62" s="1020"/>
      <c r="B62" s="593">
        <v>3</v>
      </c>
      <c r="C62" s="588">
        <v>25</v>
      </c>
      <c r="D62" s="588">
        <v>0.2</v>
      </c>
      <c r="E62" s="588">
        <v>-0.1</v>
      </c>
      <c r="F62" s="598"/>
      <c r="G62" s="595">
        <f t="shared" si="15"/>
        <v>0.15000000000000002</v>
      </c>
      <c r="I62" s="593">
        <v>3</v>
      </c>
      <c r="J62" s="588">
        <v>50</v>
      </c>
      <c r="K62" s="588">
        <v>-5.4</v>
      </c>
      <c r="L62" s="588">
        <v>1.2</v>
      </c>
      <c r="M62" s="598"/>
      <c r="N62" s="595">
        <f t="shared" si="16"/>
        <v>3.3000000000000003</v>
      </c>
      <c r="P62" s="593">
        <v>3</v>
      </c>
      <c r="Q62" s="588">
        <v>850</v>
      </c>
      <c r="R62" s="588">
        <v>0.9</v>
      </c>
      <c r="S62" s="588">
        <v>1.1000000000000001</v>
      </c>
      <c r="T62" s="598"/>
      <c r="U62" s="595">
        <f t="shared" si="17"/>
        <v>0.10000000000000003</v>
      </c>
    </row>
    <row r="63" spans="1:24" ht="13" x14ac:dyDescent="0.25">
      <c r="A63" s="1020"/>
      <c r="B63" s="593">
        <v>4</v>
      </c>
      <c r="C63" s="601">
        <v>30</v>
      </c>
      <c r="D63" s="601">
        <v>0.1</v>
      </c>
      <c r="E63" s="601">
        <v>-0.5</v>
      </c>
      <c r="F63" s="598"/>
      <c r="G63" s="595">
        <f t="shared" si="15"/>
        <v>0.3</v>
      </c>
      <c r="I63" s="593">
        <v>4</v>
      </c>
      <c r="J63" s="601">
        <v>60</v>
      </c>
      <c r="K63" s="601">
        <v>-6.4</v>
      </c>
      <c r="L63" s="601">
        <v>1.1000000000000001</v>
      </c>
      <c r="M63" s="598"/>
      <c r="N63" s="595">
        <f t="shared" si="16"/>
        <v>3.75</v>
      </c>
      <c r="P63" s="593">
        <v>4</v>
      </c>
      <c r="Q63" s="601">
        <v>900</v>
      </c>
      <c r="R63" s="601">
        <v>0.9</v>
      </c>
      <c r="S63" s="601">
        <v>0.7</v>
      </c>
      <c r="T63" s="598"/>
      <c r="U63" s="595">
        <f t="shared" si="17"/>
        <v>0.10000000000000003</v>
      </c>
    </row>
    <row r="64" spans="1:24" ht="13" x14ac:dyDescent="0.25">
      <c r="A64" s="1020"/>
      <c r="B64" s="593">
        <v>5</v>
      </c>
      <c r="C64" s="601">
        <v>35</v>
      </c>
      <c r="D64" s="601">
        <v>0.1</v>
      </c>
      <c r="E64" s="601">
        <v>-0.9</v>
      </c>
      <c r="F64" s="598"/>
      <c r="G64" s="595">
        <f t="shared" si="15"/>
        <v>0.5</v>
      </c>
      <c r="I64" s="593">
        <v>5</v>
      </c>
      <c r="J64" s="601">
        <v>70</v>
      </c>
      <c r="K64" s="601">
        <v>-6.7</v>
      </c>
      <c r="L64" s="601">
        <v>0.9</v>
      </c>
      <c r="M64" s="598"/>
      <c r="N64" s="595">
        <f t="shared" si="16"/>
        <v>3.8000000000000003</v>
      </c>
      <c r="P64" s="593">
        <v>5</v>
      </c>
      <c r="Q64" s="601">
        <v>1000</v>
      </c>
      <c r="R64" s="601">
        <v>0.9</v>
      </c>
      <c r="S64" s="601">
        <v>-0.3</v>
      </c>
      <c r="T64" s="598"/>
      <c r="U64" s="595">
        <f t="shared" si="17"/>
        <v>0.6</v>
      </c>
    </row>
    <row r="65" spans="1:24" ht="13" x14ac:dyDescent="0.25">
      <c r="A65" s="1020"/>
      <c r="B65" s="593">
        <v>6</v>
      </c>
      <c r="C65" s="601">
        <v>37</v>
      </c>
      <c r="D65" s="601">
        <v>0.1</v>
      </c>
      <c r="E65" s="601">
        <v>-1.1000000000000001</v>
      </c>
      <c r="F65" s="598"/>
      <c r="G65" s="595">
        <f t="shared" si="15"/>
        <v>0.60000000000000009</v>
      </c>
      <c r="I65" s="593">
        <v>6</v>
      </c>
      <c r="J65" s="601">
        <v>80</v>
      </c>
      <c r="K65" s="601">
        <v>-6.3</v>
      </c>
      <c r="L65" s="601">
        <v>0.8</v>
      </c>
      <c r="M65" s="598"/>
      <c r="N65" s="595">
        <f t="shared" si="16"/>
        <v>3.55</v>
      </c>
      <c r="P65" s="593">
        <v>6</v>
      </c>
      <c r="Q65" s="601">
        <v>1005</v>
      </c>
      <c r="R65" s="601">
        <v>0.9</v>
      </c>
      <c r="S65" s="601">
        <v>-0.3</v>
      </c>
      <c r="T65" s="598"/>
      <c r="U65" s="595">
        <f t="shared" si="17"/>
        <v>0.6</v>
      </c>
    </row>
    <row r="66" spans="1:24" ht="13" x14ac:dyDescent="0.25">
      <c r="A66" s="1020"/>
      <c r="B66" s="593">
        <v>7</v>
      </c>
      <c r="C66" s="601">
        <v>40</v>
      </c>
      <c r="D66" s="601">
        <v>0.1</v>
      </c>
      <c r="E66" s="601">
        <v>-1.4</v>
      </c>
      <c r="F66" s="598"/>
      <c r="G66" s="595">
        <f t="shared" si="15"/>
        <v>0.75</v>
      </c>
      <c r="I66" s="593">
        <v>7</v>
      </c>
      <c r="J66" s="601">
        <v>90</v>
      </c>
      <c r="K66" s="601">
        <v>-5.2</v>
      </c>
      <c r="L66" s="601">
        <v>0.7</v>
      </c>
      <c r="M66" s="598"/>
      <c r="N66" s="595">
        <f t="shared" si="16"/>
        <v>2.95</v>
      </c>
      <c r="P66" s="593">
        <v>7</v>
      </c>
      <c r="Q66" s="601">
        <v>1020</v>
      </c>
      <c r="R66" s="601">
        <v>0.9</v>
      </c>
      <c r="S66" s="594">
        <v>9.9999999999999995E-7</v>
      </c>
      <c r="T66" s="598"/>
      <c r="U66" s="595">
        <f t="shared" si="17"/>
        <v>0.4499995</v>
      </c>
    </row>
    <row r="67" spans="1:24" ht="13.5" thickBot="1" x14ac:dyDescent="0.35">
      <c r="A67" s="606"/>
      <c r="B67" s="440"/>
      <c r="C67" s="440"/>
      <c r="D67" s="440"/>
      <c r="E67" s="607"/>
      <c r="F67" s="589"/>
      <c r="G67" s="485"/>
      <c r="I67" s="440"/>
      <c r="J67" s="440"/>
      <c r="K67" s="440"/>
      <c r="L67" s="607"/>
      <c r="M67" s="589"/>
      <c r="R67" s="605"/>
    </row>
    <row r="68" spans="1:24" x14ac:dyDescent="0.25">
      <c r="A68" s="1020">
        <v>7</v>
      </c>
      <c r="B68" s="1021" t="s">
        <v>335</v>
      </c>
      <c r="C68" s="1021"/>
      <c r="D68" s="1021"/>
      <c r="E68" s="1021"/>
      <c r="F68" s="1021"/>
      <c r="G68" s="1021"/>
      <c r="I68" s="1021" t="str">
        <f>B68</f>
        <v>KOREKSI GREISINGER 34903053</v>
      </c>
      <c r="J68" s="1021"/>
      <c r="K68" s="1021"/>
      <c r="L68" s="1021"/>
      <c r="M68" s="1021"/>
      <c r="N68" s="1021"/>
      <c r="P68" s="1021" t="str">
        <f>I68</f>
        <v>KOREKSI GREISINGER 34903053</v>
      </c>
      <c r="Q68" s="1021"/>
      <c r="R68" s="1021"/>
      <c r="S68" s="1021"/>
      <c r="T68" s="1021"/>
      <c r="U68" s="1021"/>
      <c r="W68" s="1015" t="s">
        <v>251</v>
      </c>
      <c r="X68" s="1016"/>
    </row>
    <row r="69" spans="1:24" ht="13" x14ac:dyDescent="0.25">
      <c r="A69" s="1020"/>
      <c r="B69" s="1017" t="s">
        <v>325</v>
      </c>
      <c r="C69" s="1017"/>
      <c r="D69" s="1017" t="s">
        <v>244</v>
      </c>
      <c r="E69" s="1017"/>
      <c r="F69" s="1017"/>
      <c r="G69" s="1017" t="s">
        <v>239</v>
      </c>
      <c r="I69" s="1017" t="s">
        <v>326</v>
      </c>
      <c r="J69" s="1017"/>
      <c r="K69" s="1017" t="s">
        <v>244</v>
      </c>
      <c r="L69" s="1017"/>
      <c r="M69" s="1017"/>
      <c r="N69" s="1017" t="s">
        <v>239</v>
      </c>
      <c r="P69" s="1017" t="s">
        <v>327</v>
      </c>
      <c r="Q69" s="1017"/>
      <c r="R69" s="1017" t="s">
        <v>244</v>
      </c>
      <c r="S69" s="1017"/>
      <c r="T69" s="1017"/>
      <c r="U69" s="1017" t="s">
        <v>239</v>
      </c>
      <c r="W69" s="590" t="s">
        <v>325</v>
      </c>
      <c r="X69" s="591">
        <v>0.5</v>
      </c>
    </row>
    <row r="70" spans="1:24" ht="14.5" x14ac:dyDescent="0.25">
      <c r="A70" s="1020"/>
      <c r="B70" s="1018" t="s">
        <v>328</v>
      </c>
      <c r="C70" s="1018"/>
      <c r="D70" s="592">
        <v>2023</v>
      </c>
      <c r="E70" s="592">
        <v>2021</v>
      </c>
      <c r="F70" s="592">
        <v>2018</v>
      </c>
      <c r="G70" s="1017"/>
      <c r="I70" s="1019" t="s">
        <v>41</v>
      </c>
      <c r="J70" s="1018"/>
      <c r="K70" s="592">
        <f>D70</f>
        <v>2023</v>
      </c>
      <c r="L70" s="592">
        <f>E70</f>
        <v>2021</v>
      </c>
      <c r="M70" s="592">
        <v>2016</v>
      </c>
      <c r="N70" s="1017"/>
      <c r="P70" s="1019" t="s">
        <v>329</v>
      </c>
      <c r="Q70" s="1018"/>
      <c r="R70" s="592">
        <f>K70</f>
        <v>2023</v>
      </c>
      <c r="S70" s="592">
        <f>L70</f>
        <v>2021</v>
      </c>
      <c r="T70" s="592">
        <v>2016</v>
      </c>
      <c r="U70" s="1017"/>
      <c r="W70" s="590" t="s">
        <v>41</v>
      </c>
      <c r="X70" s="591">
        <v>2.2999999999999998</v>
      </c>
    </row>
    <row r="71" spans="1:24" ht="13.5" thickBot="1" x14ac:dyDescent="0.3">
      <c r="A71" s="1020"/>
      <c r="B71" s="593">
        <v>1</v>
      </c>
      <c r="C71" s="588">
        <v>15</v>
      </c>
      <c r="D71" s="588">
        <v>0.1</v>
      </c>
      <c r="E71" s="588">
        <v>0.1</v>
      </c>
      <c r="F71" s="588">
        <v>0.3</v>
      </c>
      <c r="G71" s="595">
        <f>0.5*(MAX(D71:F71)-MIN(D71:F71))</f>
        <v>9.9999999999999992E-2</v>
      </c>
      <c r="I71" s="593">
        <v>1</v>
      </c>
      <c r="J71" s="588">
        <v>30</v>
      </c>
      <c r="K71" s="588">
        <v>-1.7</v>
      </c>
      <c r="L71" s="588">
        <v>-1.9</v>
      </c>
      <c r="M71" s="588">
        <v>1.8</v>
      </c>
      <c r="N71" s="595">
        <f>0.5*(MAX(K71:M71)-MIN(K71:M71))</f>
        <v>1.85</v>
      </c>
      <c r="P71" s="593">
        <v>1</v>
      </c>
      <c r="Q71" s="588">
        <v>960</v>
      </c>
      <c r="R71" s="594">
        <v>0.7</v>
      </c>
      <c r="S71" s="614" t="s">
        <v>16</v>
      </c>
      <c r="T71" s="614" t="s">
        <v>16</v>
      </c>
      <c r="U71" s="595">
        <f>0.5*(MAX(R71:T71)-MIN(R71:T71))</f>
        <v>0</v>
      </c>
      <c r="W71" s="599" t="s">
        <v>329</v>
      </c>
      <c r="X71" s="600">
        <v>2</v>
      </c>
    </row>
    <row r="72" spans="1:24" ht="13" x14ac:dyDescent="0.25">
      <c r="A72" s="1020"/>
      <c r="B72" s="593">
        <v>2</v>
      </c>
      <c r="C72" s="588">
        <v>20</v>
      </c>
      <c r="D72" s="594">
        <v>0</v>
      </c>
      <c r="E72" s="594">
        <v>9.9999999999999995E-7</v>
      </c>
      <c r="F72" s="588">
        <v>0.1</v>
      </c>
      <c r="G72" s="595">
        <f t="shared" ref="G72:G77" si="18">0.5*(MAX(D72:F72)-MIN(D72:F72))</f>
        <v>0.05</v>
      </c>
      <c r="I72" s="593">
        <v>2</v>
      </c>
      <c r="J72" s="588">
        <v>40</v>
      </c>
      <c r="K72" s="588">
        <v>-2</v>
      </c>
      <c r="L72" s="588">
        <v>-1.9</v>
      </c>
      <c r="M72" s="588">
        <v>1.2</v>
      </c>
      <c r="N72" s="595">
        <f t="shared" ref="N72:N77" si="19">0.5*(MAX(K72:M72)-MIN(K72:M72))</f>
        <v>1.6</v>
      </c>
      <c r="P72" s="593">
        <v>2</v>
      </c>
      <c r="Q72" s="588">
        <v>970</v>
      </c>
      <c r="R72" s="594">
        <v>0.6</v>
      </c>
      <c r="S72" s="614" t="s">
        <v>16</v>
      </c>
      <c r="T72" s="614" t="s">
        <v>16</v>
      </c>
      <c r="U72" s="595">
        <f t="shared" ref="U72:U77" si="20">0.5*(MAX(R72:T72)-MIN(R72:T72))</f>
        <v>0</v>
      </c>
    </row>
    <row r="73" spans="1:24" ht="13" x14ac:dyDescent="0.25">
      <c r="A73" s="1020"/>
      <c r="B73" s="593">
        <v>3</v>
      </c>
      <c r="C73" s="588">
        <v>25</v>
      </c>
      <c r="D73" s="594">
        <v>-0.1</v>
      </c>
      <c r="E73" s="594">
        <v>9.9999999999999995E-7</v>
      </c>
      <c r="F73" s="588">
        <v>-0.2</v>
      </c>
      <c r="G73" s="595">
        <f t="shared" si="18"/>
        <v>0.10000050000000001</v>
      </c>
      <c r="I73" s="593">
        <v>3</v>
      </c>
      <c r="J73" s="588">
        <v>50</v>
      </c>
      <c r="K73" s="588">
        <v>-2.1</v>
      </c>
      <c r="L73" s="588">
        <v>-1.9</v>
      </c>
      <c r="M73" s="588">
        <v>0.8</v>
      </c>
      <c r="N73" s="595">
        <f t="shared" si="19"/>
        <v>1.4500000000000002</v>
      </c>
      <c r="P73" s="593">
        <v>3</v>
      </c>
      <c r="Q73" s="588">
        <v>980</v>
      </c>
      <c r="R73" s="594">
        <v>0.5</v>
      </c>
      <c r="S73" s="614" t="s">
        <v>16</v>
      </c>
      <c r="T73" s="614" t="s">
        <v>16</v>
      </c>
      <c r="U73" s="595">
        <f t="shared" si="20"/>
        <v>0</v>
      </c>
    </row>
    <row r="74" spans="1:24" ht="13" x14ac:dyDescent="0.25">
      <c r="A74" s="1020"/>
      <c r="B74" s="593">
        <v>4</v>
      </c>
      <c r="C74" s="601">
        <v>30</v>
      </c>
      <c r="D74" s="594">
        <v>-0.2</v>
      </c>
      <c r="E74" s="594">
        <v>9.9999999999999995E-7</v>
      </c>
      <c r="F74" s="601">
        <v>-0.6</v>
      </c>
      <c r="G74" s="595">
        <f t="shared" si="18"/>
        <v>0.3000005</v>
      </c>
      <c r="I74" s="593">
        <v>4</v>
      </c>
      <c r="J74" s="601">
        <v>60</v>
      </c>
      <c r="K74" s="601">
        <v>-2.2000000000000002</v>
      </c>
      <c r="L74" s="601">
        <v>-2.1</v>
      </c>
      <c r="M74" s="601">
        <v>0.7</v>
      </c>
      <c r="N74" s="595">
        <f t="shared" si="19"/>
        <v>1.4500000000000002</v>
      </c>
      <c r="P74" s="593">
        <v>4</v>
      </c>
      <c r="Q74" s="601">
        <v>990</v>
      </c>
      <c r="R74" s="594">
        <v>0.5</v>
      </c>
      <c r="S74" s="614" t="s">
        <v>16</v>
      </c>
      <c r="T74" s="614" t="s">
        <v>16</v>
      </c>
      <c r="U74" s="595">
        <f t="shared" si="20"/>
        <v>0</v>
      </c>
    </row>
    <row r="75" spans="1:24" ht="13" x14ac:dyDescent="0.25">
      <c r="A75" s="1020"/>
      <c r="B75" s="593">
        <v>5</v>
      </c>
      <c r="C75" s="601">
        <v>35</v>
      </c>
      <c r="D75" s="594">
        <v>-0.4</v>
      </c>
      <c r="E75" s="594">
        <v>9.9999999999999995E-7</v>
      </c>
      <c r="F75" s="601">
        <v>-1.1000000000000001</v>
      </c>
      <c r="G75" s="595">
        <f t="shared" si="18"/>
        <v>0.5500005</v>
      </c>
      <c r="I75" s="593">
        <v>5</v>
      </c>
      <c r="J75" s="601">
        <v>70</v>
      </c>
      <c r="K75" s="601">
        <v>-2.1</v>
      </c>
      <c r="L75" s="601">
        <v>-2.2999999999999998</v>
      </c>
      <c r="M75" s="601">
        <v>0.9</v>
      </c>
      <c r="N75" s="595">
        <f t="shared" si="19"/>
        <v>1.5999999999999999</v>
      </c>
      <c r="P75" s="593">
        <v>5</v>
      </c>
      <c r="Q75" s="601">
        <v>1000</v>
      </c>
      <c r="R75" s="601">
        <v>0.4</v>
      </c>
      <c r="S75" s="601">
        <v>-3.9</v>
      </c>
      <c r="T75" s="601">
        <v>-0.4</v>
      </c>
      <c r="U75" s="595">
        <f t="shared" si="20"/>
        <v>2.15</v>
      </c>
    </row>
    <row r="76" spans="1:24" ht="13" x14ac:dyDescent="0.25">
      <c r="A76" s="1020"/>
      <c r="B76" s="593">
        <v>6</v>
      </c>
      <c r="C76" s="601">
        <v>37</v>
      </c>
      <c r="D76" s="594">
        <v>-0.4</v>
      </c>
      <c r="E76" s="594">
        <v>9.9999999999999995E-7</v>
      </c>
      <c r="F76" s="601">
        <v>-1.4</v>
      </c>
      <c r="G76" s="595">
        <f t="shared" si="18"/>
        <v>0.70000049999999991</v>
      </c>
      <c r="I76" s="593">
        <v>6</v>
      </c>
      <c r="J76" s="601">
        <v>80</v>
      </c>
      <c r="K76" s="601">
        <v>-1.9</v>
      </c>
      <c r="L76" s="601">
        <v>-2.6</v>
      </c>
      <c r="M76" s="601">
        <v>1.2</v>
      </c>
      <c r="N76" s="595">
        <f t="shared" si="19"/>
        <v>1.9</v>
      </c>
      <c r="P76" s="593">
        <v>6</v>
      </c>
      <c r="Q76" s="601">
        <v>1005</v>
      </c>
      <c r="R76" s="610" t="s">
        <v>16</v>
      </c>
      <c r="S76" s="601">
        <v>-3.8</v>
      </c>
      <c r="T76" s="601">
        <v>-0.5</v>
      </c>
      <c r="U76" s="595">
        <f t="shared" si="20"/>
        <v>1.65</v>
      </c>
    </row>
    <row r="77" spans="1:24" ht="13.5" thickBot="1" x14ac:dyDescent="0.3">
      <c r="A77" s="1020"/>
      <c r="B77" s="593">
        <v>7</v>
      </c>
      <c r="C77" s="601">
        <v>40</v>
      </c>
      <c r="D77" s="601">
        <v>-0.5</v>
      </c>
      <c r="E77" s="601">
        <v>0.1</v>
      </c>
      <c r="F77" s="601">
        <v>-1.7</v>
      </c>
      <c r="G77" s="595">
        <f t="shared" si="18"/>
        <v>0.9</v>
      </c>
      <c r="I77" s="593">
        <v>7</v>
      </c>
      <c r="J77" s="601">
        <v>90</v>
      </c>
      <c r="K77" s="601">
        <v>-1.6</v>
      </c>
      <c r="L77" s="601">
        <v>-3</v>
      </c>
      <c r="M77" s="601">
        <v>1.8</v>
      </c>
      <c r="N77" s="595">
        <f t="shared" si="19"/>
        <v>2.4</v>
      </c>
      <c r="P77" s="593">
        <v>7</v>
      </c>
      <c r="Q77" s="601">
        <v>1020</v>
      </c>
      <c r="R77" s="601">
        <v>0.3</v>
      </c>
      <c r="S77" s="601">
        <v>-3.8</v>
      </c>
      <c r="T77" s="594">
        <v>9.9999999999999995E-7</v>
      </c>
      <c r="U77" s="595">
        <f t="shared" si="20"/>
        <v>2.0499999999999998</v>
      </c>
    </row>
    <row r="78" spans="1:24" ht="13.5" thickBot="1" x14ac:dyDescent="0.35">
      <c r="A78" s="606"/>
      <c r="B78" s="440"/>
      <c r="C78" s="440"/>
      <c r="D78" s="440"/>
      <c r="E78" s="607"/>
      <c r="F78" s="589"/>
      <c r="G78" s="485"/>
      <c r="H78" s="440"/>
      <c r="I78" s="440"/>
      <c r="J78" s="440"/>
      <c r="K78" s="607"/>
      <c r="L78" s="589"/>
      <c r="O78" s="604"/>
      <c r="P78" s="605"/>
    </row>
    <row r="79" spans="1:24" x14ac:dyDescent="0.25">
      <c r="A79" s="1020">
        <v>8</v>
      </c>
      <c r="B79" s="1021" t="s">
        <v>336</v>
      </c>
      <c r="C79" s="1021"/>
      <c r="D79" s="1021"/>
      <c r="E79" s="1021"/>
      <c r="F79" s="1021"/>
      <c r="G79" s="1021"/>
      <c r="I79" s="1021" t="str">
        <f>B79</f>
        <v>KOREKSI GREISINGER 34903051</v>
      </c>
      <c r="J79" s="1021"/>
      <c r="K79" s="1021"/>
      <c r="L79" s="1021"/>
      <c r="M79" s="1021"/>
      <c r="N79" s="1021"/>
      <c r="P79" s="1021" t="str">
        <f>I79</f>
        <v>KOREKSI GREISINGER 34903051</v>
      </c>
      <c r="Q79" s="1021"/>
      <c r="R79" s="1021"/>
      <c r="S79" s="1021"/>
      <c r="T79" s="1021"/>
      <c r="U79" s="1021"/>
      <c r="W79" s="1015" t="s">
        <v>251</v>
      </c>
      <c r="X79" s="1016"/>
    </row>
    <row r="80" spans="1:24" ht="13" x14ac:dyDescent="0.25">
      <c r="A80" s="1020"/>
      <c r="B80" s="1017" t="s">
        <v>325</v>
      </c>
      <c r="C80" s="1017"/>
      <c r="D80" s="1017" t="s">
        <v>244</v>
      </c>
      <c r="E80" s="1017"/>
      <c r="F80" s="1017"/>
      <c r="G80" s="1017" t="s">
        <v>239</v>
      </c>
      <c r="I80" s="1017" t="s">
        <v>326</v>
      </c>
      <c r="J80" s="1017"/>
      <c r="K80" s="1017" t="s">
        <v>244</v>
      </c>
      <c r="L80" s="1017"/>
      <c r="M80" s="1017"/>
      <c r="N80" s="1017" t="s">
        <v>239</v>
      </c>
      <c r="P80" s="1017" t="s">
        <v>327</v>
      </c>
      <c r="Q80" s="1017"/>
      <c r="R80" s="1017" t="s">
        <v>244</v>
      </c>
      <c r="S80" s="1017"/>
      <c r="T80" s="1017"/>
      <c r="U80" s="1017" t="s">
        <v>239</v>
      </c>
      <c r="W80" s="590" t="s">
        <v>325</v>
      </c>
      <c r="X80" s="591">
        <v>0.3</v>
      </c>
    </row>
    <row r="81" spans="1:24" ht="14.5" x14ac:dyDescent="0.25">
      <c r="A81" s="1020"/>
      <c r="B81" s="1018" t="s">
        <v>328</v>
      </c>
      <c r="C81" s="1018"/>
      <c r="D81" s="592">
        <v>2021</v>
      </c>
      <c r="E81" s="592">
        <v>2019</v>
      </c>
      <c r="F81" s="592">
        <v>2016</v>
      </c>
      <c r="G81" s="1017"/>
      <c r="I81" s="1019" t="s">
        <v>41</v>
      </c>
      <c r="J81" s="1018"/>
      <c r="K81" s="592">
        <f>D81</f>
        <v>2021</v>
      </c>
      <c r="L81" s="592">
        <f>E81</f>
        <v>2019</v>
      </c>
      <c r="M81" s="592">
        <v>2016</v>
      </c>
      <c r="N81" s="1017"/>
      <c r="P81" s="1019" t="s">
        <v>329</v>
      </c>
      <c r="Q81" s="1018"/>
      <c r="R81" s="592">
        <f>K81</f>
        <v>2021</v>
      </c>
      <c r="S81" s="592">
        <f>L81</f>
        <v>2019</v>
      </c>
      <c r="T81" s="592">
        <v>2016</v>
      </c>
      <c r="U81" s="1017"/>
      <c r="W81" s="590" t="s">
        <v>41</v>
      </c>
      <c r="X81" s="591">
        <v>2.5</v>
      </c>
    </row>
    <row r="82" spans="1:24" ht="13.5" thickBot="1" x14ac:dyDescent="0.3">
      <c r="A82" s="1020"/>
      <c r="B82" s="593">
        <v>1</v>
      </c>
      <c r="C82" s="588">
        <v>15</v>
      </c>
      <c r="D82" s="588">
        <v>0.1</v>
      </c>
      <c r="E82" s="594">
        <v>9.9999999999999995E-7</v>
      </c>
      <c r="F82" s="598"/>
      <c r="G82" s="595">
        <f>0.5*(MAX(D82:F82)-MIN(D82:F82))</f>
        <v>4.9999500000000002E-2</v>
      </c>
      <c r="I82" s="593">
        <v>1</v>
      </c>
      <c r="J82" s="588">
        <v>30</v>
      </c>
      <c r="K82" s="588">
        <v>-4</v>
      </c>
      <c r="L82" s="588">
        <v>-1.4</v>
      </c>
      <c r="M82" s="598"/>
      <c r="N82" s="595">
        <f>0.5*(MAX(K82:M82)-MIN(K82:M82))</f>
        <v>1.3</v>
      </c>
      <c r="P82" s="593">
        <v>1</v>
      </c>
      <c r="Q82" s="588">
        <v>750</v>
      </c>
      <c r="R82" s="594">
        <v>9.9999999999999995E-7</v>
      </c>
      <c r="S82" s="594">
        <v>9.9999999999999995E-7</v>
      </c>
      <c r="T82" s="598"/>
      <c r="U82" s="595">
        <f>0.5*(MAX(R82:T82)-MIN(R82:T82))</f>
        <v>0</v>
      </c>
      <c r="W82" s="599" t="s">
        <v>329</v>
      </c>
      <c r="X82" s="600">
        <v>2.1</v>
      </c>
    </row>
    <row r="83" spans="1:24" ht="13" x14ac:dyDescent="0.25">
      <c r="A83" s="1020"/>
      <c r="B83" s="593">
        <v>2</v>
      </c>
      <c r="C83" s="588">
        <v>20</v>
      </c>
      <c r="D83" s="594">
        <v>9.9999999999999995E-7</v>
      </c>
      <c r="E83" s="588">
        <v>-0.2</v>
      </c>
      <c r="F83" s="598"/>
      <c r="G83" s="595">
        <f t="shared" ref="G83:G88" si="21">0.5*(MAX(D83:F83)-MIN(D83:F83))</f>
        <v>0.10000050000000001</v>
      </c>
      <c r="I83" s="593">
        <v>2</v>
      </c>
      <c r="J83" s="588">
        <v>40</v>
      </c>
      <c r="K83" s="588">
        <v>-3.8</v>
      </c>
      <c r="L83" s="588">
        <v>-1.2</v>
      </c>
      <c r="M83" s="598"/>
      <c r="N83" s="595">
        <f t="shared" ref="N83:N88" si="22">0.5*(MAX(K83:M83)-MIN(K83:M83))</f>
        <v>1.2999999999999998</v>
      </c>
      <c r="P83" s="593">
        <v>2</v>
      </c>
      <c r="Q83" s="588">
        <v>800</v>
      </c>
      <c r="R83" s="594">
        <v>9.9999999999999995E-7</v>
      </c>
      <c r="S83" s="594">
        <v>9.9999999999999995E-7</v>
      </c>
      <c r="T83" s="598"/>
      <c r="U83" s="595">
        <f t="shared" ref="U83:U88" si="23">0.5*(MAX(R83:T83)-MIN(R83:T83))</f>
        <v>0</v>
      </c>
    </row>
    <row r="84" spans="1:24" ht="13" x14ac:dyDescent="0.25">
      <c r="A84" s="1020"/>
      <c r="B84" s="593">
        <v>3</v>
      </c>
      <c r="C84" s="588">
        <v>25</v>
      </c>
      <c r="D84" s="588">
        <v>-0.1</v>
      </c>
      <c r="E84" s="588">
        <v>-0.4</v>
      </c>
      <c r="F84" s="598"/>
      <c r="G84" s="595">
        <f t="shared" si="21"/>
        <v>0.15000000000000002</v>
      </c>
      <c r="I84" s="593">
        <v>3</v>
      </c>
      <c r="J84" s="588">
        <v>50</v>
      </c>
      <c r="K84" s="588">
        <v>-3.8</v>
      </c>
      <c r="L84" s="588">
        <v>-1.2</v>
      </c>
      <c r="M84" s="598"/>
      <c r="N84" s="595">
        <f t="shared" si="22"/>
        <v>1.2999999999999998</v>
      </c>
      <c r="P84" s="593">
        <v>3</v>
      </c>
      <c r="Q84" s="588">
        <v>850</v>
      </c>
      <c r="R84" s="594">
        <v>9.9999999999999995E-7</v>
      </c>
      <c r="S84" s="594">
        <v>9.9999999999999995E-7</v>
      </c>
      <c r="T84" s="598"/>
      <c r="U84" s="595">
        <f t="shared" si="23"/>
        <v>0</v>
      </c>
    </row>
    <row r="85" spans="1:24" ht="13" x14ac:dyDescent="0.25">
      <c r="A85" s="1020"/>
      <c r="B85" s="593">
        <v>4</v>
      </c>
      <c r="C85" s="601">
        <v>30</v>
      </c>
      <c r="D85" s="588">
        <v>-0.2</v>
      </c>
      <c r="E85" s="588">
        <v>-0.4</v>
      </c>
      <c r="F85" s="598"/>
      <c r="G85" s="595">
        <f t="shared" si="21"/>
        <v>0.1</v>
      </c>
      <c r="I85" s="593">
        <v>4</v>
      </c>
      <c r="J85" s="601">
        <v>60</v>
      </c>
      <c r="K85" s="601">
        <v>-3.9</v>
      </c>
      <c r="L85" s="601">
        <v>-1.1000000000000001</v>
      </c>
      <c r="M85" s="598"/>
      <c r="N85" s="595">
        <f t="shared" si="22"/>
        <v>1.4</v>
      </c>
      <c r="P85" s="593">
        <v>4</v>
      </c>
      <c r="Q85" s="601">
        <v>900</v>
      </c>
      <c r="R85" s="602">
        <v>-4.4000000000000004</v>
      </c>
      <c r="S85" s="594">
        <v>9.9999999999999995E-7</v>
      </c>
      <c r="T85" s="598"/>
      <c r="U85" s="595">
        <f t="shared" si="23"/>
        <v>2.2000005000000002</v>
      </c>
    </row>
    <row r="86" spans="1:24" ht="13" x14ac:dyDescent="0.25">
      <c r="A86" s="1020"/>
      <c r="B86" s="593">
        <v>5</v>
      </c>
      <c r="C86" s="601">
        <v>35</v>
      </c>
      <c r="D86" s="601">
        <v>-0.1</v>
      </c>
      <c r="E86" s="601">
        <v>-0.5</v>
      </c>
      <c r="F86" s="598"/>
      <c r="G86" s="595">
        <f t="shared" si="21"/>
        <v>0.2</v>
      </c>
      <c r="I86" s="593">
        <v>5</v>
      </c>
      <c r="J86" s="601">
        <v>70</v>
      </c>
      <c r="K86" s="601">
        <v>-4.0999999999999996</v>
      </c>
      <c r="L86" s="601">
        <v>-1.2</v>
      </c>
      <c r="M86" s="598"/>
      <c r="N86" s="595">
        <f t="shared" si="22"/>
        <v>1.4499999999999997</v>
      </c>
      <c r="P86" s="593">
        <v>5</v>
      </c>
      <c r="Q86" s="601">
        <v>1000</v>
      </c>
      <c r="R86" s="602">
        <v>-3.5</v>
      </c>
      <c r="S86" s="602">
        <v>0.2</v>
      </c>
      <c r="T86" s="598"/>
      <c r="U86" s="595">
        <f t="shared" si="23"/>
        <v>1.85</v>
      </c>
    </row>
    <row r="87" spans="1:24" ht="13" x14ac:dyDescent="0.25">
      <c r="A87" s="1020"/>
      <c r="B87" s="593">
        <v>6</v>
      </c>
      <c r="C87" s="601">
        <v>37</v>
      </c>
      <c r="D87" s="601">
        <v>-0.1</v>
      </c>
      <c r="E87" s="601">
        <v>-0.5</v>
      </c>
      <c r="F87" s="598"/>
      <c r="G87" s="595">
        <f t="shared" si="21"/>
        <v>0.2</v>
      </c>
      <c r="I87" s="593">
        <v>6</v>
      </c>
      <c r="J87" s="601">
        <v>80</v>
      </c>
      <c r="K87" s="601">
        <v>-4.5</v>
      </c>
      <c r="L87" s="601">
        <v>-1.2</v>
      </c>
      <c r="M87" s="598"/>
      <c r="N87" s="595">
        <f t="shared" si="22"/>
        <v>1.65</v>
      </c>
      <c r="P87" s="593">
        <v>6</v>
      </c>
      <c r="Q87" s="601">
        <v>1005</v>
      </c>
      <c r="R87" s="602">
        <v>-3.4</v>
      </c>
      <c r="S87" s="602">
        <v>0.2</v>
      </c>
      <c r="T87" s="598"/>
      <c r="U87" s="595">
        <f t="shared" si="23"/>
        <v>1.8</v>
      </c>
    </row>
    <row r="88" spans="1:24" ht="13" x14ac:dyDescent="0.25">
      <c r="A88" s="1020"/>
      <c r="B88" s="593">
        <v>7</v>
      </c>
      <c r="C88" s="601">
        <v>40</v>
      </c>
      <c r="D88" s="594">
        <v>9.9999999999999995E-7</v>
      </c>
      <c r="E88" s="601">
        <v>-0.4</v>
      </c>
      <c r="F88" s="598"/>
      <c r="G88" s="595">
        <f t="shared" si="21"/>
        <v>0.2000005</v>
      </c>
      <c r="I88" s="593">
        <v>7</v>
      </c>
      <c r="J88" s="601">
        <v>90</v>
      </c>
      <c r="K88" s="601">
        <v>-4.9000000000000004</v>
      </c>
      <c r="L88" s="601">
        <v>-1.3</v>
      </c>
      <c r="M88" s="598"/>
      <c r="N88" s="595">
        <f t="shared" si="22"/>
        <v>1.8000000000000003</v>
      </c>
      <c r="P88" s="593">
        <v>7</v>
      </c>
      <c r="Q88" s="601">
        <v>1020</v>
      </c>
      <c r="R88" s="602">
        <v>-3.4</v>
      </c>
      <c r="S88" s="594">
        <v>9.9999999999999995E-7</v>
      </c>
      <c r="T88" s="598"/>
      <c r="U88" s="595">
        <f t="shared" si="23"/>
        <v>1.7000005</v>
      </c>
    </row>
    <row r="89" spans="1:24" ht="13.5" thickBot="1" x14ac:dyDescent="0.35">
      <c r="A89" s="606"/>
      <c r="B89" s="440"/>
      <c r="C89" s="440"/>
      <c r="D89" s="440"/>
      <c r="E89" s="607"/>
      <c r="G89" s="589"/>
      <c r="I89" s="440"/>
      <c r="J89" s="440"/>
      <c r="K89" s="440"/>
      <c r="L89" s="607"/>
      <c r="N89" s="589"/>
      <c r="R89" s="605"/>
    </row>
    <row r="90" spans="1:24" x14ac:dyDescent="0.25">
      <c r="A90" s="1020">
        <v>9</v>
      </c>
      <c r="B90" s="1021" t="s">
        <v>337</v>
      </c>
      <c r="C90" s="1021"/>
      <c r="D90" s="1021"/>
      <c r="E90" s="1021"/>
      <c r="F90" s="1021"/>
      <c r="G90" s="1021"/>
      <c r="I90" s="1021" t="str">
        <f>B90</f>
        <v>KOREKSI GREISINGER 34904091</v>
      </c>
      <c r="J90" s="1021"/>
      <c r="K90" s="1021"/>
      <c r="L90" s="1021"/>
      <c r="M90" s="1021"/>
      <c r="N90" s="1021"/>
      <c r="P90" s="1021" t="str">
        <f>I90</f>
        <v>KOREKSI GREISINGER 34904091</v>
      </c>
      <c r="Q90" s="1021"/>
      <c r="R90" s="1021"/>
      <c r="S90" s="1021"/>
      <c r="T90" s="1021"/>
      <c r="U90" s="1021"/>
      <c r="W90" s="1015" t="s">
        <v>251</v>
      </c>
      <c r="X90" s="1016"/>
    </row>
    <row r="91" spans="1:24" ht="13" x14ac:dyDescent="0.25">
      <c r="A91" s="1020"/>
      <c r="B91" s="1017" t="s">
        <v>325</v>
      </c>
      <c r="C91" s="1017"/>
      <c r="D91" s="1017" t="s">
        <v>244</v>
      </c>
      <c r="E91" s="1017"/>
      <c r="F91" s="1017"/>
      <c r="G91" s="1017" t="s">
        <v>239</v>
      </c>
      <c r="I91" s="1017" t="s">
        <v>326</v>
      </c>
      <c r="J91" s="1017"/>
      <c r="K91" s="1017" t="s">
        <v>244</v>
      </c>
      <c r="L91" s="1017"/>
      <c r="M91" s="1017"/>
      <c r="N91" s="1017" t="s">
        <v>239</v>
      </c>
      <c r="P91" s="1017" t="s">
        <v>327</v>
      </c>
      <c r="Q91" s="1017"/>
      <c r="R91" s="1017" t="s">
        <v>244</v>
      </c>
      <c r="S91" s="1017"/>
      <c r="T91" s="1017"/>
      <c r="U91" s="1017" t="s">
        <v>239</v>
      </c>
      <c r="W91" s="590" t="s">
        <v>325</v>
      </c>
      <c r="X91" s="591">
        <v>0.3</v>
      </c>
    </row>
    <row r="92" spans="1:24" ht="14.5" x14ac:dyDescent="0.25">
      <c r="A92" s="1020"/>
      <c r="B92" s="1018" t="s">
        <v>328</v>
      </c>
      <c r="C92" s="1018"/>
      <c r="D92" s="592">
        <v>2019</v>
      </c>
      <c r="E92" s="608" t="s">
        <v>16</v>
      </c>
      <c r="F92" s="592">
        <v>2016</v>
      </c>
      <c r="G92" s="1017"/>
      <c r="I92" s="1019" t="s">
        <v>41</v>
      </c>
      <c r="J92" s="1018"/>
      <c r="K92" s="609">
        <f>D92</f>
        <v>2019</v>
      </c>
      <c r="L92" s="609" t="str">
        <f>E92</f>
        <v>-</v>
      </c>
      <c r="M92" s="592">
        <v>2016</v>
      </c>
      <c r="N92" s="1017"/>
      <c r="P92" s="1019" t="s">
        <v>329</v>
      </c>
      <c r="Q92" s="1018"/>
      <c r="R92" s="609">
        <f>K92</f>
        <v>2019</v>
      </c>
      <c r="S92" s="609" t="str">
        <f>L92</f>
        <v>-</v>
      </c>
      <c r="T92" s="592">
        <v>2016</v>
      </c>
      <c r="U92" s="1017"/>
      <c r="W92" s="590" t="s">
        <v>41</v>
      </c>
      <c r="X92" s="591">
        <v>2.4</v>
      </c>
    </row>
    <row r="93" spans="1:24" ht="13.5" thickBot="1" x14ac:dyDescent="0.3">
      <c r="A93" s="1020"/>
      <c r="B93" s="593">
        <v>1</v>
      </c>
      <c r="C93" s="588">
        <v>15</v>
      </c>
      <c r="D93" s="594">
        <v>9.9999999999999995E-7</v>
      </c>
      <c r="E93" s="594" t="s">
        <v>16</v>
      </c>
      <c r="F93" s="598"/>
      <c r="G93" s="595">
        <f>0.5*(MAX(D93:F93)-MIN(D93:F93))</f>
        <v>0</v>
      </c>
      <c r="I93" s="593">
        <v>1</v>
      </c>
      <c r="J93" s="588">
        <v>30</v>
      </c>
      <c r="K93" s="594">
        <v>-1.2</v>
      </c>
      <c r="L93" s="594" t="s">
        <v>16</v>
      </c>
      <c r="M93" s="598"/>
      <c r="N93" s="595">
        <f>0.5*(MAX(K93:M93)-MIN(K93:M93))</f>
        <v>0</v>
      </c>
      <c r="P93" s="593">
        <v>1</v>
      </c>
      <c r="Q93" s="588">
        <v>750</v>
      </c>
      <c r="R93" s="594">
        <v>9.9999999999999995E-7</v>
      </c>
      <c r="S93" s="597" t="s">
        <v>16</v>
      </c>
      <c r="T93" s="598"/>
      <c r="U93" s="595">
        <f>0.5*(MAX(R93:T93)-MIN(R93:T93))</f>
        <v>0</v>
      </c>
      <c r="W93" s="599" t="s">
        <v>329</v>
      </c>
      <c r="X93" s="600">
        <v>2.2000000000000002</v>
      </c>
    </row>
    <row r="94" spans="1:24" ht="13" x14ac:dyDescent="0.25">
      <c r="A94" s="1020"/>
      <c r="B94" s="593">
        <v>2</v>
      </c>
      <c r="C94" s="588">
        <v>20</v>
      </c>
      <c r="D94" s="594">
        <v>-0.2</v>
      </c>
      <c r="E94" s="594" t="s">
        <v>16</v>
      </c>
      <c r="F94" s="598"/>
      <c r="G94" s="595">
        <f t="shared" ref="G94:G99" si="24">0.5*(MAX(D94:F94)-MIN(D94:F94))</f>
        <v>0</v>
      </c>
      <c r="I94" s="593">
        <v>2</v>
      </c>
      <c r="J94" s="588">
        <v>40</v>
      </c>
      <c r="K94" s="594">
        <v>-1</v>
      </c>
      <c r="L94" s="594" t="s">
        <v>16</v>
      </c>
      <c r="M94" s="598"/>
      <c r="N94" s="595">
        <f t="shared" ref="N94:N99" si="25">0.5*(MAX(K94:M94)-MIN(K94:M94))</f>
        <v>0</v>
      </c>
      <c r="P94" s="593">
        <v>2</v>
      </c>
      <c r="Q94" s="588">
        <v>800</v>
      </c>
      <c r="R94" s="594">
        <v>9.9999999999999995E-7</v>
      </c>
      <c r="S94" s="597" t="s">
        <v>16</v>
      </c>
      <c r="T94" s="598"/>
      <c r="U94" s="595">
        <f t="shared" ref="U94:U99" si="26">0.5*(MAX(R94:T94)-MIN(R94:T94))</f>
        <v>0</v>
      </c>
    </row>
    <row r="95" spans="1:24" ht="13" x14ac:dyDescent="0.25">
      <c r="A95" s="1020"/>
      <c r="B95" s="593">
        <v>3</v>
      </c>
      <c r="C95" s="588">
        <v>25</v>
      </c>
      <c r="D95" s="594">
        <v>-0.4</v>
      </c>
      <c r="E95" s="594" t="s">
        <v>16</v>
      </c>
      <c r="F95" s="598"/>
      <c r="G95" s="595">
        <f t="shared" si="24"/>
        <v>0</v>
      </c>
      <c r="I95" s="593">
        <v>3</v>
      </c>
      <c r="J95" s="588">
        <v>50</v>
      </c>
      <c r="K95" s="594">
        <v>-0.9</v>
      </c>
      <c r="L95" s="594" t="s">
        <v>16</v>
      </c>
      <c r="M95" s="598"/>
      <c r="N95" s="595">
        <f t="shared" si="25"/>
        <v>0</v>
      </c>
      <c r="P95" s="593">
        <v>3</v>
      </c>
      <c r="Q95" s="588">
        <v>850</v>
      </c>
      <c r="R95" s="594">
        <v>9.9999999999999995E-7</v>
      </c>
      <c r="S95" s="597" t="s">
        <v>16</v>
      </c>
      <c r="T95" s="598"/>
      <c r="U95" s="595">
        <f t="shared" si="26"/>
        <v>0</v>
      </c>
    </row>
    <row r="96" spans="1:24" ht="13" x14ac:dyDescent="0.25">
      <c r="A96" s="1020"/>
      <c r="B96" s="593">
        <v>4</v>
      </c>
      <c r="C96" s="601">
        <v>30</v>
      </c>
      <c r="D96" s="594">
        <v>-0.5</v>
      </c>
      <c r="E96" s="602" t="s">
        <v>16</v>
      </c>
      <c r="F96" s="598"/>
      <c r="G96" s="595">
        <f t="shared" si="24"/>
        <v>0</v>
      </c>
      <c r="I96" s="593">
        <v>4</v>
      </c>
      <c r="J96" s="601">
        <v>60</v>
      </c>
      <c r="K96" s="594">
        <v>-0.8</v>
      </c>
      <c r="L96" s="602" t="s">
        <v>16</v>
      </c>
      <c r="M96" s="598"/>
      <c r="N96" s="595">
        <f t="shared" si="25"/>
        <v>0</v>
      </c>
      <c r="P96" s="593">
        <v>4</v>
      </c>
      <c r="Q96" s="601">
        <v>900</v>
      </c>
      <c r="R96" s="594">
        <v>9.9999999999999995E-7</v>
      </c>
      <c r="S96" s="602" t="s">
        <v>16</v>
      </c>
      <c r="T96" s="598"/>
      <c r="U96" s="595">
        <f t="shared" si="26"/>
        <v>0</v>
      </c>
    </row>
    <row r="97" spans="1:28" ht="13" x14ac:dyDescent="0.25">
      <c r="A97" s="1020"/>
      <c r="B97" s="593">
        <v>5</v>
      </c>
      <c r="C97" s="601">
        <v>35</v>
      </c>
      <c r="D97" s="594">
        <v>-0.5</v>
      </c>
      <c r="E97" s="602" t="s">
        <v>16</v>
      </c>
      <c r="F97" s="598"/>
      <c r="G97" s="595">
        <f t="shared" si="24"/>
        <v>0</v>
      </c>
      <c r="I97" s="593">
        <v>5</v>
      </c>
      <c r="J97" s="601">
        <v>70</v>
      </c>
      <c r="K97" s="594">
        <v>-0.6</v>
      </c>
      <c r="L97" s="602" t="s">
        <v>16</v>
      </c>
      <c r="M97" s="598"/>
      <c r="N97" s="595">
        <f t="shared" si="25"/>
        <v>0</v>
      </c>
      <c r="P97" s="593">
        <v>5</v>
      </c>
      <c r="Q97" s="601">
        <v>1000</v>
      </c>
      <c r="R97" s="602">
        <v>0.2</v>
      </c>
      <c r="S97" s="602" t="s">
        <v>16</v>
      </c>
      <c r="T97" s="598"/>
      <c r="U97" s="595">
        <f t="shared" si="26"/>
        <v>0</v>
      </c>
    </row>
    <row r="98" spans="1:28" ht="13" x14ac:dyDescent="0.25">
      <c r="A98" s="1020"/>
      <c r="B98" s="593">
        <v>6</v>
      </c>
      <c r="C98" s="601">
        <v>37</v>
      </c>
      <c r="D98" s="594">
        <v>-0.5</v>
      </c>
      <c r="E98" s="602" t="s">
        <v>16</v>
      </c>
      <c r="F98" s="598"/>
      <c r="G98" s="595">
        <f t="shared" si="24"/>
        <v>0</v>
      </c>
      <c r="I98" s="593">
        <v>6</v>
      </c>
      <c r="J98" s="601">
        <v>80</v>
      </c>
      <c r="K98" s="594">
        <v>-0.5</v>
      </c>
      <c r="L98" s="602" t="s">
        <v>16</v>
      </c>
      <c r="M98" s="598"/>
      <c r="N98" s="595">
        <f t="shared" si="25"/>
        <v>0</v>
      </c>
      <c r="P98" s="593">
        <v>6</v>
      </c>
      <c r="Q98" s="601">
        <v>1005</v>
      </c>
      <c r="R98" s="602">
        <v>0.2</v>
      </c>
      <c r="S98" s="602" t="s">
        <v>16</v>
      </c>
      <c r="T98" s="598"/>
      <c r="U98" s="595">
        <f t="shared" si="26"/>
        <v>0</v>
      </c>
    </row>
    <row r="99" spans="1:28" ht="13" x14ac:dyDescent="0.25">
      <c r="A99" s="1020"/>
      <c r="B99" s="593">
        <v>7</v>
      </c>
      <c r="C99" s="601">
        <v>40</v>
      </c>
      <c r="D99" s="594">
        <v>-0.4</v>
      </c>
      <c r="E99" s="602" t="s">
        <v>16</v>
      </c>
      <c r="F99" s="598"/>
      <c r="G99" s="595">
        <f t="shared" si="24"/>
        <v>0</v>
      </c>
      <c r="I99" s="593">
        <v>7</v>
      </c>
      <c r="J99" s="601">
        <v>90</v>
      </c>
      <c r="K99" s="594">
        <v>-0.2</v>
      </c>
      <c r="L99" s="602" t="s">
        <v>16</v>
      </c>
      <c r="M99" s="598"/>
      <c r="N99" s="595">
        <f t="shared" si="25"/>
        <v>0</v>
      </c>
      <c r="P99" s="593">
        <v>7</v>
      </c>
      <c r="Q99" s="601">
        <v>1020</v>
      </c>
      <c r="R99" s="594">
        <v>9.9999999999999995E-7</v>
      </c>
      <c r="S99" s="602" t="s">
        <v>16</v>
      </c>
      <c r="T99" s="598"/>
      <c r="U99" s="595">
        <f t="shared" si="26"/>
        <v>0</v>
      </c>
    </row>
    <row r="100" spans="1:28" ht="13.5" thickBot="1" x14ac:dyDescent="0.35">
      <c r="A100" s="606"/>
      <c r="B100" s="440"/>
      <c r="C100" s="440"/>
      <c r="D100" s="440"/>
      <c r="E100" s="607"/>
      <c r="G100" s="589"/>
      <c r="I100" s="440"/>
      <c r="J100" s="440"/>
      <c r="K100" s="440"/>
      <c r="L100" s="607"/>
      <c r="N100" s="589"/>
      <c r="R100" s="605"/>
      <c r="AB100" s="485"/>
    </row>
    <row r="101" spans="1:28" x14ac:dyDescent="0.25">
      <c r="A101" s="1020">
        <v>10</v>
      </c>
      <c r="B101" s="1021" t="s">
        <v>338</v>
      </c>
      <c r="C101" s="1021"/>
      <c r="D101" s="1021"/>
      <c r="E101" s="1021"/>
      <c r="F101" s="1021"/>
      <c r="G101" s="1021"/>
      <c r="I101" s="1021" t="str">
        <f>B101</f>
        <v>KOREKSI Sekonic HE-21.000669</v>
      </c>
      <c r="J101" s="1021"/>
      <c r="K101" s="1021"/>
      <c r="L101" s="1021"/>
      <c r="M101" s="1021"/>
      <c r="N101" s="1021"/>
      <c r="P101" s="1021" t="str">
        <f>I101</f>
        <v>KOREKSI Sekonic HE-21.000669</v>
      </c>
      <c r="Q101" s="1021"/>
      <c r="R101" s="1021"/>
      <c r="S101" s="1021"/>
      <c r="T101" s="1021"/>
      <c r="U101" s="1021"/>
      <c r="W101" s="1015" t="s">
        <v>251</v>
      </c>
      <c r="X101" s="1016"/>
    </row>
    <row r="102" spans="1:28" ht="13" x14ac:dyDescent="0.25">
      <c r="A102" s="1020"/>
      <c r="B102" s="1017" t="s">
        <v>325</v>
      </c>
      <c r="C102" s="1017"/>
      <c r="D102" s="1017" t="s">
        <v>244</v>
      </c>
      <c r="E102" s="1017"/>
      <c r="F102" s="1017"/>
      <c r="G102" s="1017" t="s">
        <v>239</v>
      </c>
      <c r="I102" s="1017" t="s">
        <v>326</v>
      </c>
      <c r="J102" s="1017"/>
      <c r="K102" s="1017" t="s">
        <v>244</v>
      </c>
      <c r="L102" s="1017"/>
      <c r="M102" s="1017"/>
      <c r="N102" s="1017" t="s">
        <v>239</v>
      </c>
      <c r="P102" s="1017" t="s">
        <v>327</v>
      </c>
      <c r="Q102" s="1017"/>
      <c r="R102" s="1017" t="s">
        <v>244</v>
      </c>
      <c r="S102" s="1017"/>
      <c r="T102" s="1017"/>
      <c r="U102" s="1017" t="s">
        <v>239</v>
      </c>
      <c r="W102" s="590" t="s">
        <v>325</v>
      </c>
      <c r="X102" s="591">
        <v>0.3</v>
      </c>
    </row>
    <row r="103" spans="1:28" ht="14.5" x14ac:dyDescent="0.25">
      <c r="A103" s="1020"/>
      <c r="B103" s="1018" t="s">
        <v>328</v>
      </c>
      <c r="C103" s="1018"/>
      <c r="D103" s="592">
        <v>2019</v>
      </c>
      <c r="E103" s="592">
        <v>2016</v>
      </c>
      <c r="F103" s="592">
        <v>2016</v>
      </c>
      <c r="G103" s="1017"/>
      <c r="I103" s="1019" t="s">
        <v>41</v>
      </c>
      <c r="J103" s="1018"/>
      <c r="K103" s="609">
        <f>D103</f>
        <v>2019</v>
      </c>
      <c r="L103" s="609">
        <f>E103</f>
        <v>2016</v>
      </c>
      <c r="M103" s="592">
        <v>2016</v>
      </c>
      <c r="N103" s="1017"/>
      <c r="P103" s="1019" t="s">
        <v>329</v>
      </c>
      <c r="Q103" s="1018"/>
      <c r="R103" s="592">
        <f>K103</f>
        <v>2019</v>
      </c>
      <c r="S103" s="592">
        <f>L103</f>
        <v>2016</v>
      </c>
      <c r="T103" s="592">
        <v>2016</v>
      </c>
      <c r="U103" s="1017"/>
      <c r="W103" s="590" t="s">
        <v>41</v>
      </c>
      <c r="X103" s="591">
        <v>1.5</v>
      </c>
    </row>
    <row r="104" spans="1:28" ht="13.5" thickBot="1" x14ac:dyDescent="0.3">
      <c r="A104" s="1020"/>
      <c r="B104" s="593">
        <v>1</v>
      </c>
      <c r="C104" s="588">
        <v>15</v>
      </c>
      <c r="D104" s="588">
        <v>0.2</v>
      </c>
      <c r="E104" s="588">
        <v>0.2</v>
      </c>
      <c r="F104" s="598"/>
      <c r="G104" s="595">
        <f>0.5*(MAX(D104:F104)-MIN(D104:F104))</f>
        <v>0</v>
      </c>
      <c r="I104" s="593">
        <v>1</v>
      </c>
      <c r="J104" s="594">
        <v>30</v>
      </c>
      <c r="K104" s="588">
        <v>-2.9</v>
      </c>
      <c r="L104" s="588">
        <v>-5.8</v>
      </c>
      <c r="M104" s="598"/>
      <c r="N104" s="595">
        <f>0.5*(MAX(K104:M104)-MIN(K104:M104))</f>
        <v>1.45</v>
      </c>
      <c r="P104" s="593">
        <v>1</v>
      </c>
      <c r="Q104" s="588">
        <v>750</v>
      </c>
      <c r="R104" s="597" t="s">
        <v>16</v>
      </c>
      <c r="S104" s="597" t="s">
        <v>16</v>
      </c>
      <c r="T104" s="598"/>
      <c r="U104" s="595">
        <f>0.5*(MAX(R104:T104)-MIN(R104:T104))</f>
        <v>0</v>
      </c>
      <c r="W104" s="599" t="s">
        <v>329</v>
      </c>
      <c r="X104" s="600">
        <v>0</v>
      </c>
    </row>
    <row r="105" spans="1:28" ht="13" x14ac:dyDescent="0.25">
      <c r="A105" s="1020"/>
      <c r="B105" s="593">
        <v>2</v>
      </c>
      <c r="C105" s="588">
        <v>20</v>
      </c>
      <c r="D105" s="588">
        <v>0.2</v>
      </c>
      <c r="E105" s="588">
        <v>-0.7</v>
      </c>
      <c r="F105" s="598"/>
      <c r="G105" s="595">
        <f t="shared" ref="G105:G110" si="27">0.5*(MAX(D105:F105)-MIN(D105:F105))</f>
        <v>0.44999999999999996</v>
      </c>
      <c r="I105" s="593">
        <v>2</v>
      </c>
      <c r="J105" s="594">
        <v>40</v>
      </c>
      <c r="K105" s="588">
        <v>-3.3</v>
      </c>
      <c r="L105" s="588">
        <v>-6.4</v>
      </c>
      <c r="M105" s="598"/>
      <c r="N105" s="595">
        <f t="shared" ref="N105:N110" si="28">0.5*(MAX(K105:M105)-MIN(K105:M105))</f>
        <v>1.5500000000000003</v>
      </c>
      <c r="P105" s="593">
        <v>2</v>
      </c>
      <c r="Q105" s="588">
        <v>800</v>
      </c>
      <c r="R105" s="597" t="s">
        <v>16</v>
      </c>
      <c r="S105" s="597" t="s">
        <v>16</v>
      </c>
      <c r="T105" s="598"/>
      <c r="U105" s="595">
        <f t="shared" ref="U105:U110" si="29">0.5*(MAX(R105:T105)-MIN(R105:T105))</f>
        <v>0</v>
      </c>
    </row>
    <row r="106" spans="1:28" ht="13" x14ac:dyDescent="0.25">
      <c r="A106" s="1020"/>
      <c r="B106" s="593">
        <v>3</v>
      </c>
      <c r="C106" s="588">
        <v>25</v>
      </c>
      <c r="D106" s="588">
        <v>0.1</v>
      </c>
      <c r="E106" s="588">
        <v>-0.5</v>
      </c>
      <c r="F106" s="598"/>
      <c r="G106" s="595">
        <f t="shared" si="27"/>
        <v>0.3</v>
      </c>
      <c r="I106" s="593">
        <v>3</v>
      </c>
      <c r="J106" s="594">
        <v>50</v>
      </c>
      <c r="K106" s="588">
        <v>-3.1</v>
      </c>
      <c r="L106" s="588">
        <v>-6.1</v>
      </c>
      <c r="M106" s="598"/>
      <c r="N106" s="595">
        <f t="shared" si="28"/>
        <v>1.4999999999999998</v>
      </c>
      <c r="P106" s="593">
        <v>3</v>
      </c>
      <c r="Q106" s="588">
        <v>850</v>
      </c>
      <c r="R106" s="597" t="s">
        <v>16</v>
      </c>
      <c r="S106" s="597" t="s">
        <v>16</v>
      </c>
      <c r="T106" s="598"/>
      <c r="U106" s="595">
        <f t="shared" si="29"/>
        <v>0</v>
      </c>
    </row>
    <row r="107" spans="1:28" ht="13" x14ac:dyDescent="0.25">
      <c r="A107" s="1020"/>
      <c r="B107" s="593">
        <v>4</v>
      </c>
      <c r="C107" s="601">
        <v>30</v>
      </c>
      <c r="D107" s="601">
        <v>0.1</v>
      </c>
      <c r="E107" s="601">
        <v>0.2</v>
      </c>
      <c r="F107" s="598"/>
      <c r="G107" s="595">
        <f t="shared" si="27"/>
        <v>0.05</v>
      </c>
      <c r="I107" s="593">
        <v>4</v>
      </c>
      <c r="J107" s="610">
        <v>60</v>
      </c>
      <c r="K107" s="601">
        <v>-2.1</v>
      </c>
      <c r="L107" s="601">
        <v>-5.6</v>
      </c>
      <c r="M107" s="598"/>
      <c r="N107" s="595">
        <f t="shared" si="28"/>
        <v>1.7499999999999998</v>
      </c>
      <c r="P107" s="593">
        <v>4</v>
      </c>
      <c r="Q107" s="601">
        <v>900</v>
      </c>
      <c r="R107" s="602" t="s">
        <v>16</v>
      </c>
      <c r="S107" s="602" t="s">
        <v>16</v>
      </c>
      <c r="T107" s="598"/>
      <c r="U107" s="595">
        <f t="shared" si="29"/>
        <v>0</v>
      </c>
    </row>
    <row r="108" spans="1:28" ht="13" x14ac:dyDescent="0.25">
      <c r="A108" s="1020"/>
      <c r="B108" s="593">
        <v>5</v>
      </c>
      <c r="C108" s="601">
        <v>35</v>
      </c>
      <c r="D108" s="601">
        <v>0.2</v>
      </c>
      <c r="E108" s="601">
        <v>0.8</v>
      </c>
      <c r="F108" s="598"/>
      <c r="G108" s="595">
        <f t="shared" si="27"/>
        <v>0.30000000000000004</v>
      </c>
      <c r="I108" s="593">
        <v>5</v>
      </c>
      <c r="J108" s="610">
        <v>70</v>
      </c>
      <c r="K108" s="601">
        <v>-0.3</v>
      </c>
      <c r="L108" s="601">
        <v>-5.0999999999999996</v>
      </c>
      <c r="M108" s="598"/>
      <c r="N108" s="595">
        <f t="shared" si="28"/>
        <v>2.4</v>
      </c>
      <c r="P108" s="593">
        <v>5</v>
      </c>
      <c r="Q108" s="601">
        <v>1000</v>
      </c>
      <c r="R108" s="602" t="s">
        <v>16</v>
      </c>
      <c r="S108" s="602" t="s">
        <v>16</v>
      </c>
      <c r="T108" s="598"/>
      <c r="U108" s="595">
        <f t="shared" si="29"/>
        <v>0</v>
      </c>
    </row>
    <row r="109" spans="1:28" ht="13" x14ac:dyDescent="0.25">
      <c r="A109" s="1020"/>
      <c r="B109" s="593">
        <v>6</v>
      </c>
      <c r="C109" s="601">
        <v>37</v>
      </c>
      <c r="D109" s="601">
        <v>0.2</v>
      </c>
      <c r="E109" s="601">
        <v>0.4</v>
      </c>
      <c r="F109" s="598"/>
      <c r="G109" s="595">
        <f t="shared" si="27"/>
        <v>0.1</v>
      </c>
      <c r="I109" s="593">
        <v>6</v>
      </c>
      <c r="J109" s="610">
        <v>80</v>
      </c>
      <c r="K109" s="601">
        <v>2.2000000000000002</v>
      </c>
      <c r="L109" s="601">
        <v>-4.7</v>
      </c>
      <c r="M109" s="598"/>
      <c r="N109" s="595">
        <f t="shared" si="28"/>
        <v>3.45</v>
      </c>
      <c r="P109" s="593">
        <v>6</v>
      </c>
      <c r="Q109" s="601">
        <v>1005</v>
      </c>
      <c r="R109" s="602" t="s">
        <v>16</v>
      </c>
      <c r="S109" s="602" t="s">
        <v>16</v>
      </c>
      <c r="T109" s="598"/>
      <c r="U109" s="595">
        <f t="shared" si="29"/>
        <v>0</v>
      </c>
    </row>
    <row r="110" spans="1:28" ht="13.5" thickBot="1" x14ac:dyDescent="0.3">
      <c r="A110" s="1020"/>
      <c r="B110" s="593">
        <v>7</v>
      </c>
      <c r="C110" s="610">
        <v>40</v>
      </c>
      <c r="D110" s="594">
        <v>0.2</v>
      </c>
      <c r="E110" s="594">
        <v>9.9999999999999995E-7</v>
      </c>
      <c r="F110" s="598"/>
      <c r="G110" s="595">
        <f t="shared" si="27"/>
        <v>9.9999500000000005E-2</v>
      </c>
      <c r="I110" s="593">
        <v>7</v>
      </c>
      <c r="J110" s="610">
        <v>90</v>
      </c>
      <c r="K110" s="610">
        <v>5.4</v>
      </c>
      <c r="L110" s="594">
        <v>9.9999999999999995E-7</v>
      </c>
      <c r="M110" s="598"/>
      <c r="N110" s="595">
        <f t="shared" si="28"/>
        <v>2.6999995000000001</v>
      </c>
      <c r="P110" s="593">
        <v>7</v>
      </c>
      <c r="Q110" s="601">
        <v>1020</v>
      </c>
      <c r="R110" s="602" t="s">
        <v>16</v>
      </c>
      <c r="S110" s="602" t="s">
        <v>16</v>
      </c>
      <c r="T110" s="598"/>
      <c r="U110" s="595">
        <f t="shared" si="29"/>
        <v>0</v>
      </c>
    </row>
    <row r="111" spans="1:28" ht="13.5" thickBot="1" x14ac:dyDescent="0.35">
      <c r="A111" s="606"/>
      <c r="B111" s="440"/>
      <c r="C111" s="440"/>
      <c r="D111" s="440"/>
      <c r="E111" s="607"/>
      <c r="F111" s="589"/>
      <c r="G111" s="485"/>
      <c r="H111" s="440"/>
      <c r="I111" s="440"/>
      <c r="J111" s="440"/>
      <c r="K111" s="607"/>
      <c r="L111" s="589"/>
      <c r="M111" s="485"/>
      <c r="O111" s="611"/>
      <c r="P111" s="605"/>
    </row>
    <row r="112" spans="1:28" x14ac:dyDescent="0.25">
      <c r="A112" s="1020">
        <v>11</v>
      </c>
      <c r="B112" s="1021" t="s">
        <v>339</v>
      </c>
      <c r="C112" s="1021"/>
      <c r="D112" s="1021"/>
      <c r="E112" s="1021"/>
      <c r="F112" s="1021"/>
      <c r="G112" s="1021"/>
      <c r="I112" s="1021" t="str">
        <f>B112</f>
        <v>KOREKSI Sekonic HE-21.000670</v>
      </c>
      <c r="J112" s="1021"/>
      <c r="K112" s="1021"/>
      <c r="L112" s="1021"/>
      <c r="M112" s="1021"/>
      <c r="N112" s="1021"/>
      <c r="P112" s="1021" t="str">
        <f>I112</f>
        <v>KOREKSI Sekonic HE-21.000670</v>
      </c>
      <c r="Q112" s="1021"/>
      <c r="R112" s="1021"/>
      <c r="S112" s="1021"/>
      <c r="T112" s="1021"/>
      <c r="U112" s="1021"/>
      <c r="W112" s="1015" t="s">
        <v>251</v>
      </c>
      <c r="X112" s="1016"/>
      <c r="AB112" s="611"/>
    </row>
    <row r="113" spans="1:24" ht="13" x14ac:dyDescent="0.25">
      <c r="A113" s="1020"/>
      <c r="B113" s="1017" t="s">
        <v>325</v>
      </c>
      <c r="C113" s="1017"/>
      <c r="D113" s="1017" t="s">
        <v>244</v>
      </c>
      <c r="E113" s="1017"/>
      <c r="F113" s="1017"/>
      <c r="G113" s="1017" t="s">
        <v>239</v>
      </c>
      <c r="I113" s="1017" t="s">
        <v>326</v>
      </c>
      <c r="J113" s="1017"/>
      <c r="K113" s="1017" t="s">
        <v>244</v>
      </c>
      <c r="L113" s="1017"/>
      <c r="M113" s="1017"/>
      <c r="N113" s="1017" t="s">
        <v>239</v>
      </c>
      <c r="P113" s="1017" t="s">
        <v>327</v>
      </c>
      <c r="Q113" s="1017"/>
      <c r="R113" s="1017" t="s">
        <v>244</v>
      </c>
      <c r="S113" s="1017"/>
      <c r="T113" s="1017"/>
      <c r="U113" s="1017" t="s">
        <v>239</v>
      </c>
      <c r="W113" s="590" t="s">
        <v>325</v>
      </c>
      <c r="X113" s="591">
        <v>0.3</v>
      </c>
    </row>
    <row r="114" spans="1:24" ht="14.5" x14ac:dyDescent="0.25">
      <c r="A114" s="1020"/>
      <c r="B114" s="1018" t="s">
        <v>328</v>
      </c>
      <c r="C114" s="1018"/>
      <c r="D114" s="592">
        <v>2020</v>
      </c>
      <c r="E114" s="608">
        <v>2016</v>
      </c>
      <c r="F114" s="592">
        <v>2016</v>
      </c>
      <c r="G114" s="1017"/>
      <c r="I114" s="1019" t="s">
        <v>41</v>
      </c>
      <c r="J114" s="1018"/>
      <c r="K114" s="609">
        <f>D114</f>
        <v>2020</v>
      </c>
      <c r="L114" s="609">
        <f>E114</f>
        <v>2016</v>
      </c>
      <c r="M114" s="592">
        <v>2016</v>
      </c>
      <c r="N114" s="1017"/>
      <c r="P114" s="1019" t="s">
        <v>329</v>
      </c>
      <c r="Q114" s="1018"/>
      <c r="R114" s="609">
        <f>K114</f>
        <v>2020</v>
      </c>
      <c r="S114" s="609">
        <f>L114</f>
        <v>2016</v>
      </c>
      <c r="T114" s="592">
        <v>2016</v>
      </c>
      <c r="U114" s="1017"/>
      <c r="W114" s="590" t="s">
        <v>41</v>
      </c>
      <c r="X114" s="591">
        <v>1.8</v>
      </c>
    </row>
    <row r="115" spans="1:24" ht="13.5" thickBot="1" x14ac:dyDescent="0.3">
      <c r="A115" s="1020"/>
      <c r="B115" s="593">
        <v>1</v>
      </c>
      <c r="C115" s="588">
        <v>15</v>
      </c>
      <c r="D115" s="588">
        <v>0.3</v>
      </c>
      <c r="E115" s="588">
        <v>0.3</v>
      </c>
      <c r="F115" s="598"/>
      <c r="G115" s="595">
        <f>0.5*(MAX(D115:F115)-MIN(D115:F115))</f>
        <v>0</v>
      </c>
      <c r="I115" s="593">
        <v>1</v>
      </c>
      <c r="J115" s="588">
        <v>30</v>
      </c>
      <c r="K115" s="588">
        <v>-5.2</v>
      </c>
      <c r="L115" s="588">
        <v>-6.4</v>
      </c>
      <c r="M115" s="598"/>
      <c r="N115" s="595">
        <f>0.5*(MAX(K115:M115)-MIN(K115:M115))</f>
        <v>0.60000000000000009</v>
      </c>
      <c r="P115" s="593">
        <v>1</v>
      </c>
      <c r="Q115" s="588">
        <v>750</v>
      </c>
      <c r="R115" s="597" t="s">
        <v>16</v>
      </c>
      <c r="S115" s="594" t="s">
        <v>16</v>
      </c>
      <c r="T115" s="598"/>
      <c r="U115" s="595">
        <f>0.5*(MAX(R115:T115)-MIN(R115:T115))</f>
        <v>0</v>
      </c>
      <c r="W115" s="599" t="s">
        <v>329</v>
      </c>
      <c r="X115" s="600">
        <v>0</v>
      </c>
    </row>
    <row r="116" spans="1:24" ht="13" x14ac:dyDescent="0.25">
      <c r="A116" s="1020"/>
      <c r="B116" s="593">
        <v>2</v>
      </c>
      <c r="C116" s="588">
        <v>20</v>
      </c>
      <c r="D116" s="588">
        <v>0.4</v>
      </c>
      <c r="E116" s="588">
        <v>0.5</v>
      </c>
      <c r="F116" s="598"/>
      <c r="G116" s="595">
        <f t="shared" ref="G116:G121" si="30">0.5*(MAX(D116:F116)-MIN(D116:F116))</f>
        <v>4.9999999999999989E-2</v>
      </c>
      <c r="I116" s="593">
        <v>2</v>
      </c>
      <c r="J116" s="588">
        <v>40</v>
      </c>
      <c r="K116" s="588">
        <v>-5.5</v>
      </c>
      <c r="L116" s="588">
        <v>-5.9</v>
      </c>
      <c r="M116" s="598"/>
      <c r="N116" s="595">
        <f t="shared" ref="N116:N121" si="31">0.5*(MAX(K116:M116)-MIN(K116:M116))</f>
        <v>0.20000000000000018</v>
      </c>
      <c r="P116" s="593">
        <v>2</v>
      </c>
      <c r="Q116" s="588">
        <v>800</v>
      </c>
      <c r="R116" s="597" t="s">
        <v>16</v>
      </c>
      <c r="S116" s="594" t="s">
        <v>16</v>
      </c>
      <c r="T116" s="598"/>
      <c r="U116" s="595">
        <f t="shared" ref="U116:U121" si="32">0.5*(MAX(R116:T116)-MIN(R116:T116))</f>
        <v>0</v>
      </c>
    </row>
    <row r="117" spans="1:24" ht="13" x14ac:dyDescent="0.25">
      <c r="A117" s="1020"/>
      <c r="B117" s="593">
        <v>3</v>
      </c>
      <c r="C117" s="588">
        <v>25</v>
      </c>
      <c r="D117" s="588">
        <v>0.4</v>
      </c>
      <c r="E117" s="588">
        <v>0.5</v>
      </c>
      <c r="F117" s="598"/>
      <c r="G117" s="595">
        <f t="shared" si="30"/>
        <v>4.9999999999999989E-2</v>
      </c>
      <c r="I117" s="593">
        <v>3</v>
      </c>
      <c r="J117" s="588">
        <v>50</v>
      </c>
      <c r="K117" s="588">
        <v>-5.5</v>
      </c>
      <c r="L117" s="588">
        <v>-5.6</v>
      </c>
      <c r="M117" s="598"/>
      <c r="N117" s="595">
        <f t="shared" si="31"/>
        <v>4.9999999999999822E-2</v>
      </c>
      <c r="P117" s="593">
        <v>3</v>
      </c>
      <c r="Q117" s="588">
        <v>850</v>
      </c>
      <c r="R117" s="597" t="s">
        <v>16</v>
      </c>
      <c r="S117" s="594" t="s">
        <v>16</v>
      </c>
      <c r="T117" s="598"/>
      <c r="U117" s="595">
        <f t="shared" si="32"/>
        <v>0</v>
      </c>
    </row>
    <row r="118" spans="1:24" ht="13" x14ac:dyDescent="0.25">
      <c r="A118" s="1020"/>
      <c r="B118" s="593">
        <v>4</v>
      </c>
      <c r="C118" s="601">
        <v>30</v>
      </c>
      <c r="D118" s="601">
        <v>0.5</v>
      </c>
      <c r="E118" s="601">
        <v>0.4</v>
      </c>
      <c r="F118" s="598"/>
      <c r="G118" s="595">
        <f t="shared" si="30"/>
        <v>4.9999999999999989E-2</v>
      </c>
      <c r="I118" s="593">
        <v>4</v>
      </c>
      <c r="J118" s="601">
        <v>60</v>
      </c>
      <c r="K118" s="601">
        <v>-4.8</v>
      </c>
      <c r="L118" s="601">
        <v>-4.5</v>
      </c>
      <c r="M118" s="598"/>
      <c r="N118" s="595">
        <f t="shared" si="31"/>
        <v>0.14999999999999991</v>
      </c>
      <c r="P118" s="593">
        <v>4</v>
      </c>
      <c r="Q118" s="601">
        <v>900</v>
      </c>
      <c r="R118" s="602" t="s">
        <v>16</v>
      </c>
      <c r="S118" s="602" t="s">
        <v>16</v>
      </c>
      <c r="T118" s="598"/>
      <c r="U118" s="595">
        <f t="shared" si="32"/>
        <v>0</v>
      </c>
    </row>
    <row r="119" spans="1:24" ht="13" x14ac:dyDescent="0.25">
      <c r="A119" s="1020"/>
      <c r="B119" s="593">
        <v>5</v>
      </c>
      <c r="C119" s="601">
        <v>35</v>
      </c>
      <c r="D119" s="601">
        <v>0.5</v>
      </c>
      <c r="E119" s="601">
        <v>0.4</v>
      </c>
      <c r="F119" s="598"/>
      <c r="G119" s="595">
        <f t="shared" si="30"/>
        <v>4.9999999999999989E-2</v>
      </c>
      <c r="I119" s="593">
        <v>5</v>
      </c>
      <c r="J119" s="601">
        <v>70</v>
      </c>
      <c r="K119" s="601">
        <v>-3.4</v>
      </c>
      <c r="L119" s="601">
        <v>-1.7</v>
      </c>
      <c r="M119" s="598"/>
      <c r="N119" s="595">
        <f t="shared" si="31"/>
        <v>0.85</v>
      </c>
      <c r="P119" s="593">
        <v>5</v>
      </c>
      <c r="Q119" s="601">
        <v>1000</v>
      </c>
      <c r="R119" s="602" t="s">
        <v>16</v>
      </c>
      <c r="S119" s="602" t="s">
        <v>16</v>
      </c>
      <c r="T119" s="598"/>
      <c r="U119" s="595">
        <f t="shared" si="32"/>
        <v>0</v>
      </c>
    </row>
    <row r="120" spans="1:24" ht="13" x14ac:dyDescent="0.25">
      <c r="A120" s="1020"/>
      <c r="B120" s="593">
        <v>6</v>
      </c>
      <c r="C120" s="601">
        <v>37</v>
      </c>
      <c r="D120" s="601">
        <v>0.5</v>
      </c>
      <c r="E120" s="601">
        <v>0.5</v>
      </c>
      <c r="F120" s="598"/>
      <c r="G120" s="595">
        <f t="shared" si="30"/>
        <v>0</v>
      </c>
      <c r="I120" s="593">
        <v>6</v>
      </c>
      <c r="J120" s="601">
        <v>80</v>
      </c>
      <c r="K120" s="601">
        <v>-1.4</v>
      </c>
      <c r="L120" s="601">
        <v>2.6</v>
      </c>
      <c r="M120" s="598"/>
      <c r="N120" s="595">
        <f t="shared" si="31"/>
        <v>2</v>
      </c>
      <c r="P120" s="593">
        <v>6</v>
      </c>
      <c r="Q120" s="601">
        <v>1005</v>
      </c>
      <c r="R120" s="602" t="s">
        <v>16</v>
      </c>
      <c r="S120" s="602" t="s">
        <v>16</v>
      </c>
      <c r="T120" s="598"/>
      <c r="U120" s="595">
        <f t="shared" si="32"/>
        <v>0</v>
      </c>
    </row>
    <row r="121" spans="1:24" ht="13.5" thickBot="1" x14ac:dyDescent="0.3">
      <c r="A121" s="1020"/>
      <c r="B121" s="593">
        <v>7</v>
      </c>
      <c r="C121" s="610">
        <v>40</v>
      </c>
      <c r="D121" s="610">
        <v>0.5</v>
      </c>
      <c r="E121" s="594">
        <v>9.9999999999999995E-7</v>
      </c>
      <c r="F121" s="598"/>
      <c r="G121" s="595">
        <f t="shared" si="30"/>
        <v>0.24999950000000001</v>
      </c>
      <c r="I121" s="593">
        <v>7</v>
      </c>
      <c r="J121" s="610">
        <v>90</v>
      </c>
      <c r="K121" s="610">
        <v>1.3</v>
      </c>
      <c r="L121" s="594">
        <v>9.9999999999999995E-7</v>
      </c>
      <c r="M121" s="598"/>
      <c r="N121" s="595">
        <f t="shared" si="31"/>
        <v>0.64999950000000006</v>
      </c>
      <c r="P121" s="593">
        <v>7</v>
      </c>
      <c r="Q121" s="601">
        <v>1020</v>
      </c>
      <c r="R121" s="602" t="s">
        <v>16</v>
      </c>
      <c r="S121" s="602" t="s">
        <v>16</v>
      </c>
      <c r="T121" s="598"/>
      <c r="U121" s="595">
        <f t="shared" si="32"/>
        <v>0</v>
      </c>
    </row>
    <row r="122" spans="1:24" ht="13.5" thickBot="1" x14ac:dyDescent="0.35">
      <c r="A122" s="606"/>
      <c r="B122" s="440"/>
      <c r="C122" s="440"/>
      <c r="D122" s="440"/>
      <c r="E122" s="607"/>
      <c r="F122" s="589"/>
      <c r="G122" s="485"/>
      <c r="I122" s="440"/>
      <c r="J122" s="440"/>
      <c r="K122" s="440"/>
      <c r="L122" s="607"/>
      <c r="M122" s="589"/>
      <c r="Q122" s="611"/>
      <c r="R122" s="605"/>
    </row>
    <row r="123" spans="1:24" x14ac:dyDescent="0.25">
      <c r="A123" s="1020">
        <v>12</v>
      </c>
      <c r="B123" s="1021" t="s">
        <v>340</v>
      </c>
      <c r="C123" s="1021"/>
      <c r="D123" s="1021"/>
      <c r="E123" s="1021"/>
      <c r="F123" s="1021"/>
      <c r="G123" s="1021"/>
      <c r="I123" s="1021" t="str">
        <f>B123</f>
        <v>KOREKSI EXTECH A.100586</v>
      </c>
      <c r="J123" s="1021"/>
      <c r="K123" s="1021"/>
      <c r="L123" s="1021"/>
      <c r="M123" s="1021"/>
      <c r="N123" s="1021"/>
      <c r="P123" s="1021" t="str">
        <f>I123</f>
        <v>KOREKSI EXTECH A.100586</v>
      </c>
      <c r="Q123" s="1021"/>
      <c r="R123" s="1021"/>
      <c r="S123" s="1021"/>
      <c r="T123" s="1021"/>
      <c r="U123" s="1021"/>
      <c r="W123" s="1015" t="s">
        <v>251</v>
      </c>
      <c r="X123" s="1016"/>
    </row>
    <row r="124" spans="1:24" ht="13" x14ac:dyDescent="0.25">
      <c r="A124" s="1020"/>
      <c r="B124" s="1017" t="s">
        <v>325</v>
      </c>
      <c r="C124" s="1017"/>
      <c r="D124" s="1017" t="s">
        <v>244</v>
      </c>
      <c r="E124" s="1017"/>
      <c r="F124" s="1017"/>
      <c r="G124" s="1017" t="s">
        <v>239</v>
      </c>
      <c r="I124" s="1017" t="s">
        <v>326</v>
      </c>
      <c r="J124" s="1017"/>
      <c r="K124" s="1017" t="s">
        <v>244</v>
      </c>
      <c r="L124" s="1017"/>
      <c r="M124" s="1017"/>
      <c r="N124" s="1017" t="s">
        <v>239</v>
      </c>
      <c r="P124" s="1017" t="s">
        <v>327</v>
      </c>
      <c r="Q124" s="1017"/>
      <c r="R124" s="1017" t="s">
        <v>244</v>
      </c>
      <c r="S124" s="1017"/>
      <c r="T124" s="1017"/>
      <c r="U124" s="1017" t="s">
        <v>239</v>
      </c>
      <c r="W124" s="590" t="s">
        <v>325</v>
      </c>
      <c r="X124" s="591">
        <v>0.3</v>
      </c>
    </row>
    <row r="125" spans="1:24" ht="14.5" x14ac:dyDescent="0.25">
      <c r="A125" s="1020"/>
      <c r="B125" s="1018" t="s">
        <v>328</v>
      </c>
      <c r="C125" s="1018"/>
      <c r="D125" s="592">
        <v>2020</v>
      </c>
      <c r="E125" s="608" t="s">
        <v>16</v>
      </c>
      <c r="F125" s="592">
        <v>2016</v>
      </c>
      <c r="G125" s="1017"/>
      <c r="I125" s="1019" t="s">
        <v>41</v>
      </c>
      <c r="J125" s="1018"/>
      <c r="K125" s="592">
        <f>D125</f>
        <v>2020</v>
      </c>
      <c r="L125" s="592" t="str">
        <f>E125</f>
        <v>-</v>
      </c>
      <c r="M125" s="592">
        <v>2016</v>
      </c>
      <c r="N125" s="1017"/>
      <c r="P125" s="1019" t="s">
        <v>329</v>
      </c>
      <c r="Q125" s="1018"/>
      <c r="R125" s="592">
        <f>K125</f>
        <v>2020</v>
      </c>
      <c r="S125" s="592" t="str">
        <f>L125</f>
        <v>-</v>
      </c>
      <c r="T125" s="592">
        <v>2016</v>
      </c>
      <c r="U125" s="1017"/>
      <c r="W125" s="590" t="s">
        <v>41</v>
      </c>
      <c r="X125" s="591">
        <v>2</v>
      </c>
    </row>
    <row r="126" spans="1:24" ht="13.5" thickBot="1" x14ac:dyDescent="0.3">
      <c r="A126" s="1020"/>
      <c r="B126" s="593">
        <v>1</v>
      </c>
      <c r="C126" s="588">
        <v>15</v>
      </c>
      <c r="D126" s="594">
        <v>9.9999999999999995E-7</v>
      </c>
      <c r="E126" s="594" t="s">
        <v>16</v>
      </c>
      <c r="F126" s="598"/>
      <c r="G126" s="595">
        <f>0.5*(MAX(D126:F126)-MIN(D126:F126))</f>
        <v>0</v>
      </c>
      <c r="I126" s="593">
        <v>1</v>
      </c>
      <c r="J126" s="588">
        <v>30</v>
      </c>
      <c r="K126" s="588">
        <v>-0.4</v>
      </c>
      <c r="L126" s="594" t="s">
        <v>16</v>
      </c>
      <c r="M126" s="598"/>
      <c r="N126" s="595">
        <f>0.5*(MAX(K126:M126)-MIN(K126:M126))</f>
        <v>0</v>
      </c>
      <c r="P126" s="593">
        <v>1</v>
      </c>
      <c r="Q126" s="588">
        <v>800</v>
      </c>
      <c r="R126" s="597">
        <v>-0.4</v>
      </c>
      <c r="S126" s="594" t="s">
        <v>16</v>
      </c>
      <c r="T126" s="598"/>
      <c r="U126" s="595">
        <f>0.5*(MAX(R126:T126)-MIN(R126:T126))</f>
        <v>0</v>
      </c>
      <c r="W126" s="599" t="s">
        <v>329</v>
      </c>
      <c r="X126" s="600">
        <v>2.4</v>
      </c>
    </row>
    <row r="127" spans="1:24" ht="13" x14ac:dyDescent="0.25">
      <c r="A127" s="1020"/>
      <c r="B127" s="593">
        <v>2</v>
      </c>
      <c r="C127" s="588">
        <v>20</v>
      </c>
      <c r="D127" s="594">
        <v>9.9999999999999995E-7</v>
      </c>
      <c r="E127" s="594" t="s">
        <v>16</v>
      </c>
      <c r="F127" s="598"/>
      <c r="G127" s="595">
        <f t="shared" ref="G127:G132" si="33">0.5*(MAX(D127:F127)-MIN(D127:F127))</f>
        <v>0</v>
      </c>
      <c r="I127" s="593">
        <v>2</v>
      </c>
      <c r="J127" s="588">
        <v>40</v>
      </c>
      <c r="K127" s="588">
        <v>-0.1</v>
      </c>
      <c r="L127" s="594" t="s">
        <v>16</v>
      </c>
      <c r="M127" s="598"/>
      <c r="N127" s="595">
        <f t="shared" ref="N127:N132" si="34">0.5*(MAX(K127:M127)-MIN(K127:M127))</f>
        <v>0</v>
      </c>
      <c r="P127" s="593">
        <v>2</v>
      </c>
      <c r="Q127" s="588">
        <v>850</v>
      </c>
      <c r="R127" s="597">
        <v>-0.5</v>
      </c>
      <c r="S127" s="594" t="s">
        <v>16</v>
      </c>
      <c r="T127" s="598"/>
      <c r="U127" s="595">
        <f t="shared" ref="U127:U132" si="35">0.5*(MAX(R127:T127)-MIN(R127:T127))</f>
        <v>0</v>
      </c>
    </row>
    <row r="128" spans="1:24" ht="13" x14ac:dyDescent="0.25">
      <c r="A128" s="1020"/>
      <c r="B128" s="593">
        <v>3</v>
      </c>
      <c r="C128" s="588">
        <v>25</v>
      </c>
      <c r="D128" s="594">
        <v>9.9999999999999995E-7</v>
      </c>
      <c r="E128" s="594" t="s">
        <v>16</v>
      </c>
      <c r="F128" s="598"/>
      <c r="G128" s="595">
        <f t="shared" si="33"/>
        <v>0</v>
      </c>
      <c r="I128" s="593">
        <v>3</v>
      </c>
      <c r="J128" s="588">
        <v>50</v>
      </c>
      <c r="K128" s="594">
        <v>9.9999999999999995E-7</v>
      </c>
      <c r="L128" s="594" t="s">
        <v>16</v>
      </c>
      <c r="M128" s="598"/>
      <c r="N128" s="595">
        <f t="shared" si="34"/>
        <v>0</v>
      </c>
      <c r="P128" s="593">
        <v>3</v>
      </c>
      <c r="Q128" s="601">
        <v>900</v>
      </c>
      <c r="R128" s="602">
        <v>-0.6</v>
      </c>
      <c r="S128" s="594" t="s">
        <v>16</v>
      </c>
      <c r="T128" s="598"/>
      <c r="U128" s="595">
        <f t="shared" si="35"/>
        <v>0</v>
      </c>
    </row>
    <row r="129" spans="1:24" ht="13" x14ac:dyDescent="0.25">
      <c r="A129" s="1020"/>
      <c r="B129" s="593">
        <v>4</v>
      </c>
      <c r="C129" s="601">
        <v>30</v>
      </c>
      <c r="D129" s="601">
        <v>-0.1</v>
      </c>
      <c r="E129" s="602" t="s">
        <v>16</v>
      </c>
      <c r="F129" s="598"/>
      <c r="G129" s="595">
        <f t="shared" si="33"/>
        <v>0</v>
      </c>
      <c r="I129" s="593">
        <v>4</v>
      </c>
      <c r="J129" s="601">
        <v>60</v>
      </c>
      <c r="K129" s="594">
        <v>9.9999999999999995E-7</v>
      </c>
      <c r="L129" s="602" t="s">
        <v>16</v>
      </c>
      <c r="M129" s="598"/>
      <c r="N129" s="595">
        <f t="shared" si="34"/>
        <v>0</v>
      </c>
      <c r="P129" s="593">
        <v>4</v>
      </c>
      <c r="Q129" s="601">
        <v>950</v>
      </c>
      <c r="R129" s="602">
        <v>-0.7</v>
      </c>
      <c r="S129" s="602" t="s">
        <v>16</v>
      </c>
      <c r="T129" s="598"/>
      <c r="U129" s="595">
        <f t="shared" si="35"/>
        <v>0</v>
      </c>
    </row>
    <row r="130" spans="1:24" ht="13" x14ac:dyDescent="0.25">
      <c r="A130" s="1020"/>
      <c r="B130" s="593">
        <v>5</v>
      </c>
      <c r="C130" s="601">
        <v>35</v>
      </c>
      <c r="D130" s="601">
        <v>-0.2</v>
      </c>
      <c r="E130" s="602" t="s">
        <v>16</v>
      </c>
      <c r="F130" s="598"/>
      <c r="G130" s="595">
        <f t="shared" si="33"/>
        <v>0</v>
      </c>
      <c r="I130" s="593">
        <v>5</v>
      </c>
      <c r="J130" s="601">
        <v>70</v>
      </c>
      <c r="K130" s="601">
        <v>-0.1</v>
      </c>
      <c r="L130" s="602" t="s">
        <v>16</v>
      </c>
      <c r="M130" s="598"/>
      <c r="N130" s="595">
        <f t="shared" si="34"/>
        <v>0</v>
      </c>
      <c r="P130" s="593">
        <v>5</v>
      </c>
      <c r="Q130" s="601">
        <v>1000</v>
      </c>
      <c r="R130" s="602">
        <v>-0.8</v>
      </c>
      <c r="S130" s="602" t="s">
        <v>16</v>
      </c>
      <c r="T130" s="598"/>
      <c r="U130" s="595">
        <f t="shared" si="35"/>
        <v>0</v>
      </c>
    </row>
    <row r="131" spans="1:24" ht="13" x14ac:dyDescent="0.25">
      <c r="A131" s="1020"/>
      <c r="B131" s="593">
        <v>6</v>
      </c>
      <c r="C131" s="601">
        <v>37</v>
      </c>
      <c r="D131" s="601">
        <v>-0.3</v>
      </c>
      <c r="E131" s="602" t="s">
        <v>16</v>
      </c>
      <c r="F131" s="598"/>
      <c r="G131" s="595">
        <f t="shared" si="33"/>
        <v>0</v>
      </c>
      <c r="I131" s="593">
        <v>6</v>
      </c>
      <c r="J131" s="601">
        <v>80</v>
      </c>
      <c r="K131" s="601">
        <v>-0.5</v>
      </c>
      <c r="L131" s="602" t="s">
        <v>16</v>
      </c>
      <c r="M131" s="598"/>
      <c r="N131" s="595">
        <f t="shared" si="34"/>
        <v>0</v>
      </c>
      <c r="P131" s="593">
        <v>6</v>
      </c>
      <c r="Q131" s="601">
        <v>1005</v>
      </c>
      <c r="R131" s="602">
        <v>-0.8</v>
      </c>
      <c r="S131" s="602" t="s">
        <v>16</v>
      </c>
      <c r="T131" s="598"/>
      <c r="U131" s="595">
        <f t="shared" si="35"/>
        <v>0</v>
      </c>
    </row>
    <row r="132" spans="1:24" ht="13" x14ac:dyDescent="0.25">
      <c r="A132" s="1020"/>
      <c r="B132" s="593">
        <v>7</v>
      </c>
      <c r="C132" s="610">
        <v>40</v>
      </c>
      <c r="D132" s="601">
        <v>-0.4</v>
      </c>
      <c r="E132" s="602" t="s">
        <v>16</v>
      </c>
      <c r="F132" s="598"/>
      <c r="G132" s="595">
        <f t="shared" si="33"/>
        <v>0</v>
      </c>
      <c r="I132" s="593">
        <v>7</v>
      </c>
      <c r="J132" s="610">
        <v>90</v>
      </c>
      <c r="K132" s="601">
        <v>-0.9</v>
      </c>
      <c r="L132" s="602" t="s">
        <v>16</v>
      </c>
      <c r="M132" s="598"/>
      <c r="N132" s="595">
        <f t="shared" si="34"/>
        <v>0</v>
      </c>
      <c r="P132" s="593">
        <v>7</v>
      </c>
      <c r="Q132" s="601">
        <v>1020</v>
      </c>
      <c r="R132" s="602">
        <v>9.9999999999999995E-7</v>
      </c>
      <c r="S132" s="602" t="s">
        <v>16</v>
      </c>
      <c r="T132" s="598"/>
      <c r="U132" s="595">
        <f t="shared" si="35"/>
        <v>0</v>
      </c>
    </row>
    <row r="133" spans="1:24" ht="13" thickBot="1" x14ac:dyDescent="0.3">
      <c r="A133" s="612"/>
      <c r="C133" s="265"/>
      <c r="D133" s="428"/>
      <c r="E133" s="613"/>
      <c r="F133" s="265"/>
      <c r="I133" s="265"/>
      <c r="J133" s="428"/>
      <c r="K133" s="613"/>
      <c r="L133" s="265"/>
      <c r="O133" s="428"/>
      <c r="P133" s="613"/>
      <c r="Q133" s="613"/>
      <c r="R133" s="265"/>
    </row>
    <row r="134" spans="1:24" x14ac:dyDescent="0.25">
      <c r="A134" s="1020">
        <v>13</v>
      </c>
      <c r="B134" s="1021" t="s">
        <v>341</v>
      </c>
      <c r="C134" s="1021"/>
      <c r="D134" s="1021"/>
      <c r="E134" s="1021"/>
      <c r="F134" s="1021"/>
      <c r="G134" s="1021"/>
      <c r="I134" s="1021" t="str">
        <f>B134</f>
        <v>KOREKSI EXTECH A.100605</v>
      </c>
      <c r="J134" s="1021"/>
      <c r="K134" s="1021"/>
      <c r="L134" s="1021"/>
      <c r="M134" s="1021"/>
      <c r="N134" s="1021"/>
      <c r="P134" s="1021" t="str">
        <f>I134</f>
        <v>KOREKSI EXTECH A.100605</v>
      </c>
      <c r="Q134" s="1021"/>
      <c r="R134" s="1021"/>
      <c r="S134" s="1021"/>
      <c r="T134" s="1021"/>
      <c r="U134" s="1021"/>
      <c r="W134" s="1015" t="s">
        <v>251</v>
      </c>
      <c r="X134" s="1016"/>
    </row>
    <row r="135" spans="1:24" ht="13" x14ac:dyDescent="0.25">
      <c r="A135" s="1020"/>
      <c r="B135" s="1017" t="s">
        <v>325</v>
      </c>
      <c r="C135" s="1017"/>
      <c r="D135" s="1017" t="s">
        <v>244</v>
      </c>
      <c r="E135" s="1017"/>
      <c r="F135" s="1017"/>
      <c r="G135" s="1017" t="s">
        <v>239</v>
      </c>
      <c r="I135" s="1017" t="s">
        <v>326</v>
      </c>
      <c r="J135" s="1017"/>
      <c r="K135" s="1017" t="s">
        <v>244</v>
      </c>
      <c r="L135" s="1017"/>
      <c r="M135" s="1017"/>
      <c r="N135" s="1017" t="s">
        <v>239</v>
      </c>
      <c r="P135" s="1017" t="s">
        <v>327</v>
      </c>
      <c r="Q135" s="1017"/>
      <c r="R135" s="1017" t="s">
        <v>244</v>
      </c>
      <c r="S135" s="1017"/>
      <c r="T135" s="1017"/>
      <c r="U135" s="1017" t="s">
        <v>239</v>
      </c>
      <c r="W135" s="590" t="s">
        <v>325</v>
      </c>
      <c r="X135" s="591">
        <v>0.5</v>
      </c>
    </row>
    <row r="136" spans="1:24" ht="14.5" x14ac:dyDescent="0.25">
      <c r="A136" s="1020"/>
      <c r="B136" s="1018" t="s">
        <v>328</v>
      </c>
      <c r="C136" s="1018"/>
      <c r="D136" s="614">
        <v>2022</v>
      </c>
      <c r="E136" s="592">
        <v>2020</v>
      </c>
      <c r="F136" s="608" t="s">
        <v>16</v>
      </c>
      <c r="G136" s="1017"/>
      <c r="I136" s="1019" t="s">
        <v>41</v>
      </c>
      <c r="J136" s="1018"/>
      <c r="K136" s="614">
        <v>2022</v>
      </c>
      <c r="L136" s="609">
        <f>E136</f>
        <v>2020</v>
      </c>
      <c r="M136" s="609" t="str">
        <f>F136</f>
        <v>-</v>
      </c>
      <c r="N136" s="1017"/>
      <c r="P136" s="1019" t="s">
        <v>329</v>
      </c>
      <c r="Q136" s="1018"/>
      <c r="R136" s="615">
        <v>2022</v>
      </c>
      <c r="S136" s="609">
        <f>L136</f>
        <v>2020</v>
      </c>
      <c r="T136" s="609" t="str">
        <f>M136</f>
        <v>-</v>
      </c>
      <c r="U136" s="1017"/>
      <c r="W136" s="590" t="s">
        <v>41</v>
      </c>
      <c r="X136" s="591">
        <v>2.2999999999999998</v>
      </c>
    </row>
    <row r="137" spans="1:24" ht="13.5" thickBot="1" x14ac:dyDescent="0.3">
      <c r="A137" s="1020"/>
      <c r="B137" s="593">
        <v>1</v>
      </c>
      <c r="C137" s="588">
        <v>15</v>
      </c>
      <c r="D137" s="588">
        <v>0.5</v>
      </c>
      <c r="E137" s="588">
        <v>-0.7</v>
      </c>
      <c r="F137" s="594" t="s">
        <v>16</v>
      </c>
      <c r="G137" s="595">
        <f t="shared" ref="G137:G143" si="36">0.5*(MAX(E137:F137)-MIN(E137:F137))</f>
        <v>0</v>
      </c>
      <c r="I137" s="593">
        <v>1</v>
      </c>
      <c r="J137" s="588">
        <v>30</v>
      </c>
      <c r="K137" s="588">
        <v>-2.2000000000000002</v>
      </c>
      <c r="L137" s="588">
        <v>-1.4</v>
      </c>
      <c r="M137" s="594" t="s">
        <v>16</v>
      </c>
      <c r="N137" s="595">
        <f t="shared" ref="N137:N143" si="37">0.5*(MAX(L137:M137)-MIN(L137:M137))</f>
        <v>0</v>
      </c>
      <c r="P137" s="593">
        <v>1</v>
      </c>
      <c r="Q137" s="588">
        <v>960</v>
      </c>
      <c r="R137" s="588">
        <f>MAX(R138:R143)</f>
        <v>4</v>
      </c>
      <c r="S137" s="597">
        <v>0.9</v>
      </c>
      <c r="T137" s="594" t="s">
        <v>16</v>
      </c>
      <c r="U137" s="595">
        <f t="shared" ref="U137:U143" si="38">0.5*(MAX(S137:T137)-MIN(S137:T137))</f>
        <v>0</v>
      </c>
      <c r="W137" s="599" t="s">
        <v>329</v>
      </c>
      <c r="X137" s="600">
        <v>2.4</v>
      </c>
    </row>
    <row r="138" spans="1:24" ht="13" x14ac:dyDescent="0.25">
      <c r="A138" s="1020"/>
      <c r="B138" s="593">
        <v>2</v>
      </c>
      <c r="C138" s="588">
        <v>20</v>
      </c>
      <c r="D138" s="588">
        <v>0.2</v>
      </c>
      <c r="E138" s="588">
        <v>-0.4</v>
      </c>
      <c r="F138" s="594" t="s">
        <v>16</v>
      </c>
      <c r="G138" s="595">
        <f t="shared" si="36"/>
        <v>0</v>
      </c>
      <c r="I138" s="593">
        <v>2</v>
      </c>
      <c r="J138" s="588">
        <v>40</v>
      </c>
      <c r="K138" s="588">
        <v>-2</v>
      </c>
      <c r="L138" s="588">
        <v>-1.3</v>
      </c>
      <c r="M138" s="594" t="s">
        <v>16</v>
      </c>
      <c r="N138" s="595">
        <f t="shared" si="37"/>
        <v>0</v>
      </c>
      <c r="P138" s="593">
        <v>2</v>
      </c>
      <c r="Q138" s="588">
        <v>970</v>
      </c>
      <c r="R138" s="588">
        <v>4</v>
      </c>
      <c r="S138" s="597">
        <v>1</v>
      </c>
      <c r="T138" s="594" t="s">
        <v>16</v>
      </c>
      <c r="U138" s="595">
        <f t="shared" si="38"/>
        <v>0</v>
      </c>
    </row>
    <row r="139" spans="1:24" ht="13" x14ac:dyDescent="0.25">
      <c r="A139" s="1020"/>
      <c r="B139" s="593">
        <v>3</v>
      </c>
      <c r="C139" s="588">
        <v>25</v>
      </c>
      <c r="D139" s="588">
        <v>0.1</v>
      </c>
      <c r="E139" s="588">
        <v>-0.2</v>
      </c>
      <c r="F139" s="594" t="s">
        <v>16</v>
      </c>
      <c r="G139" s="595">
        <f t="shared" si="36"/>
        <v>0</v>
      </c>
      <c r="I139" s="593">
        <v>3</v>
      </c>
      <c r="J139" s="588">
        <v>50</v>
      </c>
      <c r="K139" s="588">
        <v>-1.8</v>
      </c>
      <c r="L139" s="588">
        <v>-1.3</v>
      </c>
      <c r="M139" s="594" t="s">
        <v>16</v>
      </c>
      <c r="N139" s="595">
        <f t="shared" si="37"/>
        <v>0</v>
      </c>
      <c r="P139" s="593">
        <v>3</v>
      </c>
      <c r="Q139" s="601">
        <v>980</v>
      </c>
      <c r="R139" s="588">
        <v>3.9</v>
      </c>
      <c r="S139" s="602">
        <v>1</v>
      </c>
      <c r="T139" s="594" t="s">
        <v>16</v>
      </c>
      <c r="U139" s="595">
        <f t="shared" si="38"/>
        <v>0</v>
      </c>
    </row>
    <row r="140" spans="1:24" ht="13" x14ac:dyDescent="0.25">
      <c r="A140" s="1020"/>
      <c r="B140" s="593">
        <v>4</v>
      </c>
      <c r="C140" s="601">
        <v>30</v>
      </c>
      <c r="D140" s="588">
        <v>-0.1</v>
      </c>
      <c r="E140" s="601">
        <v>0.1</v>
      </c>
      <c r="F140" s="602" t="s">
        <v>16</v>
      </c>
      <c r="G140" s="595">
        <f t="shared" si="36"/>
        <v>0</v>
      </c>
      <c r="I140" s="593">
        <v>4</v>
      </c>
      <c r="J140" s="601">
        <v>60</v>
      </c>
      <c r="K140" s="588">
        <v>-1.6</v>
      </c>
      <c r="L140" s="601">
        <v>-1.5</v>
      </c>
      <c r="M140" s="602" t="s">
        <v>16</v>
      </c>
      <c r="N140" s="595">
        <f t="shared" si="37"/>
        <v>0</v>
      </c>
      <c r="P140" s="593">
        <v>4</v>
      </c>
      <c r="Q140" s="601">
        <v>990</v>
      </c>
      <c r="R140" s="588">
        <v>3.8</v>
      </c>
      <c r="S140" s="602">
        <v>1.1000000000000001</v>
      </c>
      <c r="T140" s="602" t="s">
        <v>16</v>
      </c>
      <c r="U140" s="595">
        <f t="shared" si="38"/>
        <v>0</v>
      </c>
    </row>
    <row r="141" spans="1:24" ht="13" x14ac:dyDescent="0.25">
      <c r="A141" s="1020"/>
      <c r="B141" s="593">
        <v>5</v>
      </c>
      <c r="C141" s="601">
        <v>35</v>
      </c>
      <c r="D141" s="588">
        <v>-0.2</v>
      </c>
      <c r="E141" s="601">
        <v>0.3</v>
      </c>
      <c r="F141" s="602" t="s">
        <v>16</v>
      </c>
      <c r="G141" s="595">
        <f t="shared" si="36"/>
        <v>0</v>
      </c>
      <c r="I141" s="593">
        <v>5</v>
      </c>
      <c r="J141" s="601">
        <v>70</v>
      </c>
      <c r="K141" s="588">
        <v>-1.4</v>
      </c>
      <c r="L141" s="601">
        <v>-1.9</v>
      </c>
      <c r="M141" s="602" t="s">
        <v>16</v>
      </c>
      <c r="N141" s="595">
        <f t="shared" si="37"/>
        <v>0</v>
      </c>
      <c r="P141" s="593">
        <v>5</v>
      </c>
      <c r="Q141" s="601">
        <v>1000</v>
      </c>
      <c r="R141" s="588">
        <v>3.7</v>
      </c>
      <c r="S141" s="602">
        <v>1.1000000000000001</v>
      </c>
      <c r="T141" s="602" t="s">
        <v>16</v>
      </c>
      <c r="U141" s="595">
        <f t="shared" si="38"/>
        <v>0</v>
      </c>
    </row>
    <row r="142" spans="1:24" ht="13" x14ac:dyDescent="0.25">
      <c r="A142" s="1020"/>
      <c r="B142" s="593">
        <v>6</v>
      </c>
      <c r="C142" s="601">
        <v>37</v>
      </c>
      <c r="D142" s="588">
        <v>-0.2</v>
      </c>
      <c r="E142" s="601">
        <v>0.4</v>
      </c>
      <c r="F142" s="602" t="s">
        <v>16</v>
      </c>
      <c r="G142" s="595">
        <f t="shared" si="36"/>
        <v>0</v>
      </c>
      <c r="I142" s="593">
        <v>6</v>
      </c>
      <c r="J142" s="601">
        <v>80</v>
      </c>
      <c r="K142" s="588">
        <v>-1.2</v>
      </c>
      <c r="L142" s="601">
        <v>-2.5</v>
      </c>
      <c r="M142" s="602" t="s">
        <v>16</v>
      </c>
      <c r="N142" s="595">
        <f t="shared" si="37"/>
        <v>0</v>
      </c>
      <c r="P142" s="593">
        <v>6</v>
      </c>
      <c r="Q142" s="601">
        <v>1005</v>
      </c>
      <c r="R142" s="588">
        <v>3.6</v>
      </c>
      <c r="S142" s="602">
        <v>1.1000000000000001</v>
      </c>
      <c r="T142" s="602" t="s">
        <v>16</v>
      </c>
      <c r="U142" s="595">
        <f t="shared" si="38"/>
        <v>0</v>
      </c>
    </row>
    <row r="143" spans="1:24" ht="13" x14ac:dyDescent="0.25">
      <c r="A143" s="1020"/>
      <c r="B143" s="593">
        <v>7</v>
      </c>
      <c r="C143" s="610">
        <v>40</v>
      </c>
      <c r="D143" s="588">
        <v>-0.2</v>
      </c>
      <c r="E143" s="601">
        <v>0.5</v>
      </c>
      <c r="F143" s="602" t="s">
        <v>16</v>
      </c>
      <c r="G143" s="595">
        <f t="shared" si="36"/>
        <v>0</v>
      </c>
      <c r="I143" s="593">
        <v>7</v>
      </c>
      <c r="J143" s="610">
        <v>90</v>
      </c>
      <c r="K143" s="588">
        <v>-1</v>
      </c>
      <c r="L143" s="601">
        <v>-3.2</v>
      </c>
      <c r="M143" s="602" t="s">
        <v>16</v>
      </c>
      <c r="N143" s="595">
        <f t="shared" si="37"/>
        <v>0</v>
      </c>
      <c r="P143" s="593">
        <v>7</v>
      </c>
      <c r="Q143" s="601">
        <v>1010</v>
      </c>
      <c r="R143" s="588">
        <v>3.5</v>
      </c>
      <c r="S143" s="588">
        <f>MAX(S137:S142)</f>
        <v>1.1000000000000001</v>
      </c>
      <c r="T143" s="602" t="s">
        <v>16</v>
      </c>
      <c r="U143" s="595">
        <f t="shared" si="38"/>
        <v>0</v>
      </c>
    </row>
    <row r="144" spans="1:24" ht="13" thickBot="1" x14ac:dyDescent="0.3">
      <c r="A144" s="612"/>
      <c r="C144" s="265"/>
      <c r="D144" s="428"/>
      <c r="E144" s="613"/>
      <c r="F144" s="265"/>
      <c r="J144" s="265"/>
      <c r="K144" s="428"/>
      <c r="L144" s="613"/>
      <c r="M144" s="265"/>
      <c r="Q144" s="428"/>
      <c r="R144" s="613"/>
      <c r="S144" s="613"/>
      <c r="T144" s="265"/>
    </row>
    <row r="145" spans="1:24" x14ac:dyDescent="0.25">
      <c r="A145" s="1020">
        <v>14</v>
      </c>
      <c r="B145" s="1021" t="s">
        <v>342</v>
      </c>
      <c r="C145" s="1021"/>
      <c r="D145" s="1021"/>
      <c r="E145" s="1021"/>
      <c r="F145" s="1021"/>
      <c r="G145" s="1021"/>
      <c r="I145" s="1021" t="str">
        <f>B145</f>
        <v>KOREKSI EXTECH A.100609</v>
      </c>
      <c r="J145" s="1021"/>
      <c r="K145" s="1021"/>
      <c r="L145" s="1021"/>
      <c r="M145" s="1021"/>
      <c r="N145" s="1021"/>
      <c r="P145" s="1021" t="str">
        <f>I145</f>
        <v>KOREKSI EXTECH A.100609</v>
      </c>
      <c r="Q145" s="1021"/>
      <c r="R145" s="1021"/>
      <c r="S145" s="1021"/>
      <c r="T145" s="1021"/>
      <c r="U145" s="1021"/>
      <c r="W145" s="1015" t="s">
        <v>251</v>
      </c>
      <c r="X145" s="1016"/>
    </row>
    <row r="146" spans="1:24" ht="13" x14ac:dyDescent="0.25">
      <c r="A146" s="1020"/>
      <c r="B146" s="1017" t="s">
        <v>325</v>
      </c>
      <c r="C146" s="1017"/>
      <c r="D146" s="1017" t="s">
        <v>244</v>
      </c>
      <c r="E146" s="1017"/>
      <c r="F146" s="1017"/>
      <c r="G146" s="1017" t="s">
        <v>239</v>
      </c>
      <c r="I146" s="1017" t="s">
        <v>326</v>
      </c>
      <c r="J146" s="1017"/>
      <c r="K146" s="1017" t="s">
        <v>244</v>
      </c>
      <c r="L146" s="1017"/>
      <c r="M146" s="1017"/>
      <c r="N146" s="1017" t="s">
        <v>239</v>
      </c>
      <c r="P146" s="1017" t="s">
        <v>327</v>
      </c>
      <c r="Q146" s="1017"/>
      <c r="R146" s="1017" t="s">
        <v>244</v>
      </c>
      <c r="S146" s="1017"/>
      <c r="T146" s="1017"/>
      <c r="U146" s="1017" t="s">
        <v>239</v>
      </c>
      <c r="W146" s="590" t="s">
        <v>325</v>
      </c>
      <c r="X146" s="591">
        <v>0.5</v>
      </c>
    </row>
    <row r="147" spans="1:24" ht="14.5" x14ac:dyDescent="0.25">
      <c r="A147" s="1020"/>
      <c r="B147" s="1018" t="s">
        <v>328</v>
      </c>
      <c r="C147" s="1018"/>
      <c r="D147" s="614">
        <v>2022</v>
      </c>
      <c r="E147" s="592">
        <v>2020</v>
      </c>
      <c r="F147" s="608" t="s">
        <v>16</v>
      </c>
      <c r="G147" s="1017"/>
      <c r="I147" s="1019" t="s">
        <v>41</v>
      </c>
      <c r="J147" s="1018"/>
      <c r="K147" s="614">
        <v>2022</v>
      </c>
      <c r="L147" s="609">
        <f>E147</f>
        <v>2020</v>
      </c>
      <c r="M147" s="609" t="str">
        <f>F147</f>
        <v>-</v>
      </c>
      <c r="N147" s="1017"/>
      <c r="P147" s="1019" t="s">
        <v>329</v>
      </c>
      <c r="Q147" s="1018"/>
      <c r="R147" s="614">
        <v>2022</v>
      </c>
      <c r="S147" s="609">
        <f>L147</f>
        <v>2020</v>
      </c>
      <c r="T147" s="609" t="str">
        <f>M147</f>
        <v>-</v>
      </c>
      <c r="U147" s="1017"/>
      <c r="W147" s="590" t="s">
        <v>41</v>
      </c>
      <c r="X147" s="591">
        <v>2.7</v>
      </c>
    </row>
    <row r="148" spans="1:24" ht="13.5" thickBot="1" x14ac:dyDescent="0.3">
      <c r="A148" s="1020"/>
      <c r="B148" s="593">
        <v>1</v>
      </c>
      <c r="C148" s="588">
        <v>15</v>
      </c>
      <c r="D148" s="588">
        <v>0.5</v>
      </c>
      <c r="E148" s="588">
        <v>-0.2</v>
      </c>
      <c r="F148" s="594" t="s">
        <v>16</v>
      </c>
      <c r="G148" s="595">
        <f t="shared" ref="G148:G154" si="39">0.5*(MAX(E148:F148)-MIN(E148:F148))</f>
        <v>0</v>
      </c>
      <c r="I148" s="593">
        <v>1</v>
      </c>
      <c r="J148" s="588">
        <v>30</v>
      </c>
      <c r="K148" s="588">
        <v>-0.8</v>
      </c>
      <c r="L148" s="588">
        <v>0.6</v>
      </c>
      <c r="M148" s="594" t="s">
        <v>16</v>
      </c>
      <c r="N148" s="595">
        <f t="shared" ref="N148:N154" si="40">0.5*(MAX(L148:M148)-MIN(L148:M148))</f>
        <v>0</v>
      </c>
      <c r="P148" s="593">
        <v>1</v>
      </c>
      <c r="Q148" s="588">
        <v>960</v>
      </c>
      <c r="R148" s="588">
        <f>MAX(R149:R154)</f>
        <v>4</v>
      </c>
      <c r="S148" s="597">
        <v>0.9</v>
      </c>
      <c r="T148" s="594" t="s">
        <v>16</v>
      </c>
      <c r="U148" s="595">
        <f t="shared" ref="U148:U154" si="41">0.5*(MAX(S148:T148)-MIN(S148:T148))</f>
        <v>0</v>
      </c>
      <c r="W148" s="599" t="s">
        <v>329</v>
      </c>
      <c r="X148" s="600">
        <v>2.4</v>
      </c>
    </row>
    <row r="149" spans="1:24" ht="13" x14ac:dyDescent="0.25">
      <c r="A149" s="1020"/>
      <c r="B149" s="593">
        <v>2</v>
      </c>
      <c r="C149" s="588">
        <v>20</v>
      </c>
      <c r="D149" s="588">
        <v>0.2</v>
      </c>
      <c r="E149" s="588">
        <v>-0.1</v>
      </c>
      <c r="F149" s="594" t="s">
        <v>16</v>
      </c>
      <c r="G149" s="595">
        <f t="shared" si="39"/>
        <v>0</v>
      </c>
      <c r="I149" s="593">
        <v>2</v>
      </c>
      <c r="J149" s="588">
        <v>40</v>
      </c>
      <c r="K149" s="588">
        <v>-0.4</v>
      </c>
      <c r="L149" s="588">
        <v>0.3</v>
      </c>
      <c r="M149" s="594" t="s">
        <v>16</v>
      </c>
      <c r="N149" s="595">
        <f t="shared" si="40"/>
        <v>0</v>
      </c>
      <c r="P149" s="593">
        <v>2</v>
      </c>
      <c r="Q149" s="588">
        <v>970</v>
      </c>
      <c r="R149" s="588">
        <v>4</v>
      </c>
      <c r="S149" s="597">
        <v>1</v>
      </c>
      <c r="T149" s="594" t="s">
        <v>16</v>
      </c>
      <c r="U149" s="595">
        <f t="shared" si="41"/>
        <v>0</v>
      </c>
    </row>
    <row r="150" spans="1:24" ht="13" x14ac:dyDescent="0.25">
      <c r="A150" s="1020"/>
      <c r="B150" s="593">
        <v>3</v>
      </c>
      <c r="C150" s="588">
        <v>25</v>
      </c>
      <c r="D150" s="588">
        <v>-0.1</v>
      </c>
      <c r="E150" s="588">
        <v>-0.1</v>
      </c>
      <c r="F150" s="594" t="s">
        <v>16</v>
      </c>
      <c r="G150" s="595">
        <f t="shared" si="39"/>
        <v>0</v>
      </c>
      <c r="I150" s="593">
        <v>3</v>
      </c>
      <c r="J150" s="588">
        <v>50</v>
      </c>
      <c r="K150" s="588">
        <v>0</v>
      </c>
      <c r="L150" s="588">
        <v>-0.2</v>
      </c>
      <c r="M150" s="594" t="s">
        <v>16</v>
      </c>
      <c r="N150" s="595">
        <f t="shared" si="40"/>
        <v>0</v>
      </c>
      <c r="P150" s="593">
        <v>3</v>
      </c>
      <c r="Q150" s="601">
        <v>980</v>
      </c>
      <c r="R150" s="588">
        <v>3.9</v>
      </c>
      <c r="S150" s="602">
        <v>1</v>
      </c>
      <c r="T150" s="594" t="s">
        <v>16</v>
      </c>
      <c r="U150" s="595">
        <f t="shared" si="41"/>
        <v>0</v>
      </c>
    </row>
    <row r="151" spans="1:24" ht="13" x14ac:dyDescent="0.25">
      <c r="A151" s="1020"/>
      <c r="B151" s="593">
        <v>4</v>
      </c>
      <c r="C151" s="601">
        <v>30</v>
      </c>
      <c r="D151" s="588">
        <v>-0.4</v>
      </c>
      <c r="E151" s="601">
        <v>-0.3</v>
      </c>
      <c r="F151" s="602" t="s">
        <v>16</v>
      </c>
      <c r="G151" s="595">
        <f t="shared" si="39"/>
        <v>0</v>
      </c>
      <c r="I151" s="593">
        <v>4</v>
      </c>
      <c r="J151" s="601">
        <v>60</v>
      </c>
      <c r="K151" s="588">
        <v>0.3</v>
      </c>
      <c r="L151" s="601">
        <v>-0.6</v>
      </c>
      <c r="M151" s="602" t="s">
        <v>16</v>
      </c>
      <c r="N151" s="595">
        <f t="shared" si="40"/>
        <v>0</v>
      </c>
      <c r="P151" s="593">
        <v>4</v>
      </c>
      <c r="Q151" s="601">
        <v>990</v>
      </c>
      <c r="R151" s="588">
        <v>3.9</v>
      </c>
      <c r="S151" s="602">
        <v>1.1000000000000001</v>
      </c>
      <c r="T151" s="602" t="s">
        <v>16</v>
      </c>
      <c r="U151" s="595">
        <f t="shared" si="41"/>
        <v>0</v>
      </c>
    </row>
    <row r="152" spans="1:24" ht="13" x14ac:dyDescent="0.25">
      <c r="A152" s="1020"/>
      <c r="B152" s="593">
        <v>5</v>
      </c>
      <c r="C152" s="601">
        <v>35</v>
      </c>
      <c r="D152" s="588">
        <v>-0.6</v>
      </c>
      <c r="E152" s="601">
        <v>-0.6</v>
      </c>
      <c r="F152" s="602" t="s">
        <v>16</v>
      </c>
      <c r="G152" s="595">
        <f t="shared" si="39"/>
        <v>0</v>
      </c>
      <c r="I152" s="593">
        <v>5</v>
      </c>
      <c r="J152" s="601">
        <v>70</v>
      </c>
      <c r="K152" s="588">
        <v>0.7</v>
      </c>
      <c r="L152" s="601">
        <v>-0.8</v>
      </c>
      <c r="M152" s="602" t="s">
        <v>16</v>
      </c>
      <c r="N152" s="595">
        <f t="shared" si="40"/>
        <v>0</v>
      </c>
      <c r="P152" s="593">
        <v>5</v>
      </c>
      <c r="Q152" s="601">
        <v>1000</v>
      </c>
      <c r="R152" s="588">
        <v>3.8</v>
      </c>
      <c r="S152" s="602">
        <v>1.1000000000000001</v>
      </c>
      <c r="T152" s="602" t="s">
        <v>16</v>
      </c>
      <c r="U152" s="595">
        <f t="shared" si="41"/>
        <v>0</v>
      </c>
    </row>
    <row r="153" spans="1:24" ht="13" x14ac:dyDescent="0.25">
      <c r="A153" s="1020"/>
      <c r="B153" s="593">
        <v>6</v>
      </c>
      <c r="C153" s="601">
        <v>37</v>
      </c>
      <c r="D153" s="588">
        <v>-0.7</v>
      </c>
      <c r="E153" s="601">
        <v>-0.8</v>
      </c>
      <c r="F153" s="602" t="s">
        <v>16</v>
      </c>
      <c r="G153" s="595">
        <f t="shared" si="39"/>
        <v>0</v>
      </c>
      <c r="I153" s="593">
        <v>6</v>
      </c>
      <c r="J153" s="601">
        <v>80</v>
      </c>
      <c r="K153" s="588">
        <v>1.1000000000000001</v>
      </c>
      <c r="L153" s="601">
        <v>-0.9</v>
      </c>
      <c r="M153" s="602" t="s">
        <v>16</v>
      </c>
      <c r="N153" s="595">
        <f t="shared" si="40"/>
        <v>0</v>
      </c>
      <c r="P153" s="593">
        <v>6</v>
      </c>
      <c r="Q153" s="601">
        <v>1005</v>
      </c>
      <c r="R153" s="588">
        <v>3.8</v>
      </c>
      <c r="S153" s="602">
        <v>1.1000000000000001</v>
      </c>
      <c r="T153" s="602" t="s">
        <v>16</v>
      </c>
      <c r="U153" s="595">
        <f t="shared" si="41"/>
        <v>0</v>
      </c>
    </row>
    <row r="154" spans="1:24" ht="13" x14ac:dyDescent="0.25">
      <c r="A154" s="1020"/>
      <c r="B154" s="593">
        <v>7</v>
      </c>
      <c r="C154" s="610">
        <v>40</v>
      </c>
      <c r="D154" s="588">
        <v>-0.8</v>
      </c>
      <c r="E154" s="601">
        <v>-1.1000000000000001</v>
      </c>
      <c r="F154" s="602" t="s">
        <v>16</v>
      </c>
      <c r="G154" s="595">
        <f t="shared" si="39"/>
        <v>0</v>
      </c>
      <c r="I154" s="593">
        <v>7</v>
      </c>
      <c r="J154" s="610">
        <v>90</v>
      </c>
      <c r="K154" s="588">
        <v>1.5</v>
      </c>
      <c r="L154" s="601">
        <v>-0.8</v>
      </c>
      <c r="M154" s="602" t="s">
        <v>16</v>
      </c>
      <c r="N154" s="595">
        <f t="shared" si="40"/>
        <v>0</v>
      </c>
      <c r="P154" s="593">
        <v>7</v>
      </c>
      <c r="Q154" s="601">
        <v>1010</v>
      </c>
      <c r="R154" s="588">
        <v>3.7</v>
      </c>
      <c r="S154" s="602">
        <v>9.9999999999999995E-7</v>
      </c>
      <c r="T154" s="602" t="s">
        <v>16</v>
      </c>
      <c r="U154" s="595">
        <f t="shared" si="41"/>
        <v>0</v>
      </c>
    </row>
    <row r="155" spans="1:24" ht="13" thickBot="1" x14ac:dyDescent="0.3">
      <c r="A155" s="612"/>
      <c r="C155" s="265"/>
      <c r="D155" s="428"/>
      <c r="E155" s="613"/>
      <c r="F155" s="265"/>
      <c r="J155" s="265"/>
      <c r="K155" s="428"/>
      <c r="L155" s="613"/>
      <c r="M155" s="265"/>
      <c r="Q155" s="428"/>
      <c r="R155" s="613"/>
      <c r="S155" s="613"/>
      <c r="T155" s="265"/>
    </row>
    <row r="156" spans="1:24" x14ac:dyDescent="0.25">
      <c r="A156" s="1020">
        <v>15</v>
      </c>
      <c r="B156" s="1021" t="s">
        <v>343</v>
      </c>
      <c r="C156" s="1021"/>
      <c r="D156" s="1021"/>
      <c r="E156" s="1021"/>
      <c r="F156" s="1021"/>
      <c r="G156" s="1021"/>
      <c r="I156" s="1021" t="str">
        <f>B156</f>
        <v>KOREKSI EXTECH A.100611</v>
      </c>
      <c r="J156" s="1021"/>
      <c r="K156" s="1021"/>
      <c r="L156" s="1021"/>
      <c r="M156" s="1021"/>
      <c r="N156" s="1021"/>
      <c r="P156" s="1021" t="str">
        <f>I156</f>
        <v>KOREKSI EXTECH A.100611</v>
      </c>
      <c r="Q156" s="1021"/>
      <c r="R156" s="1021"/>
      <c r="S156" s="1021"/>
      <c r="T156" s="1021"/>
      <c r="U156" s="1021"/>
      <c r="W156" s="1015" t="s">
        <v>251</v>
      </c>
      <c r="X156" s="1016"/>
    </row>
    <row r="157" spans="1:24" ht="13" x14ac:dyDescent="0.25">
      <c r="A157" s="1020"/>
      <c r="B157" s="1017" t="s">
        <v>325</v>
      </c>
      <c r="C157" s="1017"/>
      <c r="D157" s="1017" t="s">
        <v>244</v>
      </c>
      <c r="E157" s="1017"/>
      <c r="F157" s="1017"/>
      <c r="G157" s="1017" t="s">
        <v>239</v>
      </c>
      <c r="I157" s="1017" t="s">
        <v>326</v>
      </c>
      <c r="J157" s="1017"/>
      <c r="K157" s="1017" t="s">
        <v>244</v>
      </c>
      <c r="L157" s="1017"/>
      <c r="M157" s="1017"/>
      <c r="N157" s="1017" t="s">
        <v>239</v>
      </c>
      <c r="P157" s="1017" t="s">
        <v>327</v>
      </c>
      <c r="Q157" s="1017"/>
      <c r="R157" s="1017" t="s">
        <v>244</v>
      </c>
      <c r="S157" s="1017"/>
      <c r="T157" s="1017"/>
      <c r="U157" s="1017" t="s">
        <v>239</v>
      </c>
      <c r="W157" s="590" t="s">
        <v>325</v>
      </c>
      <c r="X157" s="591">
        <v>0.5</v>
      </c>
    </row>
    <row r="158" spans="1:24" ht="14.5" x14ac:dyDescent="0.25">
      <c r="A158" s="1020"/>
      <c r="B158" s="1018" t="s">
        <v>328</v>
      </c>
      <c r="C158" s="1018"/>
      <c r="D158" s="614">
        <v>2022</v>
      </c>
      <c r="E158" s="592">
        <v>2020</v>
      </c>
      <c r="F158" s="608" t="s">
        <v>16</v>
      </c>
      <c r="G158" s="1017"/>
      <c r="I158" s="1019" t="s">
        <v>41</v>
      </c>
      <c r="J158" s="1018"/>
      <c r="K158" s="614">
        <v>2022</v>
      </c>
      <c r="L158" s="609">
        <f>E158</f>
        <v>2020</v>
      </c>
      <c r="M158" s="609" t="str">
        <f>F158</f>
        <v>-</v>
      </c>
      <c r="N158" s="1017"/>
      <c r="P158" s="1019" t="s">
        <v>329</v>
      </c>
      <c r="Q158" s="1018"/>
      <c r="R158" s="614">
        <v>2022</v>
      </c>
      <c r="S158" s="609">
        <f>L158</f>
        <v>2020</v>
      </c>
      <c r="T158" s="609" t="str">
        <f>M158</f>
        <v>-</v>
      </c>
      <c r="U158" s="1017"/>
      <c r="W158" s="590" t="s">
        <v>41</v>
      </c>
      <c r="X158" s="591">
        <v>2.6</v>
      </c>
    </row>
    <row r="159" spans="1:24" ht="13.5" thickBot="1" x14ac:dyDescent="0.3">
      <c r="A159" s="1020"/>
      <c r="B159" s="593">
        <v>1</v>
      </c>
      <c r="C159" s="588">
        <v>15</v>
      </c>
      <c r="D159" s="588">
        <v>0.6</v>
      </c>
      <c r="E159" s="588">
        <v>-0.6</v>
      </c>
      <c r="F159" s="594" t="s">
        <v>16</v>
      </c>
      <c r="G159" s="595">
        <f t="shared" ref="G159:G165" si="42">0.5*(MAX(E159:F159)-MIN(E159:F159))</f>
        <v>0</v>
      </c>
      <c r="I159" s="593">
        <v>1</v>
      </c>
      <c r="J159" s="588">
        <v>30</v>
      </c>
      <c r="K159" s="588">
        <v>-2</v>
      </c>
      <c r="L159" s="588">
        <v>-0.4</v>
      </c>
      <c r="M159" s="594" t="s">
        <v>16</v>
      </c>
      <c r="N159" s="595">
        <f t="shared" ref="N159:N165" si="43">0.5*(MAX(L159:M159)-MIN(L159:M159))</f>
        <v>0</v>
      </c>
      <c r="P159" s="593">
        <v>1</v>
      </c>
      <c r="Q159" s="588">
        <v>960</v>
      </c>
      <c r="R159" s="588">
        <f>MAX(R160:R165)</f>
        <v>4.5</v>
      </c>
      <c r="S159" s="597">
        <v>0.9</v>
      </c>
      <c r="T159" s="594" t="s">
        <v>16</v>
      </c>
      <c r="U159" s="595">
        <f t="shared" ref="U159:U165" si="44">0.5*(MAX(S159:T159)-MIN(S159:T159))</f>
        <v>0</v>
      </c>
      <c r="W159" s="599" t="s">
        <v>329</v>
      </c>
      <c r="X159" s="600">
        <v>2.6</v>
      </c>
    </row>
    <row r="160" spans="1:24" ht="13" x14ac:dyDescent="0.25">
      <c r="A160" s="1020"/>
      <c r="B160" s="593">
        <v>2</v>
      </c>
      <c r="C160" s="588">
        <v>20</v>
      </c>
      <c r="D160" s="588">
        <v>0.3</v>
      </c>
      <c r="E160" s="588">
        <v>-0.5</v>
      </c>
      <c r="F160" s="594" t="s">
        <v>16</v>
      </c>
      <c r="G160" s="595">
        <f t="shared" si="42"/>
        <v>0</v>
      </c>
      <c r="I160" s="593">
        <v>2</v>
      </c>
      <c r="J160" s="588">
        <v>40</v>
      </c>
      <c r="K160" s="588">
        <v>-1.7</v>
      </c>
      <c r="L160" s="588">
        <v>-0.3</v>
      </c>
      <c r="M160" s="594" t="s">
        <v>16</v>
      </c>
      <c r="N160" s="595">
        <f t="shared" si="43"/>
        <v>0</v>
      </c>
      <c r="P160" s="593">
        <v>2</v>
      </c>
      <c r="Q160" s="588">
        <v>970</v>
      </c>
      <c r="R160" s="588">
        <v>4.5</v>
      </c>
      <c r="S160" s="597">
        <v>1</v>
      </c>
      <c r="T160" s="594" t="s">
        <v>16</v>
      </c>
      <c r="U160" s="595">
        <f t="shared" si="44"/>
        <v>0</v>
      </c>
    </row>
    <row r="161" spans="1:24" ht="13" x14ac:dyDescent="0.25">
      <c r="A161" s="1020"/>
      <c r="B161" s="593">
        <v>3</v>
      </c>
      <c r="C161" s="588">
        <v>25</v>
      </c>
      <c r="D161" s="588">
        <v>0.2</v>
      </c>
      <c r="E161" s="588">
        <v>-0.4</v>
      </c>
      <c r="F161" s="594" t="s">
        <v>16</v>
      </c>
      <c r="G161" s="595">
        <f t="shared" si="42"/>
        <v>0</v>
      </c>
      <c r="I161" s="593">
        <v>3</v>
      </c>
      <c r="J161" s="588">
        <v>50</v>
      </c>
      <c r="K161" s="588">
        <v>-1.4</v>
      </c>
      <c r="L161" s="588">
        <v>-0.3</v>
      </c>
      <c r="M161" s="594" t="s">
        <v>16</v>
      </c>
      <c r="N161" s="595">
        <f t="shared" si="43"/>
        <v>0</v>
      </c>
      <c r="P161" s="593">
        <v>3</v>
      </c>
      <c r="Q161" s="601">
        <v>980</v>
      </c>
      <c r="R161" s="588">
        <v>4.3</v>
      </c>
      <c r="S161" s="602">
        <v>1</v>
      </c>
      <c r="T161" s="594" t="s">
        <v>16</v>
      </c>
      <c r="U161" s="595">
        <f t="shared" si="44"/>
        <v>0</v>
      </c>
    </row>
    <row r="162" spans="1:24" ht="13" x14ac:dyDescent="0.25">
      <c r="A162" s="1020"/>
      <c r="B162" s="593">
        <v>4</v>
      </c>
      <c r="C162" s="601">
        <v>30</v>
      </c>
      <c r="D162" s="588">
        <v>0.4</v>
      </c>
      <c r="E162" s="601">
        <v>-0.2</v>
      </c>
      <c r="F162" s="602" t="s">
        <v>16</v>
      </c>
      <c r="G162" s="595">
        <f t="shared" si="42"/>
        <v>0</v>
      </c>
      <c r="I162" s="593">
        <v>4</v>
      </c>
      <c r="J162" s="601">
        <v>60</v>
      </c>
      <c r="K162" s="588">
        <v>-1.1000000000000001</v>
      </c>
      <c r="L162" s="601">
        <v>-0.5</v>
      </c>
      <c r="M162" s="602" t="s">
        <v>16</v>
      </c>
      <c r="N162" s="595">
        <f t="shared" si="43"/>
        <v>0</v>
      </c>
      <c r="P162" s="593">
        <v>4</v>
      </c>
      <c r="Q162" s="601">
        <v>990</v>
      </c>
      <c r="R162" s="588">
        <v>4.2</v>
      </c>
      <c r="S162" s="602">
        <v>1.1000000000000001</v>
      </c>
      <c r="T162" s="602" t="s">
        <v>16</v>
      </c>
      <c r="U162" s="595">
        <f t="shared" si="44"/>
        <v>0</v>
      </c>
    </row>
    <row r="163" spans="1:24" ht="13" x14ac:dyDescent="0.25">
      <c r="A163" s="1020"/>
      <c r="B163" s="593">
        <v>5</v>
      </c>
      <c r="C163" s="601">
        <v>35</v>
      </c>
      <c r="D163" s="588">
        <v>0.8</v>
      </c>
      <c r="E163" s="601">
        <v>-0.1</v>
      </c>
      <c r="F163" s="602" t="s">
        <v>16</v>
      </c>
      <c r="G163" s="595">
        <f t="shared" si="42"/>
        <v>0</v>
      </c>
      <c r="I163" s="593">
        <v>5</v>
      </c>
      <c r="J163" s="601">
        <v>70</v>
      </c>
      <c r="K163" s="588">
        <v>-0.7</v>
      </c>
      <c r="L163" s="601">
        <v>-0.8</v>
      </c>
      <c r="M163" s="602" t="s">
        <v>16</v>
      </c>
      <c r="N163" s="595">
        <f t="shared" si="43"/>
        <v>0</v>
      </c>
      <c r="P163" s="593">
        <v>5</v>
      </c>
      <c r="Q163" s="601">
        <v>1000</v>
      </c>
      <c r="R163" s="588">
        <v>4.0999999999999996</v>
      </c>
      <c r="S163" s="602">
        <v>1.1000000000000001</v>
      </c>
      <c r="T163" s="602" t="s">
        <v>16</v>
      </c>
      <c r="U163" s="595">
        <f t="shared" si="44"/>
        <v>0</v>
      </c>
    </row>
    <row r="164" spans="1:24" ht="13" x14ac:dyDescent="0.25">
      <c r="A164" s="1020"/>
      <c r="B164" s="593">
        <v>6</v>
      </c>
      <c r="C164" s="601">
        <v>37</v>
      </c>
      <c r="D164" s="588">
        <v>1</v>
      </c>
      <c r="E164" s="601">
        <v>-0.1</v>
      </c>
      <c r="F164" s="602" t="s">
        <v>16</v>
      </c>
      <c r="G164" s="595">
        <f t="shared" si="42"/>
        <v>0</v>
      </c>
      <c r="I164" s="593">
        <v>6</v>
      </c>
      <c r="J164" s="601">
        <v>80</v>
      </c>
      <c r="K164" s="588">
        <v>-0.4</v>
      </c>
      <c r="L164" s="601">
        <v>-1.3</v>
      </c>
      <c r="M164" s="602" t="s">
        <v>16</v>
      </c>
      <c r="N164" s="595">
        <f t="shared" si="43"/>
        <v>0</v>
      </c>
      <c r="P164" s="593">
        <v>6</v>
      </c>
      <c r="Q164" s="601">
        <v>1005</v>
      </c>
      <c r="R164" s="588">
        <v>4</v>
      </c>
      <c r="S164" s="602">
        <v>1.1000000000000001</v>
      </c>
      <c r="T164" s="602" t="s">
        <v>16</v>
      </c>
      <c r="U164" s="595">
        <f t="shared" si="44"/>
        <v>0</v>
      </c>
    </row>
    <row r="165" spans="1:24" ht="13" x14ac:dyDescent="0.25">
      <c r="A165" s="1020"/>
      <c r="B165" s="593">
        <v>7</v>
      </c>
      <c r="C165" s="610">
        <v>40</v>
      </c>
      <c r="D165" s="588">
        <v>1.4</v>
      </c>
      <c r="E165" s="594">
        <v>9.9999999999999995E-7</v>
      </c>
      <c r="F165" s="602" t="s">
        <v>16</v>
      </c>
      <c r="G165" s="595">
        <f t="shared" si="42"/>
        <v>0</v>
      </c>
      <c r="I165" s="593">
        <v>7</v>
      </c>
      <c r="J165" s="610">
        <v>90</v>
      </c>
      <c r="K165" s="588">
        <v>-0.1</v>
      </c>
      <c r="L165" s="601">
        <v>-2</v>
      </c>
      <c r="M165" s="602" t="s">
        <v>16</v>
      </c>
      <c r="N165" s="595">
        <f t="shared" si="43"/>
        <v>0</v>
      </c>
      <c r="P165" s="593">
        <v>7</v>
      </c>
      <c r="Q165" s="601">
        <v>1010</v>
      </c>
      <c r="R165" s="588">
        <v>3.9</v>
      </c>
      <c r="S165" s="602">
        <v>9.9999999999999995E-7</v>
      </c>
      <c r="T165" s="602" t="s">
        <v>16</v>
      </c>
      <c r="U165" s="595">
        <f t="shared" si="44"/>
        <v>0</v>
      </c>
    </row>
    <row r="166" spans="1:24" ht="13" thickBot="1" x14ac:dyDescent="0.3">
      <c r="A166" s="612"/>
      <c r="C166" s="265"/>
      <c r="D166" s="428"/>
      <c r="E166" s="613"/>
      <c r="F166" s="265"/>
      <c r="I166" s="265"/>
      <c r="J166" s="428"/>
      <c r="K166" s="613"/>
      <c r="L166" s="265"/>
      <c r="O166" s="428"/>
      <c r="P166" s="613"/>
      <c r="Q166" s="613"/>
      <c r="R166" s="265"/>
    </row>
    <row r="167" spans="1:24" x14ac:dyDescent="0.25">
      <c r="A167" s="1020">
        <v>16</v>
      </c>
      <c r="B167" s="1021" t="s">
        <v>344</v>
      </c>
      <c r="C167" s="1021"/>
      <c r="D167" s="1021"/>
      <c r="E167" s="1021"/>
      <c r="F167" s="1021"/>
      <c r="G167" s="1021"/>
      <c r="I167" s="1021" t="str">
        <f>B167</f>
        <v>KOREKSI EXTECH A.100616</v>
      </c>
      <c r="J167" s="1021"/>
      <c r="K167" s="1021"/>
      <c r="L167" s="1021"/>
      <c r="M167" s="1021"/>
      <c r="N167" s="1021"/>
      <c r="P167" s="1021" t="str">
        <f>I167</f>
        <v>KOREKSI EXTECH A.100616</v>
      </c>
      <c r="Q167" s="1021"/>
      <c r="R167" s="1021"/>
      <c r="S167" s="1021"/>
      <c r="T167" s="1021"/>
      <c r="U167" s="1021"/>
      <c r="W167" s="1015" t="s">
        <v>251</v>
      </c>
      <c r="X167" s="1016"/>
    </row>
    <row r="168" spans="1:24" ht="13" x14ac:dyDescent="0.25">
      <c r="A168" s="1020"/>
      <c r="B168" s="1017" t="s">
        <v>325</v>
      </c>
      <c r="C168" s="1017"/>
      <c r="D168" s="1017" t="s">
        <v>244</v>
      </c>
      <c r="E168" s="1017"/>
      <c r="F168" s="1017"/>
      <c r="G168" s="1017" t="s">
        <v>239</v>
      </c>
      <c r="I168" s="1017" t="s">
        <v>326</v>
      </c>
      <c r="J168" s="1017"/>
      <c r="K168" s="1017" t="s">
        <v>244</v>
      </c>
      <c r="L168" s="1017"/>
      <c r="M168" s="1017"/>
      <c r="N168" s="1017" t="s">
        <v>239</v>
      </c>
      <c r="P168" s="1017" t="s">
        <v>327</v>
      </c>
      <c r="Q168" s="1017"/>
      <c r="R168" s="1017" t="s">
        <v>244</v>
      </c>
      <c r="S168" s="1017"/>
      <c r="T168" s="1017"/>
      <c r="U168" s="1017" t="s">
        <v>239</v>
      </c>
      <c r="W168" s="590" t="s">
        <v>325</v>
      </c>
      <c r="X168" s="591">
        <v>0.5</v>
      </c>
    </row>
    <row r="169" spans="1:24" ht="14.5" x14ac:dyDescent="0.25">
      <c r="A169" s="1020"/>
      <c r="B169" s="1018" t="s">
        <v>328</v>
      </c>
      <c r="C169" s="1018"/>
      <c r="D169" s="592">
        <v>2023</v>
      </c>
      <c r="E169" s="592">
        <v>2020</v>
      </c>
      <c r="F169" s="592">
        <v>2016</v>
      </c>
      <c r="G169" s="1017"/>
      <c r="I169" s="1019" t="s">
        <v>41</v>
      </c>
      <c r="J169" s="1018"/>
      <c r="K169" s="609">
        <f>D169</f>
        <v>2023</v>
      </c>
      <c r="L169" s="609">
        <f>E169</f>
        <v>2020</v>
      </c>
      <c r="M169" s="592">
        <v>2016</v>
      </c>
      <c r="N169" s="1017"/>
      <c r="P169" s="1019" t="s">
        <v>329</v>
      </c>
      <c r="Q169" s="1018"/>
      <c r="R169" s="609">
        <f>K169</f>
        <v>2023</v>
      </c>
      <c r="S169" s="609">
        <f>L169</f>
        <v>2020</v>
      </c>
      <c r="T169" s="592">
        <v>2016</v>
      </c>
      <c r="U169" s="1017"/>
      <c r="W169" s="590" t="s">
        <v>41</v>
      </c>
      <c r="X169" s="591">
        <v>2.2999999999999998</v>
      </c>
    </row>
    <row r="170" spans="1:24" ht="13.5" thickBot="1" x14ac:dyDescent="0.3">
      <c r="A170" s="1020"/>
      <c r="B170" s="593">
        <v>1</v>
      </c>
      <c r="C170" s="588">
        <v>15</v>
      </c>
      <c r="D170" s="588">
        <v>0.1</v>
      </c>
      <c r="E170" s="588">
        <v>0.1</v>
      </c>
      <c r="F170" s="598"/>
      <c r="G170" s="595">
        <f>0.5*(MAX(D170:F170)-MIN(D170:F170))</f>
        <v>0</v>
      </c>
      <c r="I170" s="593">
        <v>1</v>
      </c>
      <c r="J170" s="588">
        <v>35</v>
      </c>
      <c r="K170" s="588">
        <v>-2.5</v>
      </c>
      <c r="L170" s="588">
        <v>-1.6</v>
      </c>
      <c r="M170" s="598"/>
      <c r="N170" s="595">
        <f>0.5*(MAX(K170:M170)-MIN(K170:M170))</f>
        <v>0.44999999999999996</v>
      </c>
      <c r="P170" s="593">
        <v>1</v>
      </c>
      <c r="Q170" s="588">
        <v>960</v>
      </c>
      <c r="R170" s="597">
        <v>4.5999999999999996</v>
      </c>
      <c r="S170" s="597" t="s">
        <v>16</v>
      </c>
      <c r="T170" s="598"/>
      <c r="U170" s="595">
        <f>0.5*(MAX(R170:T170)-MIN(R170:T170))</f>
        <v>0</v>
      </c>
      <c r="W170" s="599" t="s">
        <v>329</v>
      </c>
      <c r="X170" s="600">
        <v>2.2000000000000002</v>
      </c>
    </row>
    <row r="171" spans="1:24" ht="13" x14ac:dyDescent="0.25">
      <c r="A171" s="1020"/>
      <c r="B171" s="593">
        <v>2</v>
      </c>
      <c r="C171" s="588">
        <v>20</v>
      </c>
      <c r="D171" s="588">
        <v>0.3</v>
      </c>
      <c r="E171" s="588">
        <v>0.2</v>
      </c>
      <c r="F171" s="598"/>
      <c r="G171" s="595">
        <f t="shared" ref="G171:G176" si="45">0.5*(MAX(D171:F171)-MIN(D171:F171))</f>
        <v>4.9999999999999989E-2</v>
      </c>
      <c r="I171" s="593">
        <v>2</v>
      </c>
      <c r="J171" s="588">
        <v>40</v>
      </c>
      <c r="K171" s="588">
        <v>-2.2999999999999998</v>
      </c>
      <c r="L171" s="588">
        <v>-1.4</v>
      </c>
      <c r="M171" s="598"/>
      <c r="N171" s="595">
        <f t="shared" ref="N171:N176" si="46">0.5*(MAX(K171:M171)-MIN(K171:M171))</f>
        <v>0.44999999999999996</v>
      </c>
      <c r="P171" s="593">
        <v>2</v>
      </c>
      <c r="Q171" s="588">
        <v>970</v>
      </c>
      <c r="R171" s="597">
        <v>4.5</v>
      </c>
      <c r="S171" s="597" t="s">
        <v>16</v>
      </c>
      <c r="T171" s="598"/>
      <c r="U171" s="595">
        <f t="shared" ref="U171:U176" si="47">0.5*(MAX(R171:T171)-MIN(R171:T171))</f>
        <v>0</v>
      </c>
    </row>
    <row r="172" spans="1:24" ht="13" x14ac:dyDescent="0.25">
      <c r="A172" s="1020"/>
      <c r="B172" s="593">
        <v>3</v>
      </c>
      <c r="C172" s="588">
        <v>25</v>
      </c>
      <c r="D172" s="588">
        <v>0.5</v>
      </c>
      <c r="E172" s="588">
        <v>0.2</v>
      </c>
      <c r="F172" s="598"/>
      <c r="G172" s="595">
        <f t="shared" si="45"/>
        <v>0.15</v>
      </c>
      <c r="I172" s="593">
        <v>3</v>
      </c>
      <c r="J172" s="588">
        <v>50</v>
      </c>
      <c r="K172" s="588">
        <v>-2</v>
      </c>
      <c r="L172" s="588">
        <v>-1.4</v>
      </c>
      <c r="M172" s="598"/>
      <c r="N172" s="595">
        <f t="shared" si="46"/>
        <v>0.30000000000000004</v>
      </c>
      <c r="P172" s="593">
        <v>3</v>
      </c>
      <c r="Q172" s="601">
        <v>980</v>
      </c>
      <c r="R172" s="602">
        <v>4.5</v>
      </c>
      <c r="S172" s="602" t="s">
        <v>16</v>
      </c>
      <c r="T172" s="598"/>
      <c r="U172" s="595">
        <f t="shared" si="47"/>
        <v>0</v>
      </c>
    </row>
    <row r="173" spans="1:24" ht="13" x14ac:dyDescent="0.25">
      <c r="A173" s="1020"/>
      <c r="B173" s="593">
        <v>4</v>
      </c>
      <c r="C173" s="601">
        <v>30</v>
      </c>
      <c r="D173" s="601">
        <v>0.6</v>
      </c>
      <c r="E173" s="601">
        <v>0.2</v>
      </c>
      <c r="F173" s="598"/>
      <c r="G173" s="595">
        <f t="shared" si="45"/>
        <v>0.19999999999999998</v>
      </c>
      <c r="I173" s="593">
        <v>4</v>
      </c>
      <c r="J173" s="601">
        <v>60</v>
      </c>
      <c r="K173" s="601">
        <v>-1.9</v>
      </c>
      <c r="L173" s="601">
        <v>-1.5</v>
      </c>
      <c r="M173" s="598"/>
      <c r="N173" s="595">
        <f t="shared" si="46"/>
        <v>0.19999999999999996</v>
      </c>
      <c r="P173" s="593">
        <v>4</v>
      </c>
      <c r="Q173" s="601">
        <v>990</v>
      </c>
      <c r="R173" s="602">
        <v>4.4000000000000004</v>
      </c>
      <c r="S173" s="602" t="s">
        <v>16</v>
      </c>
      <c r="T173" s="598"/>
      <c r="U173" s="595">
        <f t="shared" si="47"/>
        <v>0</v>
      </c>
    </row>
    <row r="174" spans="1:24" ht="13" x14ac:dyDescent="0.25">
      <c r="A174" s="1020"/>
      <c r="B174" s="593">
        <v>5</v>
      </c>
      <c r="C174" s="601">
        <v>35</v>
      </c>
      <c r="D174" s="601">
        <v>0.6</v>
      </c>
      <c r="E174" s="601">
        <v>0.1</v>
      </c>
      <c r="F174" s="598"/>
      <c r="G174" s="595">
        <f t="shared" si="45"/>
        <v>0.25</v>
      </c>
      <c r="I174" s="593">
        <v>5</v>
      </c>
      <c r="J174" s="601">
        <v>70</v>
      </c>
      <c r="K174" s="601">
        <v>-2.1</v>
      </c>
      <c r="L174" s="601">
        <v>-1.8</v>
      </c>
      <c r="M174" s="598"/>
      <c r="N174" s="595">
        <f t="shared" si="46"/>
        <v>0.15000000000000002</v>
      </c>
      <c r="P174" s="593">
        <v>5</v>
      </c>
      <c r="Q174" s="601">
        <v>1000</v>
      </c>
      <c r="R174" s="602">
        <v>4.3</v>
      </c>
      <c r="S174" s="602">
        <v>-0.4</v>
      </c>
      <c r="T174" s="598"/>
      <c r="U174" s="595">
        <f t="shared" si="47"/>
        <v>2.35</v>
      </c>
    </row>
    <row r="175" spans="1:24" ht="13" x14ac:dyDescent="0.25">
      <c r="A175" s="1020"/>
      <c r="B175" s="593">
        <v>6</v>
      </c>
      <c r="C175" s="601">
        <v>37</v>
      </c>
      <c r="D175" s="594">
        <v>0.6</v>
      </c>
      <c r="E175" s="594">
        <v>9.9999999999999995E-7</v>
      </c>
      <c r="F175" s="598"/>
      <c r="G175" s="595">
        <f t="shared" si="45"/>
        <v>0.29999949999999997</v>
      </c>
      <c r="I175" s="593">
        <v>6</v>
      </c>
      <c r="J175" s="601">
        <v>80</v>
      </c>
      <c r="K175" s="601">
        <v>-2.5</v>
      </c>
      <c r="L175" s="601">
        <v>-2.2999999999999998</v>
      </c>
      <c r="M175" s="598"/>
      <c r="N175" s="595">
        <f t="shared" si="46"/>
        <v>0.10000000000000009</v>
      </c>
      <c r="P175" s="593">
        <v>6</v>
      </c>
      <c r="Q175" s="601">
        <v>1005</v>
      </c>
      <c r="R175" s="602" t="s">
        <v>16</v>
      </c>
      <c r="S175" s="602">
        <v>-0.4</v>
      </c>
      <c r="T175" s="598"/>
      <c r="U175" s="595">
        <f t="shared" si="47"/>
        <v>0</v>
      </c>
    </row>
    <row r="176" spans="1:24" ht="13" x14ac:dyDescent="0.25">
      <c r="A176" s="1020"/>
      <c r="B176" s="593">
        <v>7</v>
      </c>
      <c r="C176" s="610">
        <v>40</v>
      </c>
      <c r="D176" s="594">
        <v>0.6</v>
      </c>
      <c r="E176" s="594">
        <v>9.9999999999999995E-7</v>
      </c>
      <c r="F176" s="598"/>
      <c r="G176" s="595">
        <f t="shared" si="45"/>
        <v>0.29999949999999997</v>
      </c>
      <c r="I176" s="593">
        <v>7</v>
      </c>
      <c r="J176" s="610">
        <v>90</v>
      </c>
      <c r="K176" s="601">
        <v>-3.1</v>
      </c>
      <c r="L176" s="601">
        <v>-3</v>
      </c>
      <c r="M176" s="598"/>
      <c r="N176" s="595">
        <f t="shared" si="46"/>
        <v>5.0000000000000044E-2</v>
      </c>
      <c r="P176" s="593">
        <v>7</v>
      </c>
      <c r="Q176" s="601">
        <v>1010</v>
      </c>
      <c r="R176" s="602">
        <v>4.3</v>
      </c>
      <c r="S176" s="602">
        <v>9.9999999999999995E-7</v>
      </c>
      <c r="T176" s="598"/>
      <c r="U176" s="595">
        <f t="shared" si="47"/>
        <v>2.1499994999999998</v>
      </c>
    </row>
    <row r="177" spans="1:24" ht="13" thickBot="1" x14ac:dyDescent="0.3">
      <c r="A177" s="612"/>
      <c r="C177" s="265"/>
      <c r="D177" s="428"/>
      <c r="E177" s="613"/>
      <c r="F177" s="265"/>
      <c r="J177" s="265"/>
      <c r="K177" s="428"/>
      <c r="L177" s="613"/>
      <c r="M177" s="265"/>
      <c r="Q177" s="428"/>
      <c r="R177" s="613"/>
      <c r="S177" s="613"/>
      <c r="T177" s="265"/>
    </row>
    <row r="178" spans="1:24" x14ac:dyDescent="0.25">
      <c r="A178" s="1020">
        <v>17</v>
      </c>
      <c r="B178" s="1021" t="s">
        <v>345</v>
      </c>
      <c r="C178" s="1021"/>
      <c r="D178" s="1021"/>
      <c r="E178" s="1021"/>
      <c r="F178" s="1021"/>
      <c r="G178" s="1021"/>
      <c r="I178" s="1021" t="str">
        <f>B178</f>
        <v>KOREKSI EXTECH A.100617</v>
      </c>
      <c r="J178" s="1021"/>
      <c r="K178" s="1021"/>
      <c r="L178" s="1021"/>
      <c r="M178" s="1021"/>
      <c r="N178" s="1021"/>
      <c r="P178" s="1021" t="str">
        <f>I178</f>
        <v>KOREKSI EXTECH A.100617</v>
      </c>
      <c r="Q178" s="1021"/>
      <c r="R178" s="1021"/>
      <c r="S178" s="1021"/>
      <c r="T178" s="1021"/>
      <c r="U178" s="1021"/>
      <c r="W178" s="1015" t="s">
        <v>251</v>
      </c>
      <c r="X178" s="1016"/>
    </row>
    <row r="179" spans="1:24" ht="13" x14ac:dyDescent="0.25">
      <c r="A179" s="1020"/>
      <c r="B179" s="1017" t="s">
        <v>325</v>
      </c>
      <c r="C179" s="1017"/>
      <c r="D179" s="1017" t="s">
        <v>244</v>
      </c>
      <c r="E179" s="1017"/>
      <c r="F179" s="1017"/>
      <c r="G179" s="1017" t="s">
        <v>239</v>
      </c>
      <c r="I179" s="1017" t="s">
        <v>326</v>
      </c>
      <c r="J179" s="1017"/>
      <c r="K179" s="1017" t="s">
        <v>244</v>
      </c>
      <c r="L179" s="1017"/>
      <c r="M179" s="1017"/>
      <c r="N179" s="1017" t="s">
        <v>239</v>
      </c>
      <c r="P179" s="1017" t="s">
        <v>327</v>
      </c>
      <c r="Q179" s="1017"/>
      <c r="R179" s="1017" t="s">
        <v>244</v>
      </c>
      <c r="S179" s="1017"/>
      <c r="T179" s="1017"/>
      <c r="U179" s="1017" t="s">
        <v>239</v>
      </c>
      <c r="W179" s="590" t="s">
        <v>325</v>
      </c>
      <c r="X179" s="591">
        <v>0.8</v>
      </c>
    </row>
    <row r="180" spans="1:24" ht="14.5" x14ac:dyDescent="0.25">
      <c r="A180" s="1020"/>
      <c r="B180" s="1018" t="s">
        <v>328</v>
      </c>
      <c r="C180" s="1018"/>
      <c r="D180" s="592">
        <v>2023</v>
      </c>
      <c r="E180" s="592">
        <v>2020</v>
      </c>
      <c r="F180" s="592">
        <v>2016</v>
      </c>
      <c r="G180" s="1017"/>
      <c r="I180" s="1019" t="s">
        <v>41</v>
      </c>
      <c r="J180" s="1018"/>
      <c r="K180" s="609">
        <f>D180</f>
        <v>2023</v>
      </c>
      <c r="L180" s="609">
        <f>E180</f>
        <v>2020</v>
      </c>
      <c r="M180" s="592">
        <v>2016</v>
      </c>
      <c r="N180" s="1017"/>
      <c r="P180" s="1019" t="s">
        <v>329</v>
      </c>
      <c r="Q180" s="1018"/>
      <c r="R180" s="609">
        <f>K180</f>
        <v>2023</v>
      </c>
      <c r="S180" s="609">
        <f>L180</f>
        <v>2020</v>
      </c>
      <c r="T180" s="592">
        <v>2016</v>
      </c>
      <c r="U180" s="1017"/>
      <c r="W180" s="590" t="s">
        <v>41</v>
      </c>
      <c r="X180" s="591">
        <v>2.2999999999999998</v>
      </c>
    </row>
    <row r="181" spans="1:24" ht="13.5" thickBot="1" x14ac:dyDescent="0.3">
      <c r="A181" s="1020"/>
      <c r="B181" s="593">
        <v>1</v>
      </c>
      <c r="C181" s="588">
        <v>15</v>
      </c>
      <c r="D181" s="588">
        <v>0.2</v>
      </c>
      <c r="E181" s="588">
        <v>0.1</v>
      </c>
      <c r="F181" s="598"/>
      <c r="G181" s="595">
        <f>0.5*(MAX(D181:F181)-MIN(D181:F181))</f>
        <v>0.05</v>
      </c>
      <c r="I181" s="593">
        <v>1</v>
      </c>
      <c r="J181" s="588">
        <v>35</v>
      </c>
      <c r="K181" s="588">
        <v>-2.7</v>
      </c>
      <c r="L181" s="588">
        <v>0.1</v>
      </c>
      <c r="M181" s="598"/>
      <c r="N181" s="595">
        <f>0.5*(MAX(K181:M181)-MIN(K181:M181))</f>
        <v>1.4000000000000001</v>
      </c>
      <c r="P181" s="593">
        <v>1</v>
      </c>
      <c r="Q181" s="588">
        <v>960</v>
      </c>
      <c r="R181" s="597">
        <v>4.5999999999999996</v>
      </c>
      <c r="S181" s="597">
        <v>-0.6</v>
      </c>
      <c r="T181" s="598"/>
      <c r="U181" s="595">
        <f>0.5*(MAX(R181:T181)-MIN(R181:T181))</f>
        <v>2.5999999999999996</v>
      </c>
      <c r="W181" s="599" t="s">
        <v>329</v>
      </c>
      <c r="X181" s="600">
        <v>2.1</v>
      </c>
    </row>
    <row r="182" spans="1:24" ht="13" x14ac:dyDescent="0.25">
      <c r="A182" s="1020"/>
      <c r="B182" s="593">
        <v>2</v>
      </c>
      <c r="C182" s="588">
        <v>20</v>
      </c>
      <c r="D182" s="588">
        <v>0.4</v>
      </c>
      <c r="E182" s="588">
        <v>0.1</v>
      </c>
      <c r="F182" s="598"/>
      <c r="G182" s="595">
        <f t="shared" ref="G182:G187" si="48">0.5*(MAX(D182:F182)-MIN(D182:F182))</f>
        <v>0.15000000000000002</v>
      </c>
      <c r="I182" s="593">
        <v>2</v>
      </c>
      <c r="J182" s="588">
        <v>40</v>
      </c>
      <c r="K182" s="588">
        <v>-2.4</v>
      </c>
      <c r="L182" s="588">
        <v>0.2</v>
      </c>
      <c r="M182" s="598"/>
      <c r="N182" s="595">
        <f t="shared" ref="N182:N187" si="49">0.5*(MAX(K182:M182)-MIN(K182:M182))</f>
        <v>1.3</v>
      </c>
      <c r="P182" s="593">
        <v>2</v>
      </c>
      <c r="Q182" s="588">
        <v>970</v>
      </c>
      <c r="R182" s="597">
        <v>4.5999999999999996</v>
      </c>
      <c r="S182" s="597">
        <v>-0.6</v>
      </c>
      <c r="T182" s="598"/>
      <c r="U182" s="595">
        <f t="shared" ref="U182:U187" si="50">0.5*(MAX(R182:T182)-MIN(R182:T182))</f>
        <v>2.5999999999999996</v>
      </c>
    </row>
    <row r="183" spans="1:24" ht="13" x14ac:dyDescent="0.25">
      <c r="A183" s="1020"/>
      <c r="B183" s="593">
        <v>3</v>
      </c>
      <c r="C183" s="588">
        <v>25</v>
      </c>
      <c r="D183" s="588">
        <v>0.5</v>
      </c>
      <c r="E183" s="588">
        <v>0</v>
      </c>
      <c r="F183" s="598"/>
      <c r="G183" s="595">
        <f t="shared" si="48"/>
        <v>0.25</v>
      </c>
      <c r="I183" s="593">
        <v>3</v>
      </c>
      <c r="J183" s="588">
        <v>50</v>
      </c>
      <c r="K183" s="588">
        <v>-1.9</v>
      </c>
      <c r="L183" s="588">
        <v>0.2</v>
      </c>
      <c r="M183" s="598"/>
      <c r="N183" s="595">
        <f t="shared" si="49"/>
        <v>1.05</v>
      </c>
      <c r="P183" s="593">
        <v>3</v>
      </c>
      <c r="Q183" s="601">
        <v>980</v>
      </c>
      <c r="R183" s="602">
        <v>4.5999999999999996</v>
      </c>
      <c r="S183" s="602">
        <v>-0.6</v>
      </c>
      <c r="T183" s="598"/>
      <c r="U183" s="595">
        <f t="shared" si="50"/>
        <v>2.5999999999999996</v>
      </c>
    </row>
    <row r="184" spans="1:24" ht="13" x14ac:dyDescent="0.25">
      <c r="A184" s="1020"/>
      <c r="B184" s="593">
        <v>4</v>
      </c>
      <c r="C184" s="601">
        <v>30</v>
      </c>
      <c r="D184" s="601">
        <v>0.6</v>
      </c>
      <c r="E184" s="601">
        <v>-0.2</v>
      </c>
      <c r="F184" s="598"/>
      <c r="G184" s="595">
        <f t="shared" si="48"/>
        <v>0.4</v>
      </c>
      <c r="I184" s="593">
        <v>4</v>
      </c>
      <c r="J184" s="601">
        <v>60</v>
      </c>
      <c r="K184" s="601">
        <v>-1.7</v>
      </c>
      <c r="L184" s="601">
        <v>0</v>
      </c>
      <c r="M184" s="598"/>
      <c r="N184" s="595">
        <f t="shared" si="49"/>
        <v>0.85</v>
      </c>
      <c r="P184" s="593">
        <v>4</v>
      </c>
      <c r="Q184" s="601">
        <v>990</v>
      </c>
      <c r="R184" s="602">
        <v>4.5999999999999996</v>
      </c>
      <c r="S184" s="602">
        <v>-0.6</v>
      </c>
      <c r="T184" s="598"/>
      <c r="U184" s="595">
        <f t="shared" si="50"/>
        <v>2.5999999999999996</v>
      </c>
    </row>
    <row r="185" spans="1:24" ht="13" x14ac:dyDescent="0.25">
      <c r="A185" s="1020"/>
      <c r="B185" s="593">
        <v>5</v>
      </c>
      <c r="C185" s="601">
        <v>35</v>
      </c>
      <c r="D185" s="601">
        <v>0.7</v>
      </c>
      <c r="E185" s="601">
        <v>-0.5</v>
      </c>
      <c r="F185" s="598"/>
      <c r="G185" s="595">
        <f t="shared" si="48"/>
        <v>0.6</v>
      </c>
      <c r="I185" s="593">
        <v>5</v>
      </c>
      <c r="J185" s="601">
        <v>70</v>
      </c>
      <c r="K185" s="601">
        <v>-1.8</v>
      </c>
      <c r="L185" s="601">
        <v>-0.3</v>
      </c>
      <c r="M185" s="598"/>
      <c r="N185" s="595">
        <f t="shared" si="49"/>
        <v>0.75</v>
      </c>
      <c r="P185" s="593">
        <v>5</v>
      </c>
      <c r="Q185" s="601">
        <v>1000</v>
      </c>
      <c r="R185" s="602">
        <v>4.5</v>
      </c>
      <c r="S185" s="602">
        <v>-0.6</v>
      </c>
      <c r="T185" s="598"/>
      <c r="U185" s="595">
        <f t="shared" si="50"/>
        <v>2.5499999999999998</v>
      </c>
    </row>
    <row r="186" spans="1:24" ht="13" x14ac:dyDescent="0.25">
      <c r="A186" s="1020"/>
      <c r="B186" s="593">
        <v>6</v>
      </c>
      <c r="C186" s="601">
        <v>37</v>
      </c>
      <c r="D186" s="601">
        <v>0.7</v>
      </c>
      <c r="E186" s="601">
        <v>-0.6</v>
      </c>
      <c r="F186" s="598"/>
      <c r="G186" s="595">
        <f t="shared" si="48"/>
        <v>0.64999999999999991</v>
      </c>
      <c r="I186" s="593">
        <v>6</v>
      </c>
      <c r="J186" s="601">
        <v>80</v>
      </c>
      <c r="K186" s="601">
        <v>-2.2000000000000002</v>
      </c>
      <c r="L186" s="601">
        <v>-0.8</v>
      </c>
      <c r="M186" s="598"/>
      <c r="N186" s="595">
        <f t="shared" si="49"/>
        <v>0.70000000000000007</v>
      </c>
      <c r="P186" s="593">
        <v>6</v>
      </c>
      <c r="Q186" s="601">
        <v>1005</v>
      </c>
      <c r="R186" s="602" t="s">
        <v>16</v>
      </c>
      <c r="S186" s="602">
        <v>-0.6</v>
      </c>
      <c r="T186" s="598"/>
      <c r="U186" s="595">
        <f t="shared" si="50"/>
        <v>0</v>
      </c>
    </row>
    <row r="187" spans="1:24" ht="13" x14ac:dyDescent="0.25">
      <c r="A187" s="1020"/>
      <c r="B187" s="593">
        <v>7</v>
      </c>
      <c r="C187" s="610">
        <v>40</v>
      </c>
      <c r="D187" s="601">
        <v>0.7</v>
      </c>
      <c r="E187" s="601">
        <v>-0.8</v>
      </c>
      <c r="F187" s="598"/>
      <c r="G187" s="595">
        <f t="shared" si="48"/>
        <v>0.75</v>
      </c>
      <c r="I187" s="593">
        <v>7</v>
      </c>
      <c r="J187" s="610">
        <v>90</v>
      </c>
      <c r="K187" s="601">
        <v>-2.9</v>
      </c>
      <c r="L187" s="601">
        <v>-1.4</v>
      </c>
      <c r="M187" s="598"/>
      <c r="N187" s="595">
        <f t="shared" si="49"/>
        <v>0.75</v>
      </c>
      <c r="P187" s="593">
        <v>7</v>
      </c>
      <c r="Q187" s="601">
        <v>1020</v>
      </c>
      <c r="R187" s="602">
        <v>4.5</v>
      </c>
      <c r="S187" s="602">
        <v>9.9999999999999995E-7</v>
      </c>
      <c r="T187" s="598"/>
      <c r="U187" s="595">
        <f t="shared" si="50"/>
        <v>2.2499994999999999</v>
      </c>
    </row>
    <row r="188" spans="1:24" ht="13" thickBot="1" x14ac:dyDescent="0.3">
      <c r="A188" s="612"/>
      <c r="C188" s="265"/>
      <c r="D188" s="428"/>
      <c r="E188" s="613"/>
      <c r="F188" s="265"/>
      <c r="J188" s="265"/>
      <c r="K188" s="428"/>
      <c r="L188" s="613"/>
      <c r="M188" s="265"/>
      <c r="Q188" s="428"/>
      <c r="R188" s="613"/>
      <c r="S188" s="613"/>
      <c r="T188" s="265"/>
    </row>
    <row r="189" spans="1:24" x14ac:dyDescent="0.25">
      <c r="A189" s="1020">
        <v>18</v>
      </c>
      <c r="B189" s="1021" t="s">
        <v>346</v>
      </c>
      <c r="C189" s="1021"/>
      <c r="D189" s="1021"/>
      <c r="E189" s="1021"/>
      <c r="F189" s="1021"/>
      <c r="G189" s="1021"/>
      <c r="I189" s="1021" t="str">
        <f>B189</f>
        <v>KOREKSI EXTECH A.100618</v>
      </c>
      <c r="J189" s="1021"/>
      <c r="K189" s="1021"/>
      <c r="L189" s="1021"/>
      <c r="M189" s="1021"/>
      <c r="N189" s="1021"/>
      <c r="P189" s="1021" t="str">
        <f>I189</f>
        <v>KOREKSI EXTECH A.100618</v>
      </c>
      <c r="Q189" s="1021"/>
      <c r="R189" s="1021"/>
      <c r="S189" s="1021"/>
      <c r="T189" s="1021"/>
      <c r="U189" s="1021"/>
      <c r="W189" s="1015" t="s">
        <v>251</v>
      </c>
      <c r="X189" s="1016"/>
    </row>
    <row r="190" spans="1:24" ht="13" x14ac:dyDescent="0.25">
      <c r="A190" s="1020"/>
      <c r="B190" s="1017" t="s">
        <v>325</v>
      </c>
      <c r="C190" s="1017"/>
      <c r="D190" s="1017" t="s">
        <v>244</v>
      </c>
      <c r="E190" s="1017"/>
      <c r="F190" s="1017"/>
      <c r="G190" s="1017" t="s">
        <v>239</v>
      </c>
      <c r="I190" s="1017" t="s">
        <v>326</v>
      </c>
      <c r="J190" s="1017"/>
      <c r="K190" s="1017" t="s">
        <v>244</v>
      </c>
      <c r="L190" s="1017"/>
      <c r="M190" s="1017"/>
      <c r="N190" s="1017" t="s">
        <v>239</v>
      </c>
      <c r="P190" s="1017" t="s">
        <v>327</v>
      </c>
      <c r="Q190" s="1017"/>
      <c r="R190" s="1017" t="s">
        <v>244</v>
      </c>
      <c r="S190" s="1017"/>
      <c r="T190" s="1017"/>
      <c r="U190" s="1017" t="s">
        <v>239</v>
      </c>
      <c r="W190" s="590" t="s">
        <v>325</v>
      </c>
      <c r="X190" s="591">
        <v>0.6</v>
      </c>
    </row>
    <row r="191" spans="1:24" ht="14.5" x14ac:dyDescent="0.25">
      <c r="A191" s="1020"/>
      <c r="B191" s="1018" t="s">
        <v>328</v>
      </c>
      <c r="C191" s="1018"/>
      <c r="D191" s="592">
        <v>2023</v>
      </c>
      <c r="E191" s="592">
        <v>2020</v>
      </c>
      <c r="F191" s="592">
        <v>2016</v>
      </c>
      <c r="G191" s="1017"/>
      <c r="I191" s="1019" t="s">
        <v>41</v>
      </c>
      <c r="J191" s="1018"/>
      <c r="K191" s="609">
        <f>D191</f>
        <v>2023</v>
      </c>
      <c r="L191" s="609">
        <f>E191</f>
        <v>2020</v>
      </c>
      <c r="M191" s="592">
        <v>2016</v>
      </c>
      <c r="N191" s="1017"/>
      <c r="P191" s="1019" t="s">
        <v>329</v>
      </c>
      <c r="Q191" s="1018"/>
      <c r="R191" s="609">
        <f>K191</f>
        <v>2023</v>
      </c>
      <c r="S191" s="609">
        <f>L191</f>
        <v>2020</v>
      </c>
      <c r="T191" s="592">
        <v>2016</v>
      </c>
      <c r="U191" s="1017"/>
      <c r="W191" s="590" t="s">
        <v>41</v>
      </c>
      <c r="X191" s="591">
        <v>2.2999999999999998</v>
      </c>
    </row>
    <row r="192" spans="1:24" ht="13.5" thickBot="1" x14ac:dyDescent="0.3">
      <c r="A192" s="1020"/>
      <c r="B192" s="593">
        <v>1</v>
      </c>
      <c r="C192" s="588">
        <v>15</v>
      </c>
      <c r="D192" s="594">
        <v>0.3</v>
      </c>
      <c r="E192" s="594">
        <v>9.9999999999999995E-7</v>
      </c>
      <c r="F192" s="598"/>
      <c r="G192" s="595">
        <f>0.5*(MAX(D192:F192)-MIN(D192:F192))</f>
        <v>0.14999950000000001</v>
      </c>
      <c r="I192" s="593">
        <v>1</v>
      </c>
      <c r="J192" s="588">
        <v>35</v>
      </c>
      <c r="K192" s="588">
        <v>-3.2</v>
      </c>
      <c r="L192" s="588">
        <v>-0.4</v>
      </c>
      <c r="M192" s="598"/>
      <c r="N192" s="595">
        <f>0.5*(MAX(K192:M192)-MIN(K192:M192))</f>
        <v>1.4000000000000001</v>
      </c>
      <c r="P192" s="593">
        <v>1</v>
      </c>
      <c r="Q192" s="588">
        <v>960</v>
      </c>
      <c r="R192" s="597">
        <v>4.5999999999999996</v>
      </c>
      <c r="S192" s="597" t="s">
        <v>16</v>
      </c>
      <c r="T192" s="598"/>
      <c r="U192" s="595">
        <f>0.5*(MAX(R192:T192)-MIN(R192:T192))</f>
        <v>0</v>
      </c>
      <c r="W192" s="599" t="s">
        <v>329</v>
      </c>
      <c r="X192" s="600">
        <v>2.1</v>
      </c>
    </row>
    <row r="193" spans="1:24" ht="13" x14ac:dyDescent="0.25">
      <c r="A193" s="1020"/>
      <c r="B193" s="593">
        <v>2</v>
      </c>
      <c r="C193" s="588">
        <v>20</v>
      </c>
      <c r="D193" s="588">
        <v>0.2</v>
      </c>
      <c r="E193" s="588">
        <v>-0.1</v>
      </c>
      <c r="F193" s="598"/>
      <c r="G193" s="595">
        <f t="shared" ref="G193:G197" si="51">0.5*(MAX(D193:F193)-MIN(D193:F193))</f>
        <v>0.15000000000000002</v>
      </c>
      <c r="I193" s="593">
        <v>2</v>
      </c>
      <c r="J193" s="588">
        <v>40</v>
      </c>
      <c r="K193" s="588">
        <v>-2.9</v>
      </c>
      <c r="L193" s="588">
        <v>-0.2</v>
      </c>
      <c r="M193" s="598"/>
      <c r="N193" s="595">
        <f t="shared" ref="N193:N198" si="52">0.5*(MAX(K193:M193)-MIN(K193:M193))</f>
        <v>1.3499999999999999</v>
      </c>
      <c r="P193" s="593">
        <v>2</v>
      </c>
      <c r="Q193" s="588">
        <v>970</v>
      </c>
      <c r="R193" s="597">
        <v>4.5</v>
      </c>
      <c r="S193" s="597" t="s">
        <v>16</v>
      </c>
      <c r="T193" s="598"/>
      <c r="U193" s="595">
        <f t="shared" ref="U193:U198" si="53">0.5*(MAX(R193:T193)-MIN(R193:T193))</f>
        <v>0</v>
      </c>
    </row>
    <row r="194" spans="1:24" ht="13" x14ac:dyDescent="0.25">
      <c r="A194" s="1020"/>
      <c r="B194" s="593">
        <v>3</v>
      </c>
      <c r="C194" s="588">
        <v>25</v>
      </c>
      <c r="D194" s="588">
        <v>0.2</v>
      </c>
      <c r="E194" s="588">
        <v>-0.2</v>
      </c>
      <c r="F194" s="598"/>
      <c r="G194" s="595">
        <f t="shared" si="51"/>
        <v>0.2</v>
      </c>
      <c r="I194" s="593">
        <v>3</v>
      </c>
      <c r="J194" s="588">
        <v>50</v>
      </c>
      <c r="K194" s="588">
        <v>-2.4</v>
      </c>
      <c r="L194" s="588">
        <v>-0.2</v>
      </c>
      <c r="M194" s="598"/>
      <c r="N194" s="595">
        <f t="shared" si="52"/>
        <v>1.0999999999999999</v>
      </c>
      <c r="P194" s="593">
        <v>3</v>
      </c>
      <c r="Q194" s="601">
        <v>980</v>
      </c>
      <c r="R194" s="602">
        <v>4.5</v>
      </c>
      <c r="S194" s="602" t="s">
        <v>16</v>
      </c>
      <c r="T194" s="598"/>
      <c r="U194" s="595">
        <f t="shared" si="53"/>
        <v>0</v>
      </c>
    </row>
    <row r="195" spans="1:24" ht="13" x14ac:dyDescent="0.25">
      <c r="A195" s="1020"/>
      <c r="B195" s="593">
        <v>4</v>
      </c>
      <c r="C195" s="601">
        <v>30</v>
      </c>
      <c r="D195" s="601">
        <v>0.3</v>
      </c>
      <c r="E195" s="601">
        <v>-0.2</v>
      </c>
      <c r="F195" s="598"/>
      <c r="G195" s="595">
        <f t="shared" si="51"/>
        <v>0.25</v>
      </c>
      <c r="I195" s="593">
        <v>4</v>
      </c>
      <c r="J195" s="601">
        <v>60</v>
      </c>
      <c r="K195" s="601">
        <v>-2.1</v>
      </c>
      <c r="L195" s="601">
        <v>-0.2</v>
      </c>
      <c r="M195" s="598"/>
      <c r="N195" s="595">
        <f t="shared" si="52"/>
        <v>0.95000000000000007</v>
      </c>
      <c r="P195" s="593">
        <v>4</v>
      </c>
      <c r="Q195" s="601">
        <v>990</v>
      </c>
      <c r="R195" s="602">
        <v>4.5</v>
      </c>
      <c r="S195" s="602" t="s">
        <v>16</v>
      </c>
      <c r="T195" s="598"/>
      <c r="U195" s="595">
        <f t="shared" si="53"/>
        <v>0</v>
      </c>
    </row>
    <row r="196" spans="1:24" ht="13" x14ac:dyDescent="0.25">
      <c r="A196" s="1020"/>
      <c r="B196" s="593">
        <v>5</v>
      </c>
      <c r="C196" s="601">
        <v>35</v>
      </c>
      <c r="D196" s="601">
        <v>0.4</v>
      </c>
      <c r="E196" s="601">
        <v>-0.3</v>
      </c>
      <c r="F196" s="598"/>
      <c r="G196" s="595">
        <f t="shared" si="51"/>
        <v>0.35</v>
      </c>
      <c r="I196" s="593">
        <v>5</v>
      </c>
      <c r="J196" s="601">
        <v>70</v>
      </c>
      <c r="K196" s="601">
        <v>-2.2000000000000002</v>
      </c>
      <c r="L196" s="601">
        <v>-0.3</v>
      </c>
      <c r="M196" s="598"/>
      <c r="N196" s="595">
        <f t="shared" si="52"/>
        <v>0.95000000000000007</v>
      </c>
      <c r="P196" s="593">
        <v>5</v>
      </c>
      <c r="Q196" s="601">
        <v>1000</v>
      </c>
      <c r="R196" s="602">
        <v>4.4000000000000004</v>
      </c>
      <c r="S196" s="602">
        <v>-0.8</v>
      </c>
      <c r="T196" s="598"/>
      <c r="U196" s="595">
        <f t="shared" si="53"/>
        <v>2.6</v>
      </c>
    </row>
    <row r="197" spans="1:24" ht="13" x14ac:dyDescent="0.25">
      <c r="A197" s="1020"/>
      <c r="B197" s="593">
        <v>6</v>
      </c>
      <c r="C197" s="601">
        <v>37</v>
      </c>
      <c r="D197" s="601">
        <v>0.4</v>
      </c>
      <c r="E197" s="601">
        <v>-0.3</v>
      </c>
      <c r="F197" s="598"/>
      <c r="G197" s="595">
        <f t="shared" si="51"/>
        <v>0.35</v>
      </c>
      <c r="I197" s="593">
        <v>6</v>
      </c>
      <c r="J197" s="601">
        <v>80</v>
      </c>
      <c r="K197" s="601">
        <v>-2.4</v>
      </c>
      <c r="L197" s="601">
        <v>-0.5</v>
      </c>
      <c r="M197" s="598"/>
      <c r="N197" s="595">
        <f t="shared" si="52"/>
        <v>0.95</v>
      </c>
      <c r="P197" s="593">
        <v>6</v>
      </c>
      <c r="Q197" s="601">
        <v>1005</v>
      </c>
      <c r="R197" s="602" t="s">
        <v>16</v>
      </c>
      <c r="S197" s="602">
        <v>-0.7</v>
      </c>
      <c r="T197" s="598"/>
      <c r="U197" s="595">
        <f>0.5*(MAX(R197:T197)-MIN(R197:T197))</f>
        <v>0</v>
      </c>
    </row>
    <row r="198" spans="1:24" ht="13" x14ac:dyDescent="0.25">
      <c r="A198" s="1020"/>
      <c r="B198" s="593">
        <v>7</v>
      </c>
      <c r="C198" s="610">
        <v>40</v>
      </c>
      <c r="D198" s="601">
        <v>0.5</v>
      </c>
      <c r="E198" s="601">
        <v>-0.4</v>
      </c>
      <c r="F198" s="598"/>
      <c r="G198" s="595">
        <f>0.5*(MAX(D198:F198)-MIN(D198:F198))</f>
        <v>0.45</v>
      </c>
      <c r="I198" s="593">
        <v>7</v>
      </c>
      <c r="J198" s="610">
        <v>90</v>
      </c>
      <c r="K198" s="601">
        <v>-3</v>
      </c>
      <c r="L198" s="601">
        <v>-0.8</v>
      </c>
      <c r="M198" s="598"/>
      <c r="N198" s="595">
        <f t="shared" si="52"/>
        <v>1.1000000000000001</v>
      </c>
      <c r="P198" s="593">
        <v>7</v>
      </c>
      <c r="Q198" s="601">
        <v>1010</v>
      </c>
      <c r="R198" s="602">
        <v>4.4000000000000004</v>
      </c>
      <c r="S198" s="602">
        <v>9.9999999999999995E-7</v>
      </c>
      <c r="T198" s="598"/>
      <c r="U198" s="595">
        <f t="shared" si="53"/>
        <v>2.1999995000000001</v>
      </c>
    </row>
    <row r="199" spans="1:24" ht="13" thickBot="1" x14ac:dyDescent="0.3">
      <c r="A199" s="612"/>
      <c r="C199" s="265"/>
      <c r="D199" s="428"/>
      <c r="E199" s="613"/>
      <c r="F199" s="265"/>
      <c r="I199" s="265"/>
      <c r="J199" s="428"/>
      <c r="K199" s="613"/>
      <c r="L199" s="265"/>
      <c r="O199" s="428"/>
      <c r="P199" s="613"/>
      <c r="Q199" s="613"/>
      <c r="R199" s="265"/>
    </row>
    <row r="200" spans="1:24" x14ac:dyDescent="0.25">
      <c r="A200" s="1020">
        <v>19</v>
      </c>
      <c r="B200" s="1021" t="s">
        <v>347</v>
      </c>
      <c r="C200" s="1021"/>
      <c r="D200" s="1021"/>
      <c r="E200" s="1021"/>
      <c r="F200" s="1021"/>
      <c r="G200" s="1021"/>
      <c r="I200" s="1021" t="str">
        <f>B200</f>
        <v>KOREKSI EXTECH A.100615</v>
      </c>
      <c r="J200" s="1021"/>
      <c r="K200" s="1021"/>
      <c r="L200" s="1021"/>
      <c r="M200" s="1021"/>
      <c r="N200" s="1021"/>
      <c r="P200" s="1021" t="str">
        <f>I200</f>
        <v>KOREKSI EXTECH A.100615</v>
      </c>
      <c r="Q200" s="1021"/>
      <c r="R200" s="1021"/>
      <c r="S200" s="1021"/>
      <c r="T200" s="1021"/>
      <c r="U200" s="1021"/>
      <c r="W200" s="1015" t="s">
        <v>251</v>
      </c>
      <c r="X200" s="1016"/>
    </row>
    <row r="201" spans="1:24" ht="13" x14ac:dyDescent="0.25">
      <c r="A201" s="1020"/>
      <c r="B201" s="1017" t="s">
        <v>325</v>
      </c>
      <c r="C201" s="1017"/>
      <c r="D201" s="1017" t="s">
        <v>244</v>
      </c>
      <c r="E201" s="1017"/>
      <c r="F201" s="1017"/>
      <c r="G201" s="1017" t="s">
        <v>239</v>
      </c>
      <c r="I201" s="1017" t="s">
        <v>326</v>
      </c>
      <c r="J201" s="1017"/>
      <c r="K201" s="1017" t="s">
        <v>244</v>
      </c>
      <c r="L201" s="1017"/>
      <c r="M201" s="1017"/>
      <c r="N201" s="1017" t="s">
        <v>239</v>
      </c>
      <c r="P201" s="1017" t="s">
        <v>327</v>
      </c>
      <c r="Q201" s="1017"/>
      <c r="R201" s="1017" t="s">
        <v>244</v>
      </c>
      <c r="S201" s="1017"/>
      <c r="T201" s="1017"/>
      <c r="U201" s="1017" t="s">
        <v>239</v>
      </c>
      <c r="W201" s="590" t="s">
        <v>325</v>
      </c>
      <c r="X201" s="591">
        <v>0.1</v>
      </c>
    </row>
    <row r="202" spans="1:24" ht="14.5" x14ac:dyDescent="0.25">
      <c r="A202" s="1020"/>
      <c r="B202" s="1018" t="s">
        <v>328</v>
      </c>
      <c r="C202" s="1018"/>
      <c r="D202" s="592">
        <v>2021</v>
      </c>
      <c r="E202" s="608" t="s">
        <v>16</v>
      </c>
      <c r="F202" s="592">
        <v>2016</v>
      </c>
      <c r="G202" s="1017"/>
      <c r="I202" s="1019" t="s">
        <v>41</v>
      </c>
      <c r="J202" s="1018"/>
      <c r="K202" s="609">
        <f>D202</f>
        <v>2021</v>
      </c>
      <c r="L202" s="609" t="str">
        <f>E202</f>
        <v>-</v>
      </c>
      <c r="M202" s="592">
        <v>2016</v>
      </c>
      <c r="N202" s="1017"/>
      <c r="P202" s="1019" t="s">
        <v>329</v>
      </c>
      <c r="Q202" s="1018"/>
      <c r="R202" s="609">
        <f>K202</f>
        <v>2021</v>
      </c>
      <c r="S202" s="609" t="str">
        <f>L202</f>
        <v>-</v>
      </c>
      <c r="T202" s="592">
        <v>2016</v>
      </c>
      <c r="U202" s="1017"/>
      <c r="W202" s="590" t="s">
        <v>41</v>
      </c>
      <c r="X202" s="591">
        <v>1.5</v>
      </c>
    </row>
    <row r="203" spans="1:24" ht="13.5" thickBot="1" x14ac:dyDescent="0.3">
      <c r="A203" s="1020"/>
      <c r="B203" s="593">
        <v>1</v>
      </c>
      <c r="C203" s="588">
        <v>15</v>
      </c>
      <c r="D203" s="594">
        <v>9.9999999999999995E-7</v>
      </c>
      <c r="E203" s="594" t="s">
        <v>16</v>
      </c>
      <c r="F203" s="598"/>
      <c r="G203" s="595">
        <f>0.5*(MAX(D203:F203)-MIN(D203:F203))</f>
        <v>0</v>
      </c>
      <c r="I203" s="593">
        <v>1</v>
      </c>
      <c r="J203" s="588">
        <v>30</v>
      </c>
      <c r="K203" s="588">
        <v>-1.5</v>
      </c>
      <c r="L203" s="594" t="s">
        <v>16</v>
      </c>
      <c r="M203" s="598"/>
      <c r="N203" s="595">
        <f>0.5*(MAX(K203:M203)-MIN(K203:M203))</f>
        <v>0</v>
      </c>
      <c r="P203" s="593">
        <v>1</v>
      </c>
      <c r="Q203" s="588">
        <v>750</v>
      </c>
      <c r="R203" s="597">
        <v>2.5</v>
      </c>
      <c r="S203" s="594" t="s">
        <v>16</v>
      </c>
      <c r="T203" s="598"/>
      <c r="U203" s="595">
        <f>0.5*(MAX(R203:T203)-MIN(R203:T203))</f>
        <v>0</v>
      </c>
      <c r="W203" s="599" t="s">
        <v>329</v>
      </c>
      <c r="X203" s="600">
        <v>0.4</v>
      </c>
    </row>
    <row r="204" spans="1:24" ht="13" x14ac:dyDescent="0.25">
      <c r="A204" s="1020"/>
      <c r="B204" s="593">
        <v>2</v>
      </c>
      <c r="C204" s="588">
        <v>20</v>
      </c>
      <c r="D204" s="588">
        <v>0.1</v>
      </c>
      <c r="E204" s="594" t="s">
        <v>16</v>
      </c>
      <c r="F204" s="598"/>
      <c r="G204" s="595">
        <f t="shared" ref="G204:G209" si="54">0.5*(MAX(D204:F204)-MIN(D204:F204))</f>
        <v>0</v>
      </c>
      <c r="I204" s="593">
        <v>2</v>
      </c>
      <c r="J204" s="588">
        <v>40</v>
      </c>
      <c r="K204" s="588">
        <v>-0.8</v>
      </c>
      <c r="L204" s="594" t="s">
        <v>16</v>
      </c>
      <c r="M204" s="598"/>
      <c r="N204" s="595">
        <f t="shared" ref="N204:N209" si="55">0.5*(MAX(K204:M204)-MIN(K204:M204))</f>
        <v>0</v>
      </c>
      <c r="P204" s="593">
        <v>2</v>
      </c>
      <c r="Q204" s="588">
        <v>800</v>
      </c>
      <c r="R204" s="597">
        <v>2.5</v>
      </c>
      <c r="S204" s="594" t="s">
        <v>16</v>
      </c>
      <c r="T204" s="598"/>
      <c r="U204" s="595">
        <f t="shared" ref="U204:U209" si="56">0.5*(MAX(R204:T204)-MIN(R204:T204))</f>
        <v>0</v>
      </c>
    </row>
    <row r="205" spans="1:24" ht="13" x14ac:dyDescent="0.25">
      <c r="A205" s="1020"/>
      <c r="B205" s="593">
        <v>3</v>
      </c>
      <c r="C205" s="588">
        <v>25</v>
      </c>
      <c r="D205" s="594">
        <v>9.9999999999999995E-7</v>
      </c>
      <c r="E205" s="594" t="s">
        <v>16</v>
      </c>
      <c r="F205" s="598"/>
      <c r="G205" s="595">
        <f t="shared" si="54"/>
        <v>0</v>
      </c>
      <c r="I205" s="593">
        <v>3</v>
      </c>
      <c r="J205" s="588">
        <v>50</v>
      </c>
      <c r="K205" s="588">
        <v>-0.2</v>
      </c>
      <c r="L205" s="594" t="s">
        <v>16</v>
      </c>
      <c r="M205" s="598"/>
      <c r="N205" s="595">
        <f t="shared" si="55"/>
        <v>0</v>
      </c>
      <c r="P205" s="593">
        <v>3</v>
      </c>
      <c r="Q205" s="588">
        <v>850</v>
      </c>
      <c r="R205" s="597">
        <v>2.4</v>
      </c>
      <c r="S205" s="594" t="s">
        <v>16</v>
      </c>
      <c r="T205" s="598"/>
      <c r="U205" s="595">
        <f t="shared" si="56"/>
        <v>0</v>
      </c>
    </row>
    <row r="206" spans="1:24" ht="13" x14ac:dyDescent="0.25">
      <c r="A206" s="1020"/>
      <c r="B206" s="593">
        <v>4</v>
      </c>
      <c r="C206" s="601">
        <v>30</v>
      </c>
      <c r="D206" s="601">
        <v>-0.1</v>
      </c>
      <c r="E206" s="602" t="s">
        <v>16</v>
      </c>
      <c r="F206" s="598"/>
      <c r="G206" s="595">
        <f t="shared" si="54"/>
        <v>0</v>
      </c>
      <c r="I206" s="593">
        <v>4</v>
      </c>
      <c r="J206" s="601">
        <v>60</v>
      </c>
      <c r="K206" s="601">
        <v>0.4</v>
      </c>
      <c r="L206" s="602" t="s">
        <v>16</v>
      </c>
      <c r="M206" s="598"/>
      <c r="N206" s="595">
        <f t="shared" si="55"/>
        <v>0</v>
      </c>
      <c r="P206" s="593">
        <v>4</v>
      </c>
      <c r="Q206" s="601">
        <v>900</v>
      </c>
      <c r="R206" s="602">
        <v>2.2999999999999998</v>
      </c>
      <c r="S206" s="602" t="s">
        <v>16</v>
      </c>
      <c r="T206" s="598"/>
      <c r="U206" s="595">
        <f t="shared" si="56"/>
        <v>0</v>
      </c>
    </row>
    <row r="207" spans="1:24" ht="13" x14ac:dyDescent="0.25">
      <c r="A207" s="1020"/>
      <c r="B207" s="593">
        <v>5</v>
      </c>
      <c r="C207" s="601">
        <v>35</v>
      </c>
      <c r="D207" s="601">
        <v>-0.1</v>
      </c>
      <c r="E207" s="602" t="s">
        <v>16</v>
      </c>
      <c r="F207" s="598"/>
      <c r="G207" s="595">
        <f t="shared" si="54"/>
        <v>0</v>
      </c>
      <c r="I207" s="593">
        <v>5</v>
      </c>
      <c r="J207" s="601">
        <v>70</v>
      </c>
      <c r="K207" s="601">
        <v>-0.7</v>
      </c>
      <c r="L207" s="602" t="s">
        <v>16</v>
      </c>
      <c r="M207" s="598"/>
      <c r="N207" s="595">
        <f t="shared" si="55"/>
        <v>0</v>
      </c>
      <c r="P207" s="593">
        <v>5</v>
      </c>
      <c r="Q207" s="601">
        <v>1000</v>
      </c>
      <c r="R207" s="602">
        <v>2.2000000000000002</v>
      </c>
      <c r="S207" s="602" t="s">
        <v>16</v>
      </c>
      <c r="T207" s="598"/>
      <c r="U207" s="595">
        <f t="shared" si="56"/>
        <v>0</v>
      </c>
    </row>
    <row r="208" spans="1:24" ht="13" x14ac:dyDescent="0.25">
      <c r="A208" s="1020"/>
      <c r="B208" s="593">
        <v>6</v>
      </c>
      <c r="C208" s="601">
        <v>37</v>
      </c>
      <c r="D208" s="594">
        <v>9.9999999999999995E-7</v>
      </c>
      <c r="E208" s="602" t="s">
        <v>16</v>
      </c>
      <c r="F208" s="598"/>
      <c r="G208" s="595">
        <f t="shared" si="54"/>
        <v>0</v>
      </c>
      <c r="I208" s="593">
        <v>6</v>
      </c>
      <c r="J208" s="601">
        <v>80</v>
      </c>
      <c r="K208" s="601">
        <v>-0.9</v>
      </c>
      <c r="L208" s="602" t="s">
        <v>16</v>
      </c>
      <c r="M208" s="598"/>
      <c r="N208" s="595">
        <f t="shared" si="55"/>
        <v>0</v>
      </c>
      <c r="P208" s="593">
        <v>6</v>
      </c>
      <c r="Q208" s="601">
        <v>1005</v>
      </c>
      <c r="R208" s="602">
        <v>2.2000000000000002</v>
      </c>
      <c r="S208" s="602" t="s">
        <v>16</v>
      </c>
      <c r="T208" s="598"/>
      <c r="U208" s="595">
        <f t="shared" si="56"/>
        <v>0</v>
      </c>
    </row>
    <row r="209" spans="1:31" ht="13" x14ac:dyDescent="0.25">
      <c r="A209" s="1020"/>
      <c r="B209" s="593">
        <v>7</v>
      </c>
      <c r="C209" s="610">
        <v>40</v>
      </c>
      <c r="D209" s="601">
        <v>0.2</v>
      </c>
      <c r="E209" s="602" t="s">
        <v>16</v>
      </c>
      <c r="F209" s="598"/>
      <c r="G209" s="595">
        <f t="shared" si="54"/>
        <v>0</v>
      </c>
      <c r="I209" s="593">
        <v>7</v>
      </c>
      <c r="J209" s="610">
        <v>90</v>
      </c>
      <c r="K209" s="601">
        <v>-0.6</v>
      </c>
      <c r="L209" s="602" t="s">
        <v>16</v>
      </c>
      <c r="M209" s="598"/>
      <c r="N209" s="595">
        <f t="shared" si="55"/>
        <v>0</v>
      </c>
      <c r="P209" s="593">
        <v>7</v>
      </c>
      <c r="Q209" s="601">
        <v>1020</v>
      </c>
      <c r="R209" s="602">
        <v>2.2999999999999998</v>
      </c>
      <c r="S209" s="602" t="s">
        <v>16</v>
      </c>
      <c r="T209" s="598"/>
      <c r="U209" s="595">
        <f t="shared" si="56"/>
        <v>0</v>
      </c>
    </row>
    <row r="210" spans="1:31" ht="13" thickBot="1" x14ac:dyDescent="0.3">
      <c r="A210" s="612"/>
      <c r="C210" s="265"/>
      <c r="D210" s="428"/>
      <c r="E210" s="613"/>
      <c r="F210" s="265"/>
      <c r="J210" s="265"/>
      <c r="K210" s="428"/>
      <c r="L210" s="613"/>
      <c r="M210" s="265"/>
      <c r="Q210" s="428"/>
      <c r="R210" s="613"/>
      <c r="S210" s="613"/>
      <c r="T210" s="265"/>
    </row>
    <row r="211" spans="1:31" x14ac:dyDescent="0.25">
      <c r="A211" s="1020">
        <v>20</v>
      </c>
      <c r="B211" s="1021">
        <v>20</v>
      </c>
      <c r="C211" s="1021"/>
      <c r="D211" s="1021"/>
      <c r="E211" s="1021"/>
      <c r="F211" s="1021"/>
      <c r="G211" s="1021"/>
      <c r="I211" s="1021">
        <f>B211</f>
        <v>20</v>
      </c>
      <c r="J211" s="1021"/>
      <c r="K211" s="1021"/>
      <c r="L211" s="1021"/>
      <c r="M211" s="1021"/>
      <c r="N211" s="1021"/>
      <c r="P211" s="1021">
        <f>I211</f>
        <v>20</v>
      </c>
      <c r="Q211" s="1021"/>
      <c r="R211" s="1021"/>
      <c r="S211" s="1021"/>
      <c r="T211" s="1021"/>
      <c r="U211" s="1021"/>
      <c r="W211" s="1015" t="s">
        <v>251</v>
      </c>
      <c r="X211" s="1016"/>
    </row>
    <row r="212" spans="1:31" ht="13" x14ac:dyDescent="0.25">
      <c r="A212" s="1020"/>
      <c r="B212" s="1017" t="s">
        <v>325</v>
      </c>
      <c r="C212" s="1017"/>
      <c r="D212" s="1017" t="s">
        <v>244</v>
      </c>
      <c r="E212" s="1017"/>
      <c r="F212" s="1017"/>
      <c r="G212" s="1017" t="s">
        <v>239</v>
      </c>
      <c r="I212" s="1017" t="s">
        <v>326</v>
      </c>
      <c r="J212" s="1017"/>
      <c r="K212" s="1017" t="s">
        <v>244</v>
      </c>
      <c r="L212" s="1017"/>
      <c r="M212" s="1017"/>
      <c r="N212" s="1017" t="s">
        <v>239</v>
      </c>
      <c r="P212" s="1017" t="s">
        <v>327</v>
      </c>
      <c r="Q212" s="1017"/>
      <c r="R212" s="1017" t="s">
        <v>244</v>
      </c>
      <c r="S212" s="1017"/>
      <c r="T212" s="1017"/>
      <c r="U212" s="1017" t="s">
        <v>239</v>
      </c>
      <c r="W212" s="590" t="s">
        <v>325</v>
      </c>
      <c r="X212" s="591">
        <v>0</v>
      </c>
    </row>
    <row r="213" spans="1:31" ht="14.5" x14ac:dyDescent="0.25">
      <c r="A213" s="1020"/>
      <c r="B213" s="1018" t="s">
        <v>328</v>
      </c>
      <c r="C213" s="1018"/>
      <c r="D213" s="592">
        <v>2017</v>
      </c>
      <c r="E213" s="608" t="s">
        <v>16</v>
      </c>
      <c r="F213" s="592">
        <v>2016</v>
      </c>
      <c r="G213" s="1017"/>
      <c r="I213" s="1019" t="s">
        <v>41</v>
      </c>
      <c r="J213" s="1018"/>
      <c r="K213" s="609">
        <f>D213</f>
        <v>2017</v>
      </c>
      <c r="L213" s="609" t="str">
        <f>E213</f>
        <v>-</v>
      </c>
      <c r="M213" s="592">
        <v>2016</v>
      </c>
      <c r="N213" s="1017"/>
      <c r="P213" s="1019" t="s">
        <v>329</v>
      </c>
      <c r="Q213" s="1018"/>
      <c r="R213" s="609">
        <f>K213</f>
        <v>2017</v>
      </c>
      <c r="S213" s="609" t="str">
        <f>L213</f>
        <v>-</v>
      </c>
      <c r="T213" s="592">
        <v>2016</v>
      </c>
      <c r="U213" s="1017"/>
      <c r="W213" s="590" t="s">
        <v>41</v>
      </c>
      <c r="X213" s="591">
        <v>0</v>
      </c>
    </row>
    <row r="214" spans="1:31" ht="13.5" thickBot="1" x14ac:dyDescent="0.3">
      <c r="A214" s="1020"/>
      <c r="B214" s="593">
        <v>1</v>
      </c>
      <c r="C214" s="588">
        <v>14.8</v>
      </c>
      <c r="D214" s="594">
        <v>9.9999999999999995E-7</v>
      </c>
      <c r="E214" s="594" t="s">
        <v>16</v>
      </c>
      <c r="F214" s="594">
        <v>9.9999999999999995E-7</v>
      </c>
      <c r="G214" s="595">
        <f>0.5*(MAX(D214:F214)-MIN(D214:F214))</f>
        <v>0</v>
      </c>
      <c r="I214" s="593">
        <v>1</v>
      </c>
      <c r="J214" s="588">
        <v>45.7</v>
      </c>
      <c r="K214" s="594">
        <v>9.9999999999999995E-7</v>
      </c>
      <c r="L214" s="594" t="s">
        <v>16</v>
      </c>
      <c r="M214" s="598"/>
      <c r="N214" s="595">
        <f>0.5*(MAX(K214:M214)-MIN(K214:M214))</f>
        <v>0</v>
      </c>
      <c r="P214" s="593">
        <v>1</v>
      </c>
      <c r="Q214" s="588">
        <v>750</v>
      </c>
      <c r="R214" s="597" t="s">
        <v>16</v>
      </c>
      <c r="S214" s="594" t="s">
        <v>16</v>
      </c>
      <c r="T214" s="598"/>
      <c r="U214" s="595">
        <f>0.5*(MAX(R214:T214)-MIN(R214:T214))</f>
        <v>0</v>
      </c>
      <c r="W214" s="599" t="s">
        <v>329</v>
      </c>
      <c r="X214" s="600">
        <v>0</v>
      </c>
    </row>
    <row r="215" spans="1:31" ht="13" x14ac:dyDescent="0.25">
      <c r="A215" s="1020"/>
      <c r="B215" s="593">
        <v>2</v>
      </c>
      <c r="C215" s="588">
        <v>19.7</v>
      </c>
      <c r="D215" s="594">
        <v>9.9999999999999995E-7</v>
      </c>
      <c r="E215" s="594" t="s">
        <v>16</v>
      </c>
      <c r="F215" s="594">
        <v>9.9999999999999995E-7</v>
      </c>
      <c r="G215" s="595">
        <f t="shared" ref="G215:G220" si="57">0.5*(MAX(D215:F215)-MIN(D215:F215))</f>
        <v>0</v>
      </c>
      <c r="I215" s="593">
        <v>2</v>
      </c>
      <c r="J215" s="588">
        <v>54.3</v>
      </c>
      <c r="K215" s="594">
        <v>9.9999999999999995E-7</v>
      </c>
      <c r="L215" s="594" t="s">
        <v>16</v>
      </c>
      <c r="M215" s="598"/>
      <c r="N215" s="595">
        <f t="shared" ref="N215:N220" si="58">0.5*(MAX(K215:M215)-MIN(K215:M215))</f>
        <v>0</v>
      </c>
      <c r="P215" s="593">
        <v>2</v>
      </c>
      <c r="Q215" s="588">
        <v>800</v>
      </c>
      <c r="R215" s="597" t="s">
        <v>16</v>
      </c>
      <c r="S215" s="594" t="s">
        <v>16</v>
      </c>
      <c r="T215" s="598"/>
      <c r="U215" s="595">
        <f t="shared" ref="U215:U220" si="59">0.5*(MAX(R215:T215)-MIN(R215:T215))</f>
        <v>0</v>
      </c>
    </row>
    <row r="216" spans="1:31" ht="13" x14ac:dyDescent="0.25">
      <c r="A216" s="1020"/>
      <c r="B216" s="593">
        <v>3</v>
      </c>
      <c r="C216" s="588">
        <v>24.6</v>
      </c>
      <c r="D216" s="594">
        <v>9.9999999999999995E-7</v>
      </c>
      <c r="E216" s="594" t="s">
        <v>16</v>
      </c>
      <c r="F216" s="594">
        <v>9.9999999999999995E-7</v>
      </c>
      <c r="G216" s="595">
        <f t="shared" si="57"/>
        <v>0</v>
      </c>
      <c r="I216" s="593">
        <v>3</v>
      </c>
      <c r="J216" s="588">
        <v>62.5</v>
      </c>
      <c r="K216" s="594">
        <v>9.9999999999999995E-7</v>
      </c>
      <c r="L216" s="594" t="s">
        <v>16</v>
      </c>
      <c r="M216" s="598"/>
      <c r="N216" s="595">
        <f t="shared" si="58"/>
        <v>0</v>
      </c>
      <c r="P216" s="593">
        <v>3</v>
      </c>
      <c r="Q216" s="588">
        <v>850</v>
      </c>
      <c r="R216" s="597" t="s">
        <v>16</v>
      </c>
      <c r="S216" s="594" t="s">
        <v>16</v>
      </c>
      <c r="T216" s="598"/>
      <c r="U216" s="595">
        <f t="shared" si="59"/>
        <v>0</v>
      </c>
    </row>
    <row r="217" spans="1:31" ht="13" x14ac:dyDescent="0.25">
      <c r="A217" s="1020"/>
      <c r="B217" s="593">
        <v>4</v>
      </c>
      <c r="C217" s="601">
        <v>29.5</v>
      </c>
      <c r="D217" s="594">
        <v>9.9999999999999995E-7</v>
      </c>
      <c r="E217" s="602" t="s">
        <v>16</v>
      </c>
      <c r="F217" s="594">
        <v>9.9999999999999995E-7</v>
      </c>
      <c r="G217" s="595">
        <f t="shared" si="57"/>
        <v>0</v>
      </c>
      <c r="I217" s="593">
        <v>4</v>
      </c>
      <c r="J217" s="601">
        <v>71.5</v>
      </c>
      <c r="K217" s="594">
        <v>9.9999999999999995E-7</v>
      </c>
      <c r="L217" s="602" t="s">
        <v>16</v>
      </c>
      <c r="M217" s="598"/>
      <c r="N217" s="595">
        <f t="shared" si="58"/>
        <v>0</v>
      </c>
      <c r="P217" s="593">
        <v>4</v>
      </c>
      <c r="Q217" s="601">
        <v>900</v>
      </c>
      <c r="R217" s="602" t="s">
        <v>16</v>
      </c>
      <c r="S217" s="602" t="s">
        <v>16</v>
      </c>
      <c r="T217" s="598"/>
      <c r="U217" s="595">
        <f t="shared" si="59"/>
        <v>0</v>
      </c>
    </row>
    <row r="218" spans="1:31" ht="13" x14ac:dyDescent="0.25">
      <c r="A218" s="1020"/>
      <c r="B218" s="593">
        <v>5</v>
      </c>
      <c r="C218" s="601">
        <v>34.5</v>
      </c>
      <c r="D218" s="594">
        <v>9.9999999999999995E-7</v>
      </c>
      <c r="E218" s="602" t="s">
        <v>16</v>
      </c>
      <c r="F218" s="594">
        <v>9.9999999999999995E-7</v>
      </c>
      <c r="G218" s="595">
        <f t="shared" si="57"/>
        <v>0</v>
      </c>
      <c r="I218" s="593">
        <v>5</v>
      </c>
      <c r="J218" s="601">
        <v>80.8</v>
      </c>
      <c r="K218" s="594">
        <v>9.9999999999999995E-7</v>
      </c>
      <c r="L218" s="602" t="s">
        <v>16</v>
      </c>
      <c r="M218" s="598"/>
      <c r="N218" s="595">
        <f t="shared" si="58"/>
        <v>0</v>
      </c>
      <c r="P218" s="593">
        <v>5</v>
      </c>
      <c r="Q218" s="601">
        <v>1000</v>
      </c>
      <c r="R218" s="602" t="s">
        <v>16</v>
      </c>
      <c r="S218" s="602" t="s">
        <v>16</v>
      </c>
      <c r="T218" s="598"/>
      <c r="U218" s="595">
        <f t="shared" si="59"/>
        <v>0</v>
      </c>
    </row>
    <row r="219" spans="1:31" ht="13" x14ac:dyDescent="0.25">
      <c r="A219" s="1020"/>
      <c r="B219" s="593">
        <v>6</v>
      </c>
      <c r="C219" s="601">
        <v>39.5</v>
      </c>
      <c r="D219" s="594">
        <v>9.9999999999999995E-7</v>
      </c>
      <c r="E219" s="602" t="s">
        <v>16</v>
      </c>
      <c r="F219" s="594">
        <v>9.9999999999999995E-7</v>
      </c>
      <c r="G219" s="595">
        <f t="shared" si="57"/>
        <v>0</v>
      </c>
      <c r="I219" s="593">
        <v>6</v>
      </c>
      <c r="J219" s="601">
        <v>88.7</v>
      </c>
      <c r="K219" s="594">
        <v>9.9999999999999995E-7</v>
      </c>
      <c r="L219" s="602" t="s">
        <v>16</v>
      </c>
      <c r="M219" s="598"/>
      <c r="N219" s="595">
        <f t="shared" si="58"/>
        <v>0</v>
      </c>
      <c r="P219" s="593">
        <v>6</v>
      </c>
      <c r="Q219" s="601">
        <v>1005</v>
      </c>
      <c r="R219" s="602" t="s">
        <v>16</v>
      </c>
      <c r="S219" s="602" t="s">
        <v>16</v>
      </c>
      <c r="T219" s="598"/>
      <c r="U219" s="595">
        <f t="shared" si="59"/>
        <v>0</v>
      </c>
    </row>
    <row r="220" spans="1:31" ht="13" x14ac:dyDescent="0.25">
      <c r="A220" s="1020"/>
      <c r="B220" s="593">
        <v>7</v>
      </c>
      <c r="C220" s="610">
        <v>40</v>
      </c>
      <c r="D220" s="594">
        <v>9.9999999999999995E-7</v>
      </c>
      <c r="E220" s="602" t="s">
        <v>16</v>
      </c>
      <c r="F220" s="594">
        <v>9.9999999999999995E-7</v>
      </c>
      <c r="G220" s="595">
        <f t="shared" si="57"/>
        <v>0</v>
      </c>
      <c r="I220" s="593">
        <v>7</v>
      </c>
      <c r="J220" s="610">
        <v>90</v>
      </c>
      <c r="K220" s="594">
        <v>9.9999999999999995E-7</v>
      </c>
      <c r="L220" s="602" t="s">
        <v>16</v>
      </c>
      <c r="M220" s="598"/>
      <c r="N220" s="595">
        <f t="shared" si="58"/>
        <v>0</v>
      </c>
      <c r="P220" s="593">
        <v>7</v>
      </c>
      <c r="Q220" s="601">
        <v>1020</v>
      </c>
      <c r="R220" s="602" t="s">
        <v>16</v>
      </c>
      <c r="S220" s="602" t="s">
        <v>16</v>
      </c>
      <c r="T220" s="598"/>
      <c r="U220" s="595">
        <f t="shared" si="59"/>
        <v>0</v>
      </c>
    </row>
    <row r="221" spans="1:31" ht="13.5" thickBot="1" x14ac:dyDescent="0.35">
      <c r="A221" s="616"/>
      <c r="B221" s="1045"/>
      <c r="C221" s="1045"/>
      <c r="D221" s="1045"/>
      <c r="E221" s="1045"/>
      <c r="F221" s="1045"/>
      <c r="G221" s="1045"/>
      <c r="H221" s="1045"/>
      <c r="I221" s="1045"/>
      <c r="J221" s="1045"/>
      <c r="K221" s="1045"/>
      <c r="L221" s="1045"/>
      <c r="M221" s="1045"/>
      <c r="N221" s="1045"/>
      <c r="O221" s="1045"/>
      <c r="P221" s="1045"/>
      <c r="Q221" s="1045"/>
      <c r="R221" s="1045"/>
      <c r="S221" s="1045"/>
      <c r="T221" s="1045"/>
      <c r="U221" s="1045"/>
    </row>
    <row r="222" spans="1:31" ht="13.5" thickBot="1" x14ac:dyDescent="0.35">
      <c r="A222" s="605"/>
      <c r="B222" s="605"/>
      <c r="C222" s="605"/>
      <c r="D222" s="605"/>
      <c r="E222" s="605"/>
      <c r="F222" s="605"/>
      <c r="G222" s="605"/>
      <c r="H222" s="605"/>
      <c r="I222" s="605"/>
      <c r="J222" s="605"/>
      <c r="K222" s="605"/>
      <c r="L222" s="605"/>
      <c r="M222" s="605"/>
      <c r="N222" s="605"/>
      <c r="O222" s="605"/>
      <c r="P222" s="605"/>
    </row>
    <row r="223" spans="1:31" ht="12.75" customHeight="1" x14ac:dyDescent="0.25">
      <c r="A223" s="1030" t="s">
        <v>53</v>
      </c>
      <c r="B223" s="1031" t="s">
        <v>348</v>
      </c>
      <c r="C223" s="1021" t="s">
        <v>349</v>
      </c>
      <c r="D223" s="1021"/>
      <c r="E223" s="1021"/>
      <c r="F223" s="1021"/>
      <c r="G223" s="673"/>
      <c r="I223" s="1030" t="s">
        <v>53</v>
      </c>
      <c r="J223" s="1031" t="s">
        <v>348</v>
      </c>
      <c r="K223" s="1021" t="s">
        <v>349</v>
      </c>
      <c r="L223" s="1021"/>
      <c r="M223" s="1021"/>
      <c r="N223" s="1021"/>
      <c r="O223" s="487"/>
      <c r="Q223" s="1032" t="s">
        <v>53</v>
      </c>
      <c r="R223" s="1033" t="s">
        <v>348</v>
      </c>
      <c r="S223" s="1034" t="s">
        <v>349</v>
      </c>
      <c r="T223" s="1034"/>
      <c r="U223" s="1034"/>
      <c r="V223" s="1035"/>
      <c r="Y223" s="1036" t="s">
        <v>251</v>
      </c>
      <c r="Z223" s="1037"/>
      <c r="AE223" s="674"/>
    </row>
    <row r="224" spans="1:31" ht="13.5" x14ac:dyDescent="0.3">
      <c r="A224" s="1030"/>
      <c r="B224" s="1031"/>
      <c r="C224" s="617" t="s">
        <v>325</v>
      </c>
      <c r="D224" s="1038" t="s">
        <v>244</v>
      </c>
      <c r="E224" s="1038"/>
      <c r="F224" s="1038"/>
      <c r="G224" s="1038" t="s">
        <v>239</v>
      </c>
      <c r="I224" s="1030"/>
      <c r="J224" s="1031"/>
      <c r="K224" s="617" t="s">
        <v>326</v>
      </c>
      <c r="L224" s="1038" t="s">
        <v>244</v>
      </c>
      <c r="M224" s="1038"/>
      <c r="N224" s="1038"/>
      <c r="O224" s="1038" t="s">
        <v>239</v>
      </c>
      <c r="Q224" s="1030"/>
      <c r="R224" s="1031"/>
      <c r="S224" s="617" t="s">
        <v>327</v>
      </c>
      <c r="T224" s="1039" t="s">
        <v>244</v>
      </c>
      <c r="U224" s="1040"/>
      <c r="V224" s="1041"/>
      <c r="W224" s="1042" t="s">
        <v>239</v>
      </c>
      <c r="Y224" s="1043" t="s">
        <v>325</v>
      </c>
      <c r="Z224" s="1044"/>
      <c r="AE224" s="605"/>
    </row>
    <row r="225" spans="1:38" ht="14" x14ac:dyDescent="0.3">
      <c r="A225" s="1030"/>
      <c r="B225" s="1031"/>
      <c r="C225" s="672" t="s">
        <v>350</v>
      </c>
      <c r="D225" s="617"/>
      <c r="E225" s="617"/>
      <c r="F225" s="487"/>
      <c r="G225" s="1038"/>
      <c r="I225" s="1030"/>
      <c r="J225" s="1031"/>
      <c r="K225" s="672" t="s">
        <v>41</v>
      </c>
      <c r="L225" s="617"/>
      <c r="M225" s="617"/>
      <c r="N225" s="487"/>
      <c r="O225" s="1038"/>
      <c r="Q225" s="1030"/>
      <c r="R225" s="1031"/>
      <c r="S225" s="672" t="s">
        <v>329</v>
      </c>
      <c r="T225" s="617"/>
      <c r="U225" s="617"/>
      <c r="W225" s="1042"/>
      <c r="Y225" s="618">
        <v>1</v>
      </c>
      <c r="Z225" s="619">
        <f>X3</f>
        <v>0.6</v>
      </c>
      <c r="AE225" s="605"/>
    </row>
    <row r="226" spans="1:38" ht="13" x14ac:dyDescent="0.3">
      <c r="A226" s="1046">
        <v>1</v>
      </c>
      <c r="B226" s="620">
        <v>1</v>
      </c>
      <c r="C226" s="620">
        <f>C5</f>
        <v>15</v>
      </c>
      <c r="D226" s="620">
        <f t="shared" ref="D226:F226" si="60">D5</f>
        <v>-0.5</v>
      </c>
      <c r="E226" s="620">
        <f t="shared" si="60"/>
        <v>0.3</v>
      </c>
      <c r="F226" s="620">
        <f t="shared" si="60"/>
        <v>0</v>
      </c>
      <c r="G226" s="620">
        <f>G5</f>
        <v>0.4</v>
      </c>
      <c r="I226" s="1046">
        <v>1</v>
      </c>
      <c r="J226" s="620">
        <v>1</v>
      </c>
      <c r="K226" s="620">
        <f>J5</f>
        <v>35</v>
      </c>
      <c r="L226" s="620">
        <f t="shared" ref="L226:N226" si="61">K5</f>
        <v>-6</v>
      </c>
      <c r="M226" s="620">
        <f t="shared" si="61"/>
        <v>-9.4</v>
      </c>
      <c r="N226" s="620">
        <f t="shared" si="61"/>
        <v>0</v>
      </c>
      <c r="O226" s="620">
        <f>N5</f>
        <v>1.7000000000000002</v>
      </c>
      <c r="Q226" s="1049">
        <v>1</v>
      </c>
      <c r="R226" s="620">
        <v>1</v>
      </c>
      <c r="S226" s="620">
        <f>Q5</f>
        <v>750</v>
      </c>
      <c r="T226" s="621" t="str">
        <f t="shared" ref="T226:V226" si="62">R5</f>
        <v>-</v>
      </c>
      <c r="U226" s="621" t="str">
        <f t="shared" si="62"/>
        <v>-</v>
      </c>
      <c r="V226" s="621">
        <f t="shared" si="62"/>
        <v>0</v>
      </c>
      <c r="W226" s="621">
        <f>U5</f>
        <v>0</v>
      </c>
      <c r="Y226" s="622">
        <v>2</v>
      </c>
      <c r="Z226" s="619">
        <f>X14</f>
        <v>0.5</v>
      </c>
      <c r="AE226" s="605"/>
    </row>
    <row r="227" spans="1:38" ht="13" x14ac:dyDescent="0.3">
      <c r="A227" s="1046"/>
      <c r="B227" s="620">
        <v>2</v>
      </c>
      <c r="C227" s="620">
        <f>C16</f>
        <v>15</v>
      </c>
      <c r="D227" s="620">
        <f t="shared" ref="D227:F227" si="63">D16</f>
        <v>0.2</v>
      </c>
      <c r="E227" s="620">
        <f t="shared" si="63"/>
        <v>0.4</v>
      </c>
      <c r="F227" s="620">
        <f t="shared" si="63"/>
        <v>9.9999999999999995E-7</v>
      </c>
      <c r="G227" s="620">
        <f>G16</f>
        <v>0.19999950000000002</v>
      </c>
      <c r="I227" s="1046"/>
      <c r="J227" s="620">
        <v>2</v>
      </c>
      <c r="K227" s="620">
        <f>J16</f>
        <v>35</v>
      </c>
      <c r="L227" s="620">
        <f t="shared" ref="L227:N227" si="64">K16</f>
        <v>-12.6</v>
      </c>
      <c r="M227" s="620">
        <f t="shared" si="64"/>
        <v>-6.9</v>
      </c>
      <c r="N227" s="620">
        <f t="shared" si="64"/>
        <v>-1.6</v>
      </c>
      <c r="O227" s="620">
        <f>N16</f>
        <v>5.5</v>
      </c>
      <c r="Q227" s="1050"/>
      <c r="R227" s="620">
        <v>2</v>
      </c>
      <c r="S227" s="620">
        <f>Q16</f>
        <v>750</v>
      </c>
      <c r="T227" s="621" t="str">
        <f t="shared" ref="T227:V227" si="65">R16</f>
        <v>-</v>
      </c>
      <c r="U227" s="621" t="str">
        <f t="shared" si="65"/>
        <v>-</v>
      </c>
      <c r="V227" s="621">
        <f t="shared" si="65"/>
        <v>0</v>
      </c>
      <c r="W227" s="621">
        <f>U16</f>
        <v>0</v>
      </c>
      <c r="Y227" s="622">
        <v>3</v>
      </c>
      <c r="Z227" s="623">
        <f>X25</f>
        <v>0.5</v>
      </c>
      <c r="AE227" s="605"/>
    </row>
    <row r="228" spans="1:38" ht="13" x14ac:dyDescent="0.3">
      <c r="A228" s="1046"/>
      <c r="B228" s="620">
        <v>3</v>
      </c>
      <c r="C228" s="620">
        <f>C27</f>
        <v>15</v>
      </c>
      <c r="D228" s="620">
        <f t="shared" ref="D228:F228" si="66">D27</f>
        <v>0.2</v>
      </c>
      <c r="E228" s="620">
        <f t="shared" si="66"/>
        <v>0.4</v>
      </c>
      <c r="F228" s="620">
        <f t="shared" si="66"/>
        <v>9.9999999999999995E-7</v>
      </c>
      <c r="G228" s="620">
        <f>G27</f>
        <v>0.19999950000000002</v>
      </c>
      <c r="I228" s="1046"/>
      <c r="J228" s="620">
        <v>3</v>
      </c>
      <c r="K228" s="620">
        <f>J27</f>
        <v>35</v>
      </c>
      <c r="L228" s="620">
        <f t="shared" ref="L228:N228" si="67">K27</f>
        <v>-11.5</v>
      </c>
      <c r="M228" s="620">
        <f t="shared" si="67"/>
        <v>-7.3</v>
      </c>
      <c r="N228" s="620">
        <f t="shared" si="67"/>
        <v>-5.7</v>
      </c>
      <c r="O228" s="620">
        <f>N27</f>
        <v>2.9</v>
      </c>
      <c r="Q228" s="1050"/>
      <c r="R228" s="620">
        <v>3</v>
      </c>
      <c r="S228" s="620">
        <f>Q27</f>
        <v>750</v>
      </c>
      <c r="T228" s="621" t="str">
        <f t="shared" ref="T228:V228" si="68">R27</f>
        <v>-</v>
      </c>
      <c r="U228" s="621" t="str">
        <f t="shared" si="68"/>
        <v>-</v>
      </c>
      <c r="V228" s="621">
        <f t="shared" si="68"/>
        <v>0</v>
      </c>
      <c r="W228" s="621">
        <f>U27</f>
        <v>0</v>
      </c>
      <c r="Y228" s="622">
        <v>4</v>
      </c>
      <c r="Z228" s="623">
        <f>X36</f>
        <v>0.3</v>
      </c>
      <c r="AE228" s="605"/>
    </row>
    <row r="229" spans="1:38" ht="13" x14ac:dyDescent="0.3">
      <c r="A229" s="1046"/>
      <c r="B229" s="620">
        <v>4</v>
      </c>
      <c r="C229" s="624">
        <f>C38</f>
        <v>15</v>
      </c>
      <c r="D229" s="624">
        <f t="shared" ref="D229:F229" si="69">D38</f>
        <v>-0.2</v>
      </c>
      <c r="E229" s="624">
        <f t="shared" si="69"/>
        <v>-0.1</v>
      </c>
      <c r="F229" s="624">
        <f t="shared" si="69"/>
        <v>0</v>
      </c>
      <c r="G229" s="624">
        <f>G38</f>
        <v>0.05</v>
      </c>
      <c r="I229" s="1046"/>
      <c r="J229" s="620">
        <v>4</v>
      </c>
      <c r="K229" s="624">
        <f>J38</f>
        <v>35</v>
      </c>
      <c r="L229" s="624">
        <f t="shared" ref="L229:N229" si="70">K38</f>
        <v>-4.5</v>
      </c>
      <c r="M229" s="624">
        <f t="shared" si="70"/>
        <v>-1.7</v>
      </c>
      <c r="N229" s="624">
        <f t="shared" si="70"/>
        <v>0</v>
      </c>
      <c r="O229" s="624">
        <f>N38</f>
        <v>1.4</v>
      </c>
      <c r="Q229" s="1050"/>
      <c r="R229" s="620">
        <v>4</v>
      </c>
      <c r="S229" s="624">
        <f>Q38</f>
        <v>750</v>
      </c>
      <c r="T229" s="625" t="str">
        <f t="shared" ref="T229:V229" si="71">R38</f>
        <v>-</v>
      </c>
      <c r="U229" s="625" t="str">
        <f t="shared" si="71"/>
        <v>-</v>
      </c>
      <c r="V229" s="625">
        <f t="shared" si="71"/>
        <v>0</v>
      </c>
      <c r="W229" s="625">
        <f>U38</f>
        <v>0</v>
      </c>
      <c r="Y229" s="622">
        <v>5</v>
      </c>
      <c r="Z229" s="623">
        <f>X47</f>
        <v>0.5</v>
      </c>
      <c r="AE229" s="605"/>
    </row>
    <row r="230" spans="1:38" ht="13" x14ac:dyDescent="0.3">
      <c r="A230" s="1046"/>
      <c r="B230" s="620">
        <v>5</v>
      </c>
      <c r="C230" s="624">
        <f>C49</f>
        <v>15</v>
      </c>
      <c r="D230" s="624">
        <f t="shared" ref="D230:F230" si="72">D49</f>
        <v>0.3</v>
      </c>
      <c r="E230" s="624">
        <f t="shared" si="72"/>
        <v>-0.3</v>
      </c>
      <c r="F230" s="624">
        <f t="shared" si="72"/>
        <v>0.3</v>
      </c>
      <c r="G230" s="624">
        <f>G49</f>
        <v>0.3</v>
      </c>
      <c r="I230" s="1046"/>
      <c r="J230" s="620">
        <v>5</v>
      </c>
      <c r="K230" s="624">
        <f>J49</f>
        <v>35</v>
      </c>
      <c r="L230" s="624">
        <f t="shared" ref="L230:N230" si="73">K49</f>
        <v>-10.5</v>
      </c>
      <c r="M230" s="624">
        <f t="shared" si="73"/>
        <v>-7.7</v>
      </c>
      <c r="N230" s="624">
        <f t="shared" si="73"/>
        <v>-9.6</v>
      </c>
      <c r="O230" s="624">
        <f>N49</f>
        <v>1.4</v>
      </c>
      <c r="Q230" s="1050"/>
      <c r="R230" s="620">
        <v>5</v>
      </c>
      <c r="S230" s="624">
        <f>Q49</f>
        <v>750</v>
      </c>
      <c r="T230" s="625" t="str">
        <f t="shared" ref="T230:V230" si="74">R49</f>
        <v>-</v>
      </c>
      <c r="U230" s="625" t="str">
        <f t="shared" si="74"/>
        <v>-</v>
      </c>
      <c r="V230" s="625">
        <f t="shared" si="74"/>
        <v>0</v>
      </c>
      <c r="W230" s="625">
        <f>U49</f>
        <v>0</v>
      </c>
      <c r="Y230" s="618">
        <v>6</v>
      </c>
      <c r="Z230" s="619">
        <f>X58</f>
        <v>0.8</v>
      </c>
      <c r="AE230" s="605"/>
    </row>
    <row r="231" spans="1:38" ht="13" x14ac:dyDescent="0.3">
      <c r="A231" s="1046"/>
      <c r="B231" s="620">
        <v>6</v>
      </c>
      <c r="C231" s="624">
        <f>C60</f>
        <v>15</v>
      </c>
      <c r="D231" s="624">
        <f t="shared" ref="D231:F231" si="75">D60</f>
        <v>0.4</v>
      </c>
      <c r="E231" s="624">
        <f t="shared" si="75"/>
        <v>0.4</v>
      </c>
      <c r="F231" s="624">
        <f t="shared" si="75"/>
        <v>0</v>
      </c>
      <c r="G231" s="624">
        <f>G60</f>
        <v>0</v>
      </c>
      <c r="I231" s="1046"/>
      <c r="J231" s="620">
        <v>6</v>
      </c>
      <c r="K231" s="624">
        <f>J60</f>
        <v>30</v>
      </c>
      <c r="L231" s="624">
        <f t="shared" ref="L231:N231" si="76">K60</f>
        <v>-1.5</v>
      </c>
      <c r="M231" s="624">
        <f t="shared" si="76"/>
        <v>1.7</v>
      </c>
      <c r="N231" s="624">
        <f t="shared" si="76"/>
        <v>0</v>
      </c>
      <c r="O231" s="624">
        <f>N60</f>
        <v>1.6</v>
      </c>
      <c r="Q231" s="1050"/>
      <c r="R231" s="620">
        <v>6</v>
      </c>
      <c r="S231" s="624">
        <f>Q60</f>
        <v>750</v>
      </c>
      <c r="T231" s="625">
        <f t="shared" ref="T231:V231" si="77">R60</f>
        <v>0.9</v>
      </c>
      <c r="U231" s="625">
        <f t="shared" si="77"/>
        <v>2.1</v>
      </c>
      <c r="V231" s="625">
        <f t="shared" si="77"/>
        <v>0</v>
      </c>
      <c r="W231" s="625">
        <f>U60</f>
        <v>0.60000000000000009</v>
      </c>
      <c r="Y231" s="618">
        <v>7</v>
      </c>
      <c r="Z231" s="619">
        <f>X69</f>
        <v>0.5</v>
      </c>
      <c r="AE231" s="605"/>
    </row>
    <row r="232" spans="1:38" ht="13" x14ac:dyDescent="0.3">
      <c r="A232" s="1046"/>
      <c r="B232" s="620">
        <v>7</v>
      </c>
      <c r="C232" s="624">
        <f>C71</f>
        <v>15</v>
      </c>
      <c r="D232" s="624">
        <f t="shared" ref="D232:F232" si="78">D71</f>
        <v>0.1</v>
      </c>
      <c r="E232" s="624">
        <f t="shared" si="78"/>
        <v>0.1</v>
      </c>
      <c r="F232" s="624">
        <f t="shared" si="78"/>
        <v>0.3</v>
      </c>
      <c r="G232" s="624">
        <f>G71</f>
        <v>9.9999999999999992E-2</v>
      </c>
      <c r="I232" s="1046"/>
      <c r="J232" s="620">
        <v>7</v>
      </c>
      <c r="K232" s="624">
        <f>J71</f>
        <v>30</v>
      </c>
      <c r="L232" s="624">
        <f t="shared" ref="L232:N232" si="79">K71</f>
        <v>-1.7</v>
      </c>
      <c r="M232" s="624">
        <f t="shared" si="79"/>
        <v>-1.9</v>
      </c>
      <c r="N232" s="624">
        <f t="shared" si="79"/>
        <v>1.8</v>
      </c>
      <c r="O232" s="624">
        <f>N71</f>
        <v>1.85</v>
      </c>
      <c r="Q232" s="1050"/>
      <c r="R232" s="620">
        <v>7</v>
      </c>
      <c r="S232" s="624">
        <f>Q71</f>
        <v>960</v>
      </c>
      <c r="T232" s="625">
        <f t="shared" ref="T232:V232" si="80">R71</f>
        <v>0.7</v>
      </c>
      <c r="U232" s="625" t="str">
        <f t="shared" si="80"/>
        <v>-</v>
      </c>
      <c r="V232" s="625" t="str">
        <f t="shared" si="80"/>
        <v>-</v>
      </c>
      <c r="W232" s="625">
        <f>U71</f>
        <v>0</v>
      </c>
      <c r="Y232" s="618">
        <v>8</v>
      </c>
      <c r="Z232" s="619">
        <f>X80</f>
        <v>0.3</v>
      </c>
      <c r="AE232" s="605"/>
    </row>
    <row r="233" spans="1:38" ht="13" x14ac:dyDescent="0.3">
      <c r="A233" s="1046"/>
      <c r="B233" s="620">
        <v>8</v>
      </c>
      <c r="C233" s="624">
        <f>C82</f>
        <v>15</v>
      </c>
      <c r="D233" s="624">
        <f t="shared" ref="D233:F233" si="81">D82</f>
        <v>0.1</v>
      </c>
      <c r="E233" s="624">
        <f t="shared" si="81"/>
        <v>9.9999999999999995E-7</v>
      </c>
      <c r="F233" s="624">
        <f t="shared" si="81"/>
        <v>0</v>
      </c>
      <c r="G233" s="624">
        <f>G82</f>
        <v>4.9999500000000002E-2</v>
      </c>
      <c r="I233" s="1046"/>
      <c r="J233" s="620">
        <v>8</v>
      </c>
      <c r="K233" s="624">
        <f>J82</f>
        <v>30</v>
      </c>
      <c r="L233" s="624">
        <f t="shared" ref="L233:N233" si="82">K82</f>
        <v>-4</v>
      </c>
      <c r="M233" s="624">
        <f t="shared" si="82"/>
        <v>-1.4</v>
      </c>
      <c r="N233" s="624">
        <f t="shared" si="82"/>
        <v>0</v>
      </c>
      <c r="O233" s="624">
        <f>N82</f>
        <v>1.3</v>
      </c>
      <c r="Q233" s="1050"/>
      <c r="R233" s="620">
        <v>8</v>
      </c>
      <c r="S233" s="624">
        <f>Q82</f>
        <v>750</v>
      </c>
      <c r="T233" s="625">
        <f t="shared" ref="T233:V233" si="83">R82</f>
        <v>9.9999999999999995E-7</v>
      </c>
      <c r="U233" s="625">
        <f t="shared" si="83"/>
        <v>9.9999999999999995E-7</v>
      </c>
      <c r="V233" s="625">
        <f t="shared" si="83"/>
        <v>0</v>
      </c>
      <c r="W233" s="625">
        <f>U82</f>
        <v>0</v>
      </c>
      <c r="Y233" s="618">
        <v>9</v>
      </c>
      <c r="Z233" s="619">
        <f>X91</f>
        <v>0.3</v>
      </c>
      <c r="AE233" s="605"/>
    </row>
    <row r="234" spans="1:38" ht="13" x14ac:dyDescent="0.3">
      <c r="A234" s="1046"/>
      <c r="B234" s="620">
        <v>9</v>
      </c>
      <c r="C234" s="624">
        <f>C93</f>
        <v>15</v>
      </c>
      <c r="D234" s="624">
        <f t="shared" ref="D234:F234" si="84">D93</f>
        <v>9.9999999999999995E-7</v>
      </c>
      <c r="E234" s="624" t="str">
        <f t="shared" si="84"/>
        <v>-</v>
      </c>
      <c r="F234" s="624">
        <f t="shared" si="84"/>
        <v>0</v>
      </c>
      <c r="G234" s="624">
        <f>G93</f>
        <v>0</v>
      </c>
      <c r="I234" s="1046"/>
      <c r="J234" s="620">
        <v>9</v>
      </c>
      <c r="K234" s="624">
        <f>J93</f>
        <v>30</v>
      </c>
      <c r="L234" s="624">
        <f t="shared" ref="L234:N234" si="85">K93</f>
        <v>-1.2</v>
      </c>
      <c r="M234" s="624" t="str">
        <f t="shared" si="85"/>
        <v>-</v>
      </c>
      <c r="N234" s="624">
        <f t="shared" si="85"/>
        <v>0</v>
      </c>
      <c r="O234" s="624">
        <f>N93</f>
        <v>0</v>
      </c>
      <c r="Q234" s="1050"/>
      <c r="R234" s="620">
        <v>9</v>
      </c>
      <c r="S234" s="624">
        <f>Q93</f>
        <v>750</v>
      </c>
      <c r="T234" s="625">
        <f t="shared" ref="T234:V234" si="86">R93</f>
        <v>9.9999999999999995E-7</v>
      </c>
      <c r="U234" s="625" t="str">
        <f t="shared" si="86"/>
        <v>-</v>
      </c>
      <c r="V234" s="625">
        <f t="shared" si="86"/>
        <v>0</v>
      </c>
      <c r="W234" s="625">
        <f>U93</f>
        <v>0</v>
      </c>
      <c r="Y234" s="618">
        <v>10</v>
      </c>
      <c r="Z234" s="619">
        <f>X102</f>
        <v>0.3</v>
      </c>
      <c r="AE234" s="605"/>
    </row>
    <row r="235" spans="1:38" ht="13" x14ac:dyDescent="0.3">
      <c r="A235" s="1046"/>
      <c r="B235" s="620">
        <v>10</v>
      </c>
      <c r="C235" s="624">
        <f>C104</f>
        <v>15</v>
      </c>
      <c r="D235" s="624">
        <f t="shared" ref="D235:F235" si="87">D104</f>
        <v>0.2</v>
      </c>
      <c r="E235" s="624">
        <f t="shared" si="87"/>
        <v>0.2</v>
      </c>
      <c r="F235" s="624">
        <f t="shared" si="87"/>
        <v>0</v>
      </c>
      <c r="G235" s="624">
        <f>G104</f>
        <v>0</v>
      </c>
      <c r="I235" s="1046"/>
      <c r="J235" s="620">
        <v>10</v>
      </c>
      <c r="K235" s="624">
        <f>J104</f>
        <v>30</v>
      </c>
      <c r="L235" s="624">
        <f t="shared" ref="L235:N235" si="88">K104</f>
        <v>-2.9</v>
      </c>
      <c r="M235" s="624">
        <f t="shared" si="88"/>
        <v>-5.8</v>
      </c>
      <c r="N235" s="624">
        <f t="shared" si="88"/>
        <v>0</v>
      </c>
      <c r="O235" s="624">
        <f>N104</f>
        <v>1.45</v>
      </c>
      <c r="Q235" s="1050"/>
      <c r="R235" s="620">
        <v>10</v>
      </c>
      <c r="S235" s="624">
        <f>Q104</f>
        <v>750</v>
      </c>
      <c r="T235" s="625" t="str">
        <f t="shared" ref="T235:V235" si="89">R104</f>
        <v>-</v>
      </c>
      <c r="U235" s="625" t="str">
        <f t="shared" si="89"/>
        <v>-</v>
      </c>
      <c r="V235" s="625">
        <f t="shared" si="89"/>
        <v>0</v>
      </c>
      <c r="W235" s="625">
        <f>U104</f>
        <v>0</v>
      </c>
      <c r="Y235" s="618">
        <v>11</v>
      </c>
      <c r="Z235" s="619">
        <f>X113</f>
        <v>0.3</v>
      </c>
      <c r="AE235" s="605"/>
    </row>
    <row r="236" spans="1:38" ht="13" x14ac:dyDescent="0.3">
      <c r="A236" s="1046"/>
      <c r="B236" s="620">
        <v>11</v>
      </c>
      <c r="C236" s="624">
        <f>C115</f>
        <v>15</v>
      </c>
      <c r="D236" s="624">
        <f t="shared" ref="D236:F236" si="90">D115</f>
        <v>0.3</v>
      </c>
      <c r="E236" s="624">
        <f t="shared" si="90"/>
        <v>0.3</v>
      </c>
      <c r="F236" s="624">
        <f t="shared" si="90"/>
        <v>0</v>
      </c>
      <c r="G236" s="624">
        <f>G115</f>
        <v>0</v>
      </c>
      <c r="I236" s="1046"/>
      <c r="J236" s="620">
        <v>11</v>
      </c>
      <c r="K236" s="624">
        <f>J115</f>
        <v>30</v>
      </c>
      <c r="L236" s="624">
        <f t="shared" ref="L236:N236" si="91">K115</f>
        <v>-5.2</v>
      </c>
      <c r="M236" s="624">
        <f t="shared" si="91"/>
        <v>-6.4</v>
      </c>
      <c r="N236" s="624">
        <f t="shared" si="91"/>
        <v>0</v>
      </c>
      <c r="O236" s="624">
        <f>N115</f>
        <v>0.60000000000000009</v>
      </c>
      <c r="Q236" s="1050"/>
      <c r="R236" s="620">
        <v>11</v>
      </c>
      <c r="S236" s="624">
        <f>Q115</f>
        <v>750</v>
      </c>
      <c r="T236" s="625" t="str">
        <f t="shared" ref="T236:V236" si="92">R115</f>
        <v>-</v>
      </c>
      <c r="U236" s="625" t="str">
        <f t="shared" si="92"/>
        <v>-</v>
      </c>
      <c r="V236" s="625">
        <f t="shared" si="92"/>
        <v>0</v>
      </c>
      <c r="W236" s="625">
        <f>U115</f>
        <v>0</v>
      </c>
      <c r="Y236" s="618">
        <v>12</v>
      </c>
      <c r="Z236" s="619">
        <f>X124</f>
        <v>0.3</v>
      </c>
      <c r="AE236" s="605"/>
    </row>
    <row r="237" spans="1:38" ht="13" x14ac:dyDescent="0.3">
      <c r="A237" s="1046"/>
      <c r="B237" s="620">
        <v>12</v>
      </c>
      <c r="C237" s="624">
        <f>C126</f>
        <v>15</v>
      </c>
      <c r="D237" s="624">
        <f t="shared" ref="D237:F237" si="93">D126</f>
        <v>9.9999999999999995E-7</v>
      </c>
      <c r="E237" s="624" t="str">
        <f t="shared" si="93"/>
        <v>-</v>
      </c>
      <c r="F237" s="624">
        <f t="shared" si="93"/>
        <v>0</v>
      </c>
      <c r="G237" s="624">
        <f>G126</f>
        <v>0</v>
      </c>
      <c r="I237" s="1046"/>
      <c r="J237" s="620">
        <v>12</v>
      </c>
      <c r="K237" s="624">
        <f>J126</f>
        <v>30</v>
      </c>
      <c r="L237" s="624">
        <f t="shared" ref="L237:N237" si="94">K126</f>
        <v>-0.4</v>
      </c>
      <c r="M237" s="624" t="str">
        <f t="shared" si="94"/>
        <v>-</v>
      </c>
      <c r="N237" s="624">
        <f t="shared" si="94"/>
        <v>0</v>
      </c>
      <c r="O237" s="624">
        <f>N126</f>
        <v>0</v>
      </c>
      <c r="Q237" s="1050"/>
      <c r="R237" s="620">
        <v>12</v>
      </c>
      <c r="S237" s="624">
        <f>Q126</f>
        <v>800</v>
      </c>
      <c r="T237" s="625">
        <f t="shared" ref="T237:V237" si="95">R126</f>
        <v>-0.4</v>
      </c>
      <c r="U237" s="625" t="str">
        <f t="shared" si="95"/>
        <v>-</v>
      </c>
      <c r="V237" s="625">
        <f t="shared" si="95"/>
        <v>0</v>
      </c>
      <c r="W237" s="625">
        <f>U126</f>
        <v>0</v>
      </c>
      <c r="Y237" s="618">
        <v>13</v>
      </c>
      <c r="Z237" s="626">
        <f>X135</f>
        <v>0.5</v>
      </c>
      <c r="AE237" s="605"/>
      <c r="AL237" s="605"/>
    </row>
    <row r="238" spans="1:38" ht="13" x14ac:dyDescent="0.3">
      <c r="A238" s="1046"/>
      <c r="B238" s="620">
        <v>13</v>
      </c>
      <c r="C238" s="624">
        <f>C137</f>
        <v>15</v>
      </c>
      <c r="D238" s="624">
        <f t="shared" ref="D238:F238" si="96">D137</f>
        <v>0.5</v>
      </c>
      <c r="E238" s="624">
        <f t="shared" si="96"/>
        <v>-0.7</v>
      </c>
      <c r="F238" s="624" t="str">
        <f t="shared" si="96"/>
        <v>-</v>
      </c>
      <c r="G238" s="624">
        <f>G137</f>
        <v>0</v>
      </c>
      <c r="I238" s="1046"/>
      <c r="J238" s="620">
        <v>13</v>
      </c>
      <c r="K238" s="624">
        <f>J137</f>
        <v>30</v>
      </c>
      <c r="L238" s="624">
        <f t="shared" ref="L238:N238" si="97">K137</f>
        <v>-2.2000000000000002</v>
      </c>
      <c r="M238" s="624">
        <f t="shared" si="97"/>
        <v>-1.4</v>
      </c>
      <c r="N238" s="624" t="str">
        <f t="shared" si="97"/>
        <v>-</v>
      </c>
      <c r="O238" s="624">
        <f>N137</f>
        <v>0</v>
      </c>
      <c r="Q238" s="1050"/>
      <c r="R238" s="620">
        <v>13</v>
      </c>
      <c r="S238" s="624">
        <f>Q137</f>
        <v>960</v>
      </c>
      <c r="T238" s="625">
        <f t="shared" ref="T238:V238" si="98">R137</f>
        <v>4</v>
      </c>
      <c r="U238" s="625">
        <f t="shared" si="98"/>
        <v>0.9</v>
      </c>
      <c r="V238" s="625" t="str">
        <f t="shared" si="98"/>
        <v>-</v>
      </c>
      <c r="W238" s="625">
        <f>U137</f>
        <v>0</v>
      </c>
      <c r="Y238" s="618">
        <v>14</v>
      </c>
      <c r="Z238" s="626">
        <f>X146</f>
        <v>0.5</v>
      </c>
      <c r="AE238" s="605"/>
      <c r="AL238" s="605"/>
    </row>
    <row r="239" spans="1:38" ht="13" x14ac:dyDescent="0.3">
      <c r="A239" s="1046"/>
      <c r="B239" s="620">
        <v>14</v>
      </c>
      <c r="C239" s="624">
        <f>C148</f>
        <v>15</v>
      </c>
      <c r="D239" s="624">
        <f t="shared" ref="D239:F239" si="99">D148</f>
        <v>0.5</v>
      </c>
      <c r="E239" s="624">
        <f t="shared" si="99"/>
        <v>-0.2</v>
      </c>
      <c r="F239" s="624" t="str">
        <f t="shared" si="99"/>
        <v>-</v>
      </c>
      <c r="G239" s="624">
        <f>G148</f>
        <v>0</v>
      </c>
      <c r="I239" s="1046"/>
      <c r="J239" s="620">
        <v>14</v>
      </c>
      <c r="K239" s="624">
        <f>J148</f>
        <v>30</v>
      </c>
      <c r="L239" s="624">
        <f t="shared" ref="L239:N239" si="100">K148</f>
        <v>-0.8</v>
      </c>
      <c r="M239" s="624">
        <f t="shared" si="100"/>
        <v>0.6</v>
      </c>
      <c r="N239" s="624" t="str">
        <f t="shared" si="100"/>
        <v>-</v>
      </c>
      <c r="O239" s="624">
        <f>N148</f>
        <v>0</v>
      </c>
      <c r="Q239" s="1050"/>
      <c r="R239" s="620">
        <v>14</v>
      </c>
      <c r="S239" s="624">
        <f>Q148</f>
        <v>960</v>
      </c>
      <c r="T239" s="625">
        <f t="shared" ref="T239:V239" si="101">R148</f>
        <v>4</v>
      </c>
      <c r="U239" s="625">
        <f t="shared" si="101"/>
        <v>0.9</v>
      </c>
      <c r="V239" s="625" t="str">
        <f t="shared" si="101"/>
        <v>-</v>
      </c>
      <c r="W239" s="625">
        <f>U148</f>
        <v>0</v>
      </c>
      <c r="Y239" s="618">
        <v>15</v>
      </c>
      <c r="Z239" s="626">
        <f>X157</f>
        <v>0.5</v>
      </c>
      <c r="AE239" s="605"/>
      <c r="AL239" s="605"/>
    </row>
    <row r="240" spans="1:38" ht="13" x14ac:dyDescent="0.3">
      <c r="A240" s="1046"/>
      <c r="B240" s="620">
        <v>15</v>
      </c>
      <c r="C240" s="624">
        <f>C159</f>
        <v>15</v>
      </c>
      <c r="D240" s="624">
        <f t="shared" ref="D240:F240" si="102">D159</f>
        <v>0.6</v>
      </c>
      <c r="E240" s="624">
        <f t="shared" si="102"/>
        <v>-0.6</v>
      </c>
      <c r="F240" s="624" t="str">
        <f t="shared" si="102"/>
        <v>-</v>
      </c>
      <c r="G240" s="624">
        <f>G159</f>
        <v>0</v>
      </c>
      <c r="I240" s="1046"/>
      <c r="J240" s="620">
        <v>15</v>
      </c>
      <c r="K240" s="624">
        <f>J159</f>
        <v>30</v>
      </c>
      <c r="L240" s="624">
        <f t="shared" ref="L240:N240" si="103">K159</f>
        <v>-2</v>
      </c>
      <c r="M240" s="624">
        <f t="shared" si="103"/>
        <v>-0.4</v>
      </c>
      <c r="N240" s="624" t="str">
        <f t="shared" si="103"/>
        <v>-</v>
      </c>
      <c r="O240" s="624">
        <f>N159</f>
        <v>0</v>
      </c>
      <c r="Q240" s="1050"/>
      <c r="R240" s="620">
        <v>15</v>
      </c>
      <c r="S240" s="624">
        <f>Q159</f>
        <v>960</v>
      </c>
      <c r="T240" s="625">
        <f t="shared" ref="T240:V240" si="104">R159</f>
        <v>4.5</v>
      </c>
      <c r="U240" s="625">
        <f t="shared" si="104"/>
        <v>0.9</v>
      </c>
      <c r="V240" s="625" t="str">
        <f t="shared" si="104"/>
        <v>-</v>
      </c>
      <c r="W240" s="625">
        <f>U159</f>
        <v>0</v>
      </c>
      <c r="Y240" s="618">
        <v>16</v>
      </c>
      <c r="Z240" s="626">
        <f>X168</f>
        <v>0.5</v>
      </c>
      <c r="AE240" s="605"/>
      <c r="AL240" s="605"/>
    </row>
    <row r="241" spans="1:38" ht="13" x14ac:dyDescent="0.3">
      <c r="A241" s="1046"/>
      <c r="B241" s="620">
        <v>16</v>
      </c>
      <c r="C241" s="624">
        <f>C170</f>
        <v>15</v>
      </c>
      <c r="D241" s="624">
        <f t="shared" ref="D241:F241" si="105">D170</f>
        <v>0.1</v>
      </c>
      <c r="E241" s="624">
        <f t="shared" si="105"/>
        <v>0.1</v>
      </c>
      <c r="F241" s="624">
        <f t="shared" si="105"/>
        <v>0</v>
      </c>
      <c r="G241" s="624">
        <f>G170</f>
        <v>0</v>
      </c>
      <c r="I241" s="1046"/>
      <c r="J241" s="620">
        <v>16</v>
      </c>
      <c r="K241" s="624">
        <f>J170</f>
        <v>35</v>
      </c>
      <c r="L241" s="624">
        <f t="shared" ref="L241:N241" si="106">K170</f>
        <v>-2.5</v>
      </c>
      <c r="M241" s="624">
        <f t="shared" si="106"/>
        <v>-1.6</v>
      </c>
      <c r="N241" s="624">
        <f t="shared" si="106"/>
        <v>0</v>
      </c>
      <c r="O241" s="624">
        <f>N170</f>
        <v>0.44999999999999996</v>
      </c>
      <c r="Q241" s="1050"/>
      <c r="R241" s="620">
        <v>16</v>
      </c>
      <c r="S241" s="624">
        <f>Q170</f>
        <v>960</v>
      </c>
      <c r="T241" s="625">
        <f t="shared" ref="T241:V241" si="107">R170</f>
        <v>4.5999999999999996</v>
      </c>
      <c r="U241" s="625" t="str">
        <f t="shared" si="107"/>
        <v>-</v>
      </c>
      <c r="V241" s="625">
        <f t="shared" si="107"/>
        <v>0</v>
      </c>
      <c r="W241" s="625">
        <f>U170</f>
        <v>0</v>
      </c>
      <c r="Y241" s="618">
        <v>17</v>
      </c>
      <c r="Z241" s="626">
        <f>X179</f>
        <v>0.8</v>
      </c>
      <c r="AE241" s="605"/>
      <c r="AL241" s="605"/>
    </row>
    <row r="242" spans="1:38" ht="13" x14ac:dyDescent="0.3">
      <c r="A242" s="1046"/>
      <c r="B242" s="620">
        <v>17</v>
      </c>
      <c r="C242" s="624">
        <f>C181</f>
        <v>15</v>
      </c>
      <c r="D242" s="624">
        <f t="shared" ref="D242:F242" si="108">D181</f>
        <v>0.2</v>
      </c>
      <c r="E242" s="624">
        <f t="shared" si="108"/>
        <v>0.1</v>
      </c>
      <c r="F242" s="624">
        <f t="shared" si="108"/>
        <v>0</v>
      </c>
      <c r="G242" s="624">
        <f>G181</f>
        <v>0.05</v>
      </c>
      <c r="I242" s="1046"/>
      <c r="J242" s="620">
        <v>17</v>
      </c>
      <c r="K242" s="624">
        <f>J181</f>
        <v>35</v>
      </c>
      <c r="L242" s="624">
        <f t="shared" ref="L242:N242" si="109">K181</f>
        <v>-2.7</v>
      </c>
      <c r="M242" s="624">
        <f t="shared" si="109"/>
        <v>0.1</v>
      </c>
      <c r="N242" s="624">
        <f t="shared" si="109"/>
        <v>0</v>
      </c>
      <c r="O242" s="624">
        <f>N181</f>
        <v>1.4000000000000001</v>
      </c>
      <c r="Q242" s="1050"/>
      <c r="R242" s="620">
        <v>17</v>
      </c>
      <c r="S242" s="624">
        <f>Q181</f>
        <v>960</v>
      </c>
      <c r="T242" s="625">
        <f t="shared" ref="T242:V242" si="110">R181</f>
        <v>4.5999999999999996</v>
      </c>
      <c r="U242" s="625">
        <f t="shared" si="110"/>
        <v>-0.6</v>
      </c>
      <c r="V242" s="625">
        <f t="shared" si="110"/>
        <v>0</v>
      </c>
      <c r="W242" s="625">
        <f>U181</f>
        <v>2.5999999999999996</v>
      </c>
      <c r="Y242" s="618">
        <v>18</v>
      </c>
      <c r="Z242" s="626">
        <f>X190</f>
        <v>0.6</v>
      </c>
      <c r="AE242" s="605"/>
      <c r="AL242" s="605"/>
    </row>
    <row r="243" spans="1:38" ht="13" x14ac:dyDescent="0.3">
      <c r="A243" s="1046"/>
      <c r="B243" s="620">
        <v>18</v>
      </c>
      <c r="C243" s="624">
        <f>C192</f>
        <v>15</v>
      </c>
      <c r="D243" s="624">
        <f t="shared" ref="D243:F243" si="111">D192</f>
        <v>0.3</v>
      </c>
      <c r="E243" s="624">
        <f t="shared" si="111"/>
        <v>9.9999999999999995E-7</v>
      </c>
      <c r="F243" s="624">
        <f t="shared" si="111"/>
        <v>0</v>
      </c>
      <c r="G243" s="624">
        <f>G192</f>
        <v>0.14999950000000001</v>
      </c>
      <c r="I243" s="1046"/>
      <c r="J243" s="620">
        <v>18</v>
      </c>
      <c r="K243" s="624">
        <f>J192</f>
        <v>35</v>
      </c>
      <c r="L243" s="624">
        <f t="shared" ref="L243:N243" si="112">K192</f>
        <v>-3.2</v>
      </c>
      <c r="M243" s="624">
        <f t="shared" si="112"/>
        <v>-0.4</v>
      </c>
      <c r="N243" s="624">
        <f t="shared" si="112"/>
        <v>0</v>
      </c>
      <c r="O243" s="624">
        <f>N192</f>
        <v>1.4000000000000001</v>
      </c>
      <c r="Q243" s="1050"/>
      <c r="R243" s="620">
        <v>18</v>
      </c>
      <c r="S243" s="624">
        <f>Q192</f>
        <v>960</v>
      </c>
      <c r="T243" s="625">
        <f t="shared" ref="T243:V243" si="113">R192</f>
        <v>4.5999999999999996</v>
      </c>
      <c r="U243" s="625" t="str">
        <f t="shared" si="113"/>
        <v>-</v>
      </c>
      <c r="V243" s="625">
        <f t="shared" si="113"/>
        <v>0</v>
      </c>
      <c r="W243" s="625">
        <f>U192</f>
        <v>0</v>
      </c>
      <c r="Y243" s="618">
        <v>19</v>
      </c>
      <c r="Z243" s="626">
        <f>X201</f>
        <v>0.1</v>
      </c>
      <c r="AE243" s="605"/>
      <c r="AL243" s="605"/>
    </row>
    <row r="244" spans="1:38" ht="13.5" thickBot="1" x14ac:dyDescent="0.35">
      <c r="A244" s="1046"/>
      <c r="B244" s="620">
        <v>19</v>
      </c>
      <c r="C244" s="624">
        <f>C203</f>
        <v>15</v>
      </c>
      <c r="D244" s="624">
        <f t="shared" ref="D244:F244" si="114">D203</f>
        <v>9.9999999999999995E-7</v>
      </c>
      <c r="E244" s="624" t="str">
        <f t="shared" si="114"/>
        <v>-</v>
      </c>
      <c r="F244" s="624">
        <f t="shared" si="114"/>
        <v>0</v>
      </c>
      <c r="G244" s="624">
        <f>G203</f>
        <v>0</v>
      </c>
      <c r="I244" s="1046"/>
      <c r="J244" s="620">
        <v>19</v>
      </c>
      <c r="K244" s="624">
        <f>J203</f>
        <v>30</v>
      </c>
      <c r="L244" s="624">
        <f t="shared" ref="L244:N244" si="115">K203</f>
        <v>-1.5</v>
      </c>
      <c r="M244" s="624" t="str">
        <f t="shared" si="115"/>
        <v>-</v>
      </c>
      <c r="N244" s="624">
        <f t="shared" si="115"/>
        <v>0</v>
      </c>
      <c r="O244" s="624">
        <f>N203</f>
        <v>0</v>
      </c>
      <c r="Q244" s="1050"/>
      <c r="R244" s="620">
        <v>19</v>
      </c>
      <c r="S244" s="624">
        <f>Q203</f>
        <v>750</v>
      </c>
      <c r="T244" s="625">
        <f t="shared" ref="T244:V244" si="116">R203</f>
        <v>2.5</v>
      </c>
      <c r="U244" s="625" t="str">
        <f t="shared" si="116"/>
        <v>-</v>
      </c>
      <c r="V244" s="625">
        <f t="shared" si="116"/>
        <v>0</v>
      </c>
      <c r="W244" s="625">
        <f>U203</f>
        <v>0</v>
      </c>
      <c r="Y244" s="627">
        <v>20</v>
      </c>
      <c r="Z244" s="628">
        <f>X212</f>
        <v>0</v>
      </c>
      <c r="AE244" s="605"/>
      <c r="AL244" s="605"/>
    </row>
    <row r="245" spans="1:38" ht="13.5" thickBot="1" x14ac:dyDescent="0.35">
      <c r="A245" s="1046"/>
      <c r="B245" s="620">
        <v>20</v>
      </c>
      <c r="C245" s="624">
        <f>C214</f>
        <v>14.8</v>
      </c>
      <c r="D245" s="624">
        <f t="shared" ref="D245:F245" si="117">D214</f>
        <v>9.9999999999999995E-7</v>
      </c>
      <c r="E245" s="624" t="str">
        <f t="shared" si="117"/>
        <v>-</v>
      </c>
      <c r="F245" s="624">
        <f t="shared" si="117"/>
        <v>9.9999999999999995E-7</v>
      </c>
      <c r="G245" s="624">
        <f>G214</f>
        <v>0</v>
      </c>
      <c r="I245" s="1046"/>
      <c r="J245" s="620">
        <v>20</v>
      </c>
      <c r="K245" s="624">
        <f>J214</f>
        <v>45.7</v>
      </c>
      <c r="L245" s="624">
        <f t="shared" ref="L245:N245" si="118">K214</f>
        <v>9.9999999999999995E-7</v>
      </c>
      <c r="M245" s="624" t="str">
        <f t="shared" si="118"/>
        <v>-</v>
      </c>
      <c r="N245" s="624">
        <f t="shared" si="118"/>
        <v>0</v>
      </c>
      <c r="O245" s="624">
        <f>N214</f>
        <v>0</v>
      </c>
      <c r="Q245" s="1051"/>
      <c r="R245" s="629">
        <v>20</v>
      </c>
      <c r="S245" s="630">
        <f>Q214</f>
        <v>750</v>
      </c>
      <c r="T245" s="631" t="str">
        <f t="shared" ref="T245:V245" si="119">R214</f>
        <v>-</v>
      </c>
      <c r="U245" s="631" t="str">
        <f t="shared" si="119"/>
        <v>-</v>
      </c>
      <c r="V245" s="631">
        <f t="shared" si="119"/>
        <v>0</v>
      </c>
      <c r="W245" s="631">
        <f>U214</f>
        <v>0</v>
      </c>
      <c r="Y245" s="632"/>
      <c r="AE245" s="633"/>
      <c r="AL245" s="605"/>
    </row>
    <row r="246" spans="1:38" ht="13.5" thickBot="1" x14ac:dyDescent="0.35">
      <c r="A246" s="510"/>
      <c r="B246" s="510"/>
      <c r="C246" s="441"/>
      <c r="D246" s="441"/>
      <c r="E246" s="441"/>
      <c r="F246" s="441"/>
      <c r="G246" s="441"/>
      <c r="I246" s="510"/>
      <c r="J246" s="510"/>
      <c r="K246" s="441"/>
      <c r="L246" s="441"/>
      <c r="M246" s="441"/>
      <c r="N246" s="441"/>
      <c r="O246" s="441"/>
      <c r="Q246" s="634"/>
      <c r="R246" s="634"/>
      <c r="S246" s="635"/>
      <c r="T246" s="636"/>
      <c r="U246" s="636"/>
      <c r="V246" s="636"/>
      <c r="W246" s="636"/>
      <c r="Y246" s="637"/>
      <c r="AE246" s="637"/>
      <c r="AL246" s="637"/>
    </row>
    <row r="247" spans="1:38" ht="13" x14ac:dyDescent="0.3">
      <c r="A247" s="1046">
        <v>2</v>
      </c>
      <c r="B247" s="620">
        <v>1</v>
      </c>
      <c r="C247" s="624">
        <f>C6</f>
        <v>20</v>
      </c>
      <c r="D247" s="624">
        <f t="shared" ref="D247:F247" si="120">D6</f>
        <v>-0.2</v>
      </c>
      <c r="E247" s="624">
        <f t="shared" si="120"/>
        <v>0.2</v>
      </c>
      <c r="F247" s="624">
        <f t="shared" si="120"/>
        <v>0</v>
      </c>
      <c r="G247" s="624">
        <f>G6</f>
        <v>0.2</v>
      </c>
      <c r="I247" s="1046">
        <v>2</v>
      </c>
      <c r="J247" s="620">
        <v>1</v>
      </c>
      <c r="K247" s="624">
        <f>J6</f>
        <v>40</v>
      </c>
      <c r="L247" s="624">
        <f t="shared" ref="L247:N247" si="121">K6</f>
        <v>-6</v>
      </c>
      <c r="M247" s="624">
        <f t="shared" si="121"/>
        <v>-8.6</v>
      </c>
      <c r="N247" s="624">
        <f t="shared" si="121"/>
        <v>0</v>
      </c>
      <c r="O247" s="624">
        <f>N6</f>
        <v>1.2999999999999998</v>
      </c>
      <c r="Q247" s="1047">
        <v>2</v>
      </c>
      <c r="R247" s="638">
        <v>1</v>
      </c>
      <c r="S247" s="639">
        <f>Q6</f>
        <v>800</v>
      </c>
      <c r="T247" s="640" t="str">
        <f t="shared" ref="T247:V247" si="122">R6</f>
        <v>-</v>
      </c>
      <c r="U247" s="640" t="str">
        <f t="shared" si="122"/>
        <v>-</v>
      </c>
      <c r="V247" s="640">
        <f t="shared" si="122"/>
        <v>0</v>
      </c>
      <c r="W247" s="640">
        <f>U6</f>
        <v>0</v>
      </c>
      <c r="Y247" s="1036" t="s">
        <v>251</v>
      </c>
      <c r="Z247" s="1037"/>
      <c r="AE247" s="641"/>
    </row>
    <row r="248" spans="1:38" ht="13" x14ac:dyDescent="0.3">
      <c r="A248" s="1046"/>
      <c r="B248" s="620">
        <v>2</v>
      </c>
      <c r="C248" s="624">
        <f>C17</f>
        <v>20</v>
      </c>
      <c r="D248" s="624">
        <f t="shared" ref="D248:F248" si="123">D17</f>
        <v>0.2</v>
      </c>
      <c r="E248" s="624">
        <f t="shared" si="123"/>
        <v>0.7</v>
      </c>
      <c r="F248" s="624">
        <f t="shared" si="123"/>
        <v>-0.1</v>
      </c>
      <c r="G248" s="624">
        <f>G17</f>
        <v>0.39999999999999997</v>
      </c>
      <c r="I248" s="1046"/>
      <c r="J248" s="620">
        <v>2</v>
      </c>
      <c r="K248" s="624">
        <f>J17</f>
        <v>40</v>
      </c>
      <c r="L248" s="624">
        <f t="shared" ref="L248:N248" si="124">K17</f>
        <v>-10.3</v>
      </c>
      <c r="M248" s="624">
        <f t="shared" si="124"/>
        <v>-6.2</v>
      </c>
      <c r="N248" s="624">
        <f t="shared" si="124"/>
        <v>-1.6</v>
      </c>
      <c r="O248" s="624">
        <f>N17</f>
        <v>4.3500000000000005</v>
      </c>
      <c r="Q248" s="1046"/>
      <c r="R248" s="620">
        <v>2</v>
      </c>
      <c r="S248" s="624">
        <f>Q17</f>
        <v>800</v>
      </c>
      <c r="T248" s="625" t="str">
        <f t="shared" ref="T248:V248" si="125">R17</f>
        <v>-</v>
      </c>
      <c r="U248" s="625" t="str">
        <f t="shared" si="125"/>
        <v>-</v>
      </c>
      <c r="V248" s="625">
        <f t="shared" si="125"/>
        <v>0</v>
      </c>
      <c r="W248" s="625">
        <f>U17</f>
        <v>0</v>
      </c>
      <c r="Y248" s="1043" t="s">
        <v>326</v>
      </c>
      <c r="Z248" s="1044"/>
      <c r="AE248" s="605"/>
    </row>
    <row r="249" spans="1:38" ht="13" x14ac:dyDescent="0.3">
      <c r="A249" s="1046"/>
      <c r="B249" s="620">
        <v>3</v>
      </c>
      <c r="C249" s="620">
        <f>C28</f>
        <v>20</v>
      </c>
      <c r="D249" s="620">
        <f t="shared" ref="D249:F249" si="126">D28</f>
        <v>0.2</v>
      </c>
      <c r="E249" s="620">
        <f t="shared" si="126"/>
        <v>1</v>
      </c>
      <c r="F249" s="620">
        <f t="shared" si="126"/>
        <v>9.9999999999999995E-7</v>
      </c>
      <c r="G249" s="620">
        <f>G28</f>
        <v>0.49999949999999999</v>
      </c>
      <c r="I249" s="1046"/>
      <c r="J249" s="620">
        <v>3</v>
      </c>
      <c r="K249" s="620">
        <f>J28</f>
        <v>40</v>
      </c>
      <c r="L249" s="620">
        <f t="shared" ref="L249:N249" si="127">K28</f>
        <v>-9.6999999999999993</v>
      </c>
      <c r="M249" s="620">
        <f t="shared" si="127"/>
        <v>-5.9</v>
      </c>
      <c r="N249" s="620">
        <f t="shared" si="127"/>
        <v>-5.3</v>
      </c>
      <c r="O249" s="620">
        <f>N28</f>
        <v>2.1999999999999997</v>
      </c>
      <c r="Q249" s="1046"/>
      <c r="R249" s="620">
        <v>3</v>
      </c>
      <c r="S249" s="620">
        <f>Q28</f>
        <v>800</v>
      </c>
      <c r="T249" s="621" t="str">
        <f t="shared" ref="T249:V249" si="128">R28</f>
        <v>-</v>
      </c>
      <c r="U249" s="621" t="str">
        <f t="shared" si="128"/>
        <v>-</v>
      </c>
      <c r="V249" s="621">
        <f t="shared" si="128"/>
        <v>0</v>
      </c>
      <c r="W249" s="621">
        <f>U28</f>
        <v>0</v>
      </c>
      <c r="Y249" s="618">
        <v>1</v>
      </c>
      <c r="Z249" s="619">
        <f>X4</f>
        <v>3.1</v>
      </c>
      <c r="AE249" s="605"/>
    </row>
    <row r="250" spans="1:38" ht="13" x14ac:dyDescent="0.3">
      <c r="A250" s="1046"/>
      <c r="B250" s="620">
        <v>4</v>
      </c>
      <c r="C250" s="620">
        <f>C39</f>
        <v>20</v>
      </c>
      <c r="D250" s="620">
        <f t="shared" ref="D250:F250" si="129">D39</f>
        <v>-0.1</v>
      </c>
      <c r="E250" s="620">
        <f t="shared" si="129"/>
        <v>-0.3</v>
      </c>
      <c r="F250" s="620">
        <f t="shared" si="129"/>
        <v>0</v>
      </c>
      <c r="G250" s="620">
        <f>G39</f>
        <v>9.9999999999999992E-2</v>
      </c>
      <c r="I250" s="1046"/>
      <c r="J250" s="620">
        <v>4</v>
      </c>
      <c r="K250" s="620">
        <f>J39</f>
        <v>40</v>
      </c>
      <c r="L250" s="620">
        <f t="shared" ref="L250:N250" si="130">K39</f>
        <v>-4.4000000000000004</v>
      </c>
      <c r="M250" s="620">
        <f t="shared" si="130"/>
        <v>-1.5</v>
      </c>
      <c r="N250" s="620">
        <f t="shared" si="130"/>
        <v>0</v>
      </c>
      <c r="O250" s="620">
        <f>N39</f>
        <v>1.4500000000000002</v>
      </c>
      <c r="Q250" s="1046"/>
      <c r="R250" s="620">
        <v>4</v>
      </c>
      <c r="S250" s="620">
        <f>Q39</f>
        <v>800</v>
      </c>
      <c r="T250" s="621" t="str">
        <f t="shared" ref="T250:V250" si="131">R39</f>
        <v>-</v>
      </c>
      <c r="U250" s="621" t="str">
        <f t="shared" si="131"/>
        <v>-</v>
      </c>
      <c r="V250" s="621">
        <f t="shared" si="131"/>
        <v>0</v>
      </c>
      <c r="W250" s="621">
        <f>U39</f>
        <v>0</v>
      </c>
      <c r="Y250" s="622">
        <v>2</v>
      </c>
      <c r="Z250" s="619">
        <f>X15</f>
        <v>3.3</v>
      </c>
      <c r="AE250" s="605"/>
    </row>
    <row r="251" spans="1:38" ht="13" x14ac:dyDescent="0.3">
      <c r="A251" s="1046"/>
      <c r="B251" s="620">
        <v>5</v>
      </c>
      <c r="C251" s="620">
        <f>C50</f>
        <v>20</v>
      </c>
      <c r="D251" s="620">
        <f t="shared" ref="D251:F251" si="132">D50</f>
        <v>0.4</v>
      </c>
      <c r="E251" s="620">
        <f t="shared" si="132"/>
        <v>0.1</v>
      </c>
      <c r="F251" s="620">
        <f t="shared" si="132"/>
        <v>0.3</v>
      </c>
      <c r="G251" s="620">
        <f>G50</f>
        <v>0.15000000000000002</v>
      </c>
      <c r="I251" s="1046"/>
      <c r="J251" s="620">
        <v>5</v>
      </c>
      <c r="K251" s="620">
        <f>J50</f>
        <v>40</v>
      </c>
      <c r="L251" s="620">
        <f t="shared" ref="L251:N251" si="133">K50</f>
        <v>-9.6</v>
      </c>
      <c r="M251" s="620">
        <f t="shared" si="133"/>
        <v>-7.2</v>
      </c>
      <c r="N251" s="620">
        <f t="shared" si="133"/>
        <v>-8</v>
      </c>
      <c r="O251" s="620">
        <f>N50</f>
        <v>1.1999999999999997</v>
      </c>
      <c r="Q251" s="1046"/>
      <c r="R251" s="620">
        <v>5</v>
      </c>
      <c r="S251" s="620">
        <f>Q50</f>
        <v>800</v>
      </c>
      <c r="T251" s="621" t="str">
        <f t="shared" ref="T251:V251" si="134">R50</f>
        <v>-</v>
      </c>
      <c r="U251" s="621" t="str">
        <f t="shared" si="134"/>
        <v>-</v>
      </c>
      <c r="V251" s="621">
        <f t="shared" si="134"/>
        <v>0</v>
      </c>
      <c r="W251" s="621">
        <f>U50</f>
        <v>0</v>
      </c>
      <c r="Y251" s="622">
        <v>3</v>
      </c>
      <c r="Z251" s="623">
        <f>X26</f>
        <v>2.4</v>
      </c>
      <c r="AE251" s="605"/>
    </row>
    <row r="252" spans="1:38" ht="13" x14ac:dyDescent="0.3">
      <c r="A252" s="1046"/>
      <c r="B252" s="620">
        <v>6</v>
      </c>
      <c r="C252" s="620">
        <f>C61</f>
        <v>20</v>
      </c>
      <c r="D252" s="620">
        <f t="shared" ref="D252:F252" si="135">D61</f>
        <v>0.3</v>
      </c>
      <c r="E252" s="620">
        <f t="shared" si="135"/>
        <v>0.2</v>
      </c>
      <c r="F252" s="620">
        <f t="shared" si="135"/>
        <v>0</v>
      </c>
      <c r="G252" s="620">
        <f>G61</f>
        <v>4.9999999999999989E-2</v>
      </c>
      <c r="I252" s="1046"/>
      <c r="J252" s="620">
        <v>6</v>
      </c>
      <c r="K252" s="620">
        <f>J61</f>
        <v>40</v>
      </c>
      <c r="L252" s="620">
        <f t="shared" ref="L252:N252" si="136">K61</f>
        <v>-3.8</v>
      </c>
      <c r="M252" s="620">
        <f t="shared" si="136"/>
        <v>1.5</v>
      </c>
      <c r="N252" s="620">
        <f t="shared" si="136"/>
        <v>0</v>
      </c>
      <c r="O252" s="620">
        <f>N61</f>
        <v>2.65</v>
      </c>
      <c r="Q252" s="1046"/>
      <c r="R252" s="620">
        <v>6</v>
      </c>
      <c r="S252" s="620">
        <f>Q61</f>
        <v>800</v>
      </c>
      <c r="T252" s="621">
        <f t="shared" ref="T252:V252" si="137">R61</f>
        <v>0.9</v>
      </c>
      <c r="U252" s="621">
        <f t="shared" si="137"/>
        <v>1.6</v>
      </c>
      <c r="V252" s="621">
        <f t="shared" si="137"/>
        <v>0</v>
      </c>
      <c r="W252" s="621">
        <f>U61</f>
        <v>0.35000000000000003</v>
      </c>
      <c r="Y252" s="622">
        <v>4</v>
      </c>
      <c r="Z252" s="623">
        <f>X37</f>
        <v>1.3</v>
      </c>
      <c r="AE252" s="605"/>
    </row>
    <row r="253" spans="1:38" ht="13" x14ac:dyDescent="0.3">
      <c r="A253" s="1046"/>
      <c r="B253" s="620">
        <v>7</v>
      </c>
      <c r="C253" s="620">
        <f>C72</f>
        <v>20</v>
      </c>
      <c r="D253" s="620">
        <f t="shared" ref="D253:F253" si="138">D72</f>
        <v>0</v>
      </c>
      <c r="E253" s="620">
        <f t="shared" si="138"/>
        <v>9.9999999999999995E-7</v>
      </c>
      <c r="F253" s="620">
        <f t="shared" si="138"/>
        <v>0.1</v>
      </c>
      <c r="G253" s="620">
        <f>G72</f>
        <v>0.05</v>
      </c>
      <c r="I253" s="1046"/>
      <c r="J253" s="620">
        <v>7</v>
      </c>
      <c r="K253" s="620">
        <f>J72</f>
        <v>40</v>
      </c>
      <c r="L253" s="620">
        <f t="shared" ref="L253:N253" si="139">K72</f>
        <v>-2</v>
      </c>
      <c r="M253" s="620">
        <f t="shared" si="139"/>
        <v>-1.9</v>
      </c>
      <c r="N253" s="620">
        <f t="shared" si="139"/>
        <v>1.2</v>
      </c>
      <c r="O253" s="620">
        <f>N72</f>
        <v>1.6</v>
      </c>
      <c r="Q253" s="1046"/>
      <c r="R253" s="620">
        <v>7</v>
      </c>
      <c r="S253" s="620">
        <f>Q72</f>
        <v>970</v>
      </c>
      <c r="T253" s="621">
        <f t="shared" ref="T253:V253" si="140">R72</f>
        <v>0.6</v>
      </c>
      <c r="U253" s="621" t="str">
        <f t="shared" si="140"/>
        <v>-</v>
      </c>
      <c r="V253" s="621" t="str">
        <f t="shared" si="140"/>
        <v>-</v>
      </c>
      <c r="W253" s="621">
        <f>U72</f>
        <v>0</v>
      </c>
      <c r="Y253" s="622">
        <v>5</v>
      </c>
      <c r="Z253" s="623">
        <f>X48</f>
        <v>2.2999999999999998</v>
      </c>
      <c r="AE253" s="605"/>
    </row>
    <row r="254" spans="1:38" ht="13" x14ac:dyDescent="0.3">
      <c r="A254" s="1046"/>
      <c r="B254" s="620">
        <v>8</v>
      </c>
      <c r="C254" s="620">
        <f>C83</f>
        <v>20</v>
      </c>
      <c r="D254" s="620">
        <f t="shared" ref="D254:F254" si="141">D83</f>
        <v>9.9999999999999995E-7</v>
      </c>
      <c r="E254" s="620">
        <f t="shared" si="141"/>
        <v>-0.2</v>
      </c>
      <c r="F254" s="620">
        <f t="shared" si="141"/>
        <v>0</v>
      </c>
      <c r="G254" s="620">
        <f>G83</f>
        <v>0.10000050000000001</v>
      </c>
      <c r="I254" s="1046"/>
      <c r="J254" s="620">
        <v>8</v>
      </c>
      <c r="K254" s="620">
        <f>J83</f>
        <v>40</v>
      </c>
      <c r="L254" s="620">
        <f t="shared" ref="L254:N254" si="142">K83</f>
        <v>-3.8</v>
      </c>
      <c r="M254" s="620">
        <f t="shared" si="142"/>
        <v>-1.2</v>
      </c>
      <c r="N254" s="620">
        <f t="shared" si="142"/>
        <v>0</v>
      </c>
      <c r="O254" s="620">
        <f>N83</f>
        <v>1.2999999999999998</v>
      </c>
      <c r="Q254" s="1046"/>
      <c r="R254" s="620">
        <v>8</v>
      </c>
      <c r="S254" s="620">
        <f>Q83</f>
        <v>800</v>
      </c>
      <c r="T254" s="621">
        <f t="shared" ref="T254:V254" si="143">R83</f>
        <v>9.9999999999999995E-7</v>
      </c>
      <c r="U254" s="621">
        <f t="shared" si="143"/>
        <v>9.9999999999999995E-7</v>
      </c>
      <c r="V254" s="621">
        <f t="shared" si="143"/>
        <v>0</v>
      </c>
      <c r="W254" s="621">
        <f>U83</f>
        <v>0</v>
      </c>
      <c r="Y254" s="618">
        <v>6</v>
      </c>
      <c r="Z254" s="619">
        <f>X59</f>
        <v>2.6</v>
      </c>
      <c r="AE254" s="605"/>
    </row>
    <row r="255" spans="1:38" ht="13" x14ac:dyDescent="0.3">
      <c r="A255" s="1046"/>
      <c r="B255" s="620">
        <v>9</v>
      </c>
      <c r="C255" s="620">
        <f>C94</f>
        <v>20</v>
      </c>
      <c r="D255" s="620">
        <f t="shared" ref="D255:F255" si="144">D94</f>
        <v>-0.2</v>
      </c>
      <c r="E255" s="620" t="str">
        <f t="shared" si="144"/>
        <v>-</v>
      </c>
      <c r="F255" s="620">
        <f t="shared" si="144"/>
        <v>0</v>
      </c>
      <c r="G255" s="620">
        <f>G94</f>
        <v>0</v>
      </c>
      <c r="I255" s="1046"/>
      <c r="J255" s="620">
        <v>9</v>
      </c>
      <c r="K255" s="620">
        <f>J94</f>
        <v>40</v>
      </c>
      <c r="L255" s="620">
        <f t="shared" ref="L255:N255" si="145">K94</f>
        <v>-1</v>
      </c>
      <c r="M255" s="620" t="str">
        <f t="shared" si="145"/>
        <v>-</v>
      </c>
      <c r="N255" s="620">
        <f t="shared" si="145"/>
        <v>0</v>
      </c>
      <c r="O255" s="620">
        <f>N94</f>
        <v>0</v>
      </c>
      <c r="Q255" s="1046"/>
      <c r="R255" s="620">
        <v>9</v>
      </c>
      <c r="S255" s="620">
        <f>Q94</f>
        <v>800</v>
      </c>
      <c r="T255" s="621">
        <f t="shared" ref="T255:V255" si="146">R94</f>
        <v>9.9999999999999995E-7</v>
      </c>
      <c r="U255" s="621" t="str">
        <f t="shared" si="146"/>
        <v>-</v>
      </c>
      <c r="V255" s="621">
        <f t="shared" si="146"/>
        <v>0</v>
      </c>
      <c r="W255" s="621">
        <f>U94</f>
        <v>0</v>
      </c>
      <c r="Y255" s="618">
        <v>7</v>
      </c>
      <c r="Z255" s="619">
        <f>X70</f>
        <v>2.2999999999999998</v>
      </c>
      <c r="AE255" s="605"/>
    </row>
    <row r="256" spans="1:38" ht="13" x14ac:dyDescent="0.3">
      <c r="A256" s="1046"/>
      <c r="B256" s="620">
        <v>10</v>
      </c>
      <c r="C256" s="620">
        <f>C105</f>
        <v>20</v>
      </c>
      <c r="D256" s="620">
        <f t="shared" ref="D256:F256" si="147">D105</f>
        <v>0.2</v>
      </c>
      <c r="E256" s="620">
        <f t="shared" si="147"/>
        <v>-0.7</v>
      </c>
      <c r="F256" s="620">
        <f t="shared" si="147"/>
        <v>0</v>
      </c>
      <c r="G256" s="620">
        <f>G105</f>
        <v>0.44999999999999996</v>
      </c>
      <c r="I256" s="1046"/>
      <c r="J256" s="620">
        <v>10</v>
      </c>
      <c r="K256" s="620">
        <f>J105</f>
        <v>40</v>
      </c>
      <c r="L256" s="620">
        <f t="shared" ref="L256:N256" si="148">K105</f>
        <v>-3.3</v>
      </c>
      <c r="M256" s="620">
        <f t="shared" si="148"/>
        <v>-6.4</v>
      </c>
      <c r="N256" s="620">
        <f t="shared" si="148"/>
        <v>0</v>
      </c>
      <c r="O256" s="620">
        <f>N105</f>
        <v>1.5500000000000003</v>
      </c>
      <c r="Q256" s="1046"/>
      <c r="R256" s="620">
        <v>10</v>
      </c>
      <c r="S256" s="620">
        <f>Q105</f>
        <v>800</v>
      </c>
      <c r="T256" s="621" t="str">
        <f t="shared" ref="T256:V256" si="149">R105</f>
        <v>-</v>
      </c>
      <c r="U256" s="621" t="str">
        <f t="shared" si="149"/>
        <v>-</v>
      </c>
      <c r="V256" s="621">
        <f t="shared" si="149"/>
        <v>0</v>
      </c>
      <c r="W256" s="621">
        <f>U105</f>
        <v>0</v>
      </c>
      <c r="Y256" s="618">
        <v>8</v>
      </c>
      <c r="Z256" s="619">
        <f>X81</f>
        <v>2.5</v>
      </c>
      <c r="AE256" s="605"/>
    </row>
    <row r="257" spans="1:31" ht="13" x14ac:dyDescent="0.3">
      <c r="A257" s="1046"/>
      <c r="B257" s="620">
        <v>11</v>
      </c>
      <c r="C257" s="620">
        <f>C116</f>
        <v>20</v>
      </c>
      <c r="D257" s="620">
        <f t="shared" ref="D257:F257" si="150">D116</f>
        <v>0.4</v>
      </c>
      <c r="E257" s="620">
        <f t="shared" si="150"/>
        <v>0.5</v>
      </c>
      <c r="F257" s="620">
        <f t="shared" si="150"/>
        <v>0</v>
      </c>
      <c r="G257" s="620">
        <f>G116</f>
        <v>4.9999999999999989E-2</v>
      </c>
      <c r="I257" s="1046"/>
      <c r="J257" s="620">
        <v>11</v>
      </c>
      <c r="K257" s="620">
        <f>J116</f>
        <v>40</v>
      </c>
      <c r="L257" s="620">
        <f t="shared" ref="L257:N257" si="151">K116</f>
        <v>-5.5</v>
      </c>
      <c r="M257" s="620">
        <f t="shared" si="151"/>
        <v>-5.9</v>
      </c>
      <c r="N257" s="620">
        <f t="shared" si="151"/>
        <v>0</v>
      </c>
      <c r="O257" s="620">
        <f>N116</f>
        <v>0.20000000000000018</v>
      </c>
      <c r="Q257" s="1046"/>
      <c r="R257" s="620">
        <v>11</v>
      </c>
      <c r="S257" s="620">
        <f>Q116</f>
        <v>800</v>
      </c>
      <c r="T257" s="621" t="str">
        <f t="shared" ref="T257:V257" si="152">R116</f>
        <v>-</v>
      </c>
      <c r="U257" s="621" t="str">
        <f t="shared" si="152"/>
        <v>-</v>
      </c>
      <c r="V257" s="621">
        <f t="shared" si="152"/>
        <v>0</v>
      </c>
      <c r="W257" s="621">
        <f>U116</f>
        <v>0</v>
      </c>
      <c r="Y257" s="618">
        <v>9</v>
      </c>
      <c r="Z257" s="619">
        <f>X92</f>
        <v>2.4</v>
      </c>
      <c r="AE257" s="605"/>
    </row>
    <row r="258" spans="1:31" ht="13" x14ac:dyDescent="0.3">
      <c r="A258" s="1046"/>
      <c r="B258" s="620">
        <v>12</v>
      </c>
      <c r="C258" s="620">
        <f>C127</f>
        <v>20</v>
      </c>
      <c r="D258" s="620">
        <f t="shared" ref="D258:F258" si="153">D127</f>
        <v>9.9999999999999995E-7</v>
      </c>
      <c r="E258" s="620" t="str">
        <f t="shared" si="153"/>
        <v>-</v>
      </c>
      <c r="F258" s="620">
        <f t="shared" si="153"/>
        <v>0</v>
      </c>
      <c r="G258" s="620">
        <f>G127</f>
        <v>0</v>
      </c>
      <c r="I258" s="1046"/>
      <c r="J258" s="620">
        <v>12</v>
      </c>
      <c r="K258" s="620">
        <f>J127</f>
        <v>40</v>
      </c>
      <c r="L258" s="620">
        <f t="shared" ref="L258:N258" si="154">K127</f>
        <v>-0.1</v>
      </c>
      <c r="M258" s="620" t="str">
        <f t="shared" si="154"/>
        <v>-</v>
      </c>
      <c r="N258" s="620">
        <f t="shared" si="154"/>
        <v>0</v>
      </c>
      <c r="O258" s="620">
        <f>N127</f>
        <v>0</v>
      </c>
      <c r="Q258" s="1046"/>
      <c r="R258" s="620">
        <v>12</v>
      </c>
      <c r="S258" s="620">
        <f>Q127</f>
        <v>850</v>
      </c>
      <c r="T258" s="621">
        <f t="shared" ref="T258:V258" si="155">R127</f>
        <v>-0.5</v>
      </c>
      <c r="U258" s="621" t="str">
        <f t="shared" si="155"/>
        <v>-</v>
      </c>
      <c r="V258" s="621">
        <f t="shared" si="155"/>
        <v>0</v>
      </c>
      <c r="W258" s="621">
        <f>U127</f>
        <v>0</v>
      </c>
      <c r="Y258" s="618">
        <v>10</v>
      </c>
      <c r="Z258" s="619">
        <f>X103</f>
        <v>1.5</v>
      </c>
      <c r="AE258" s="605"/>
    </row>
    <row r="259" spans="1:31" ht="13" x14ac:dyDescent="0.3">
      <c r="A259" s="1046"/>
      <c r="B259" s="620">
        <v>13</v>
      </c>
      <c r="C259" s="620">
        <f>C138</f>
        <v>20</v>
      </c>
      <c r="D259" s="620">
        <f t="shared" ref="D259:F259" si="156">D138</f>
        <v>0.2</v>
      </c>
      <c r="E259" s="620">
        <f t="shared" si="156"/>
        <v>-0.4</v>
      </c>
      <c r="F259" s="620" t="str">
        <f t="shared" si="156"/>
        <v>-</v>
      </c>
      <c r="G259" s="620">
        <f>G138</f>
        <v>0</v>
      </c>
      <c r="I259" s="1046"/>
      <c r="J259" s="620">
        <v>13</v>
      </c>
      <c r="K259" s="620">
        <f>J138</f>
        <v>40</v>
      </c>
      <c r="L259" s="620">
        <f t="shared" ref="L259:N259" si="157">K138</f>
        <v>-2</v>
      </c>
      <c r="M259" s="620">
        <f t="shared" si="157"/>
        <v>-1.3</v>
      </c>
      <c r="N259" s="620" t="str">
        <f t="shared" si="157"/>
        <v>-</v>
      </c>
      <c r="O259" s="620">
        <f>N138</f>
        <v>0</v>
      </c>
      <c r="Q259" s="1046"/>
      <c r="R259" s="620">
        <v>13</v>
      </c>
      <c r="S259" s="620">
        <f>Q138</f>
        <v>970</v>
      </c>
      <c r="T259" s="621">
        <f t="shared" ref="T259:V259" si="158">R138</f>
        <v>4</v>
      </c>
      <c r="U259" s="621">
        <f t="shared" si="158"/>
        <v>1</v>
      </c>
      <c r="V259" s="621" t="str">
        <f t="shared" si="158"/>
        <v>-</v>
      </c>
      <c r="W259" s="621">
        <f>U138</f>
        <v>0</v>
      </c>
      <c r="Y259" s="618">
        <v>11</v>
      </c>
      <c r="Z259" s="619">
        <f>X114</f>
        <v>1.8</v>
      </c>
      <c r="AE259" s="605"/>
    </row>
    <row r="260" spans="1:31" ht="13" x14ac:dyDescent="0.3">
      <c r="A260" s="1046"/>
      <c r="B260" s="620">
        <v>14</v>
      </c>
      <c r="C260" s="620">
        <f>C149</f>
        <v>20</v>
      </c>
      <c r="D260" s="620">
        <f t="shared" ref="D260:F260" si="159">D149</f>
        <v>0.2</v>
      </c>
      <c r="E260" s="620">
        <f t="shared" si="159"/>
        <v>-0.1</v>
      </c>
      <c r="F260" s="620" t="str">
        <f t="shared" si="159"/>
        <v>-</v>
      </c>
      <c r="G260" s="620">
        <f>G149</f>
        <v>0</v>
      </c>
      <c r="I260" s="1046"/>
      <c r="J260" s="620">
        <v>14</v>
      </c>
      <c r="K260" s="620">
        <f>J149</f>
        <v>40</v>
      </c>
      <c r="L260" s="620">
        <f t="shared" ref="L260:N260" si="160">K149</f>
        <v>-0.4</v>
      </c>
      <c r="M260" s="620">
        <f t="shared" si="160"/>
        <v>0.3</v>
      </c>
      <c r="N260" s="620" t="str">
        <f t="shared" si="160"/>
        <v>-</v>
      </c>
      <c r="O260" s="620">
        <f>N149</f>
        <v>0</v>
      </c>
      <c r="Q260" s="1046"/>
      <c r="R260" s="620">
        <v>14</v>
      </c>
      <c r="S260" s="620">
        <f>Q149</f>
        <v>970</v>
      </c>
      <c r="T260" s="621">
        <f t="shared" ref="T260:V260" si="161">R149</f>
        <v>4</v>
      </c>
      <c r="U260" s="621">
        <f t="shared" si="161"/>
        <v>1</v>
      </c>
      <c r="V260" s="621" t="str">
        <f t="shared" si="161"/>
        <v>-</v>
      </c>
      <c r="W260" s="621">
        <f>U149</f>
        <v>0</v>
      </c>
      <c r="Y260" s="618">
        <v>12</v>
      </c>
      <c r="Z260" s="642">
        <f>X125</f>
        <v>2</v>
      </c>
      <c r="AE260" s="605"/>
    </row>
    <row r="261" spans="1:31" ht="13" x14ac:dyDescent="0.3">
      <c r="A261" s="1046"/>
      <c r="B261" s="620">
        <v>15</v>
      </c>
      <c r="C261" s="620">
        <f>C160</f>
        <v>20</v>
      </c>
      <c r="D261" s="620">
        <f t="shared" ref="D261:F261" si="162">D160</f>
        <v>0.3</v>
      </c>
      <c r="E261" s="620">
        <f t="shared" si="162"/>
        <v>-0.5</v>
      </c>
      <c r="F261" s="620" t="str">
        <f t="shared" si="162"/>
        <v>-</v>
      </c>
      <c r="G261" s="620">
        <f>G160</f>
        <v>0</v>
      </c>
      <c r="I261" s="1046"/>
      <c r="J261" s="620">
        <v>15</v>
      </c>
      <c r="K261" s="620">
        <f>J160</f>
        <v>40</v>
      </c>
      <c r="L261" s="620">
        <f t="shared" ref="L261:N261" si="163">K160</f>
        <v>-1.7</v>
      </c>
      <c r="M261" s="620">
        <f t="shared" si="163"/>
        <v>-0.3</v>
      </c>
      <c r="N261" s="620" t="str">
        <f t="shared" si="163"/>
        <v>-</v>
      </c>
      <c r="O261" s="620">
        <f>N160</f>
        <v>0</v>
      </c>
      <c r="Q261" s="1046"/>
      <c r="R261" s="620">
        <v>15</v>
      </c>
      <c r="S261" s="620">
        <f>Q160</f>
        <v>970</v>
      </c>
      <c r="T261" s="621">
        <f t="shared" ref="T261:V261" si="164">R160</f>
        <v>4.5</v>
      </c>
      <c r="U261" s="621">
        <f t="shared" si="164"/>
        <v>1</v>
      </c>
      <c r="V261" s="621" t="str">
        <f t="shared" si="164"/>
        <v>-</v>
      </c>
      <c r="W261" s="621">
        <f>U160</f>
        <v>0</v>
      </c>
      <c r="Y261" s="618">
        <v>13</v>
      </c>
      <c r="Z261" s="619">
        <f>X136</f>
        <v>2.2999999999999998</v>
      </c>
      <c r="AE261" s="605"/>
    </row>
    <row r="262" spans="1:31" ht="13" x14ac:dyDescent="0.3">
      <c r="A262" s="1046"/>
      <c r="B262" s="620">
        <v>16</v>
      </c>
      <c r="C262" s="620">
        <f>C171</f>
        <v>20</v>
      </c>
      <c r="D262" s="620">
        <f t="shared" ref="D262:F262" si="165">D171</f>
        <v>0.3</v>
      </c>
      <c r="E262" s="620">
        <f t="shared" si="165"/>
        <v>0.2</v>
      </c>
      <c r="F262" s="620">
        <f t="shared" si="165"/>
        <v>0</v>
      </c>
      <c r="G262" s="620">
        <f>G171</f>
        <v>4.9999999999999989E-2</v>
      </c>
      <c r="I262" s="1046"/>
      <c r="J262" s="620">
        <v>16</v>
      </c>
      <c r="K262" s="620">
        <f>J171</f>
        <v>40</v>
      </c>
      <c r="L262" s="620">
        <f t="shared" ref="L262:N262" si="166">K171</f>
        <v>-2.2999999999999998</v>
      </c>
      <c r="M262" s="620">
        <f t="shared" si="166"/>
        <v>-1.4</v>
      </c>
      <c r="N262" s="620">
        <f t="shared" si="166"/>
        <v>0</v>
      </c>
      <c r="O262" s="620">
        <f>N171</f>
        <v>0.44999999999999996</v>
      </c>
      <c r="Q262" s="1046"/>
      <c r="R262" s="620">
        <v>16</v>
      </c>
      <c r="S262" s="620">
        <f>Q171</f>
        <v>970</v>
      </c>
      <c r="T262" s="621">
        <f t="shared" ref="T262:V262" si="167">R171</f>
        <v>4.5</v>
      </c>
      <c r="U262" s="621" t="str">
        <f t="shared" si="167"/>
        <v>-</v>
      </c>
      <c r="V262" s="621">
        <f t="shared" si="167"/>
        <v>0</v>
      </c>
      <c r="W262" s="621">
        <f>U171</f>
        <v>0</v>
      </c>
      <c r="Y262" s="618">
        <v>14</v>
      </c>
      <c r="Z262" s="619">
        <f>X147</f>
        <v>2.7</v>
      </c>
      <c r="AE262" s="605"/>
    </row>
    <row r="263" spans="1:31" ht="13" x14ac:dyDescent="0.3">
      <c r="A263" s="1046"/>
      <c r="B263" s="620">
        <v>17</v>
      </c>
      <c r="C263" s="620">
        <f>C182</f>
        <v>20</v>
      </c>
      <c r="D263" s="620">
        <f t="shared" ref="D263:F263" si="168">D182</f>
        <v>0.4</v>
      </c>
      <c r="E263" s="620">
        <f t="shared" si="168"/>
        <v>0.1</v>
      </c>
      <c r="F263" s="620">
        <f t="shared" si="168"/>
        <v>0</v>
      </c>
      <c r="G263" s="620">
        <f>G182</f>
        <v>0.15000000000000002</v>
      </c>
      <c r="I263" s="1046"/>
      <c r="J263" s="620">
        <v>17</v>
      </c>
      <c r="K263" s="620">
        <f>J182</f>
        <v>40</v>
      </c>
      <c r="L263" s="620">
        <f t="shared" ref="L263:N263" si="169">K182</f>
        <v>-2.4</v>
      </c>
      <c r="M263" s="620">
        <f t="shared" si="169"/>
        <v>0.2</v>
      </c>
      <c r="N263" s="620">
        <f t="shared" si="169"/>
        <v>0</v>
      </c>
      <c r="O263" s="620">
        <f>N182</f>
        <v>1.3</v>
      </c>
      <c r="Q263" s="1046"/>
      <c r="R263" s="620">
        <v>17</v>
      </c>
      <c r="S263" s="620">
        <f>Q182</f>
        <v>970</v>
      </c>
      <c r="T263" s="621">
        <f t="shared" ref="T263:V263" si="170">R182</f>
        <v>4.5999999999999996</v>
      </c>
      <c r="U263" s="621">
        <f t="shared" si="170"/>
        <v>-0.6</v>
      </c>
      <c r="V263" s="621">
        <f t="shared" si="170"/>
        <v>0</v>
      </c>
      <c r="W263" s="621">
        <f>U182</f>
        <v>2.5999999999999996</v>
      </c>
      <c r="Y263" s="618">
        <v>15</v>
      </c>
      <c r="Z263" s="619">
        <f>X158</f>
        <v>2.6</v>
      </c>
      <c r="AE263" s="605"/>
    </row>
    <row r="264" spans="1:31" ht="13" x14ac:dyDescent="0.3">
      <c r="A264" s="1046"/>
      <c r="B264" s="620">
        <v>18</v>
      </c>
      <c r="C264" s="620">
        <f>C193</f>
        <v>20</v>
      </c>
      <c r="D264" s="620">
        <f t="shared" ref="D264:F264" si="171">D193</f>
        <v>0.2</v>
      </c>
      <c r="E264" s="620">
        <f t="shared" si="171"/>
        <v>-0.1</v>
      </c>
      <c r="F264" s="620">
        <f t="shared" si="171"/>
        <v>0</v>
      </c>
      <c r="G264" s="620">
        <f>G193</f>
        <v>0.15000000000000002</v>
      </c>
      <c r="I264" s="1046"/>
      <c r="J264" s="620">
        <v>18</v>
      </c>
      <c r="K264" s="620">
        <f>J193</f>
        <v>40</v>
      </c>
      <c r="L264" s="620">
        <f t="shared" ref="L264:N264" si="172">K193</f>
        <v>-2.9</v>
      </c>
      <c r="M264" s="620">
        <f t="shared" si="172"/>
        <v>-0.2</v>
      </c>
      <c r="N264" s="620">
        <f t="shared" si="172"/>
        <v>0</v>
      </c>
      <c r="O264" s="620">
        <f>N193</f>
        <v>1.3499999999999999</v>
      </c>
      <c r="Q264" s="1046"/>
      <c r="R264" s="620">
        <v>18</v>
      </c>
      <c r="S264" s="620">
        <f>Q193</f>
        <v>970</v>
      </c>
      <c r="T264" s="621">
        <f t="shared" ref="T264:V264" si="173">R193</f>
        <v>4.5</v>
      </c>
      <c r="U264" s="621" t="str">
        <f t="shared" si="173"/>
        <v>-</v>
      </c>
      <c r="V264" s="621">
        <f t="shared" si="173"/>
        <v>0</v>
      </c>
      <c r="W264" s="621">
        <f>U193</f>
        <v>0</v>
      </c>
      <c r="Y264" s="618">
        <v>16</v>
      </c>
      <c r="Z264" s="619">
        <f>X169</f>
        <v>2.2999999999999998</v>
      </c>
      <c r="AE264" s="605"/>
    </row>
    <row r="265" spans="1:31" ht="13" x14ac:dyDescent="0.3">
      <c r="A265" s="1046"/>
      <c r="B265" s="620">
        <v>19</v>
      </c>
      <c r="C265" s="620">
        <f>C204</f>
        <v>20</v>
      </c>
      <c r="D265" s="620">
        <f t="shared" ref="D265:F265" si="174">D204</f>
        <v>0.1</v>
      </c>
      <c r="E265" s="620" t="str">
        <f t="shared" si="174"/>
        <v>-</v>
      </c>
      <c r="F265" s="620">
        <f t="shared" si="174"/>
        <v>0</v>
      </c>
      <c r="G265" s="620">
        <f>G204</f>
        <v>0</v>
      </c>
      <c r="I265" s="1046"/>
      <c r="J265" s="620">
        <v>19</v>
      </c>
      <c r="K265" s="620">
        <f>J204</f>
        <v>40</v>
      </c>
      <c r="L265" s="620">
        <f t="shared" ref="L265:N265" si="175">K204</f>
        <v>-0.8</v>
      </c>
      <c r="M265" s="620" t="str">
        <f t="shared" si="175"/>
        <v>-</v>
      </c>
      <c r="N265" s="620">
        <f t="shared" si="175"/>
        <v>0</v>
      </c>
      <c r="O265" s="620">
        <f>N204</f>
        <v>0</v>
      </c>
      <c r="Q265" s="1046"/>
      <c r="R265" s="620">
        <v>19</v>
      </c>
      <c r="S265" s="620">
        <f>Q204</f>
        <v>800</v>
      </c>
      <c r="T265" s="621">
        <f t="shared" ref="T265:V265" si="176">R204</f>
        <v>2.5</v>
      </c>
      <c r="U265" s="621" t="str">
        <f t="shared" si="176"/>
        <v>-</v>
      </c>
      <c r="V265" s="621">
        <f t="shared" si="176"/>
        <v>0</v>
      </c>
      <c r="W265" s="621">
        <f>U204</f>
        <v>0</v>
      </c>
      <c r="Y265" s="618">
        <v>17</v>
      </c>
      <c r="Z265" s="619">
        <f>X180</f>
        <v>2.2999999999999998</v>
      </c>
      <c r="AE265" s="605"/>
    </row>
    <row r="266" spans="1:31" ht="13.5" thickBot="1" x14ac:dyDescent="0.35">
      <c r="A266" s="1046"/>
      <c r="B266" s="620">
        <v>20</v>
      </c>
      <c r="C266" s="620">
        <f>C215</f>
        <v>19.7</v>
      </c>
      <c r="D266" s="620">
        <f t="shared" ref="D266:F266" si="177">D215</f>
        <v>9.9999999999999995E-7</v>
      </c>
      <c r="E266" s="620" t="str">
        <f t="shared" si="177"/>
        <v>-</v>
      </c>
      <c r="F266" s="620">
        <f t="shared" si="177"/>
        <v>9.9999999999999995E-7</v>
      </c>
      <c r="G266" s="620">
        <f>G215</f>
        <v>0</v>
      </c>
      <c r="I266" s="1046"/>
      <c r="J266" s="620">
        <v>20</v>
      </c>
      <c r="K266" s="620">
        <f>J215</f>
        <v>54.3</v>
      </c>
      <c r="L266" s="620">
        <f t="shared" ref="L266:N266" si="178">K215</f>
        <v>9.9999999999999995E-7</v>
      </c>
      <c r="M266" s="620" t="str">
        <f t="shared" si="178"/>
        <v>-</v>
      </c>
      <c r="N266" s="620">
        <f t="shared" si="178"/>
        <v>0</v>
      </c>
      <c r="O266" s="620">
        <f>N215</f>
        <v>0</v>
      </c>
      <c r="Q266" s="1048"/>
      <c r="R266" s="629">
        <v>20</v>
      </c>
      <c r="S266" s="629">
        <f>Q215</f>
        <v>800</v>
      </c>
      <c r="T266" s="643" t="str">
        <f t="shared" ref="T266:V266" si="179">R215</f>
        <v>-</v>
      </c>
      <c r="U266" s="643" t="str">
        <f t="shared" si="179"/>
        <v>-</v>
      </c>
      <c r="V266" s="643">
        <f t="shared" si="179"/>
        <v>0</v>
      </c>
      <c r="W266" s="643">
        <f>U215</f>
        <v>0</v>
      </c>
      <c r="Y266" s="618">
        <v>18</v>
      </c>
      <c r="Z266" s="619">
        <f>X191</f>
        <v>2.2999999999999998</v>
      </c>
      <c r="AE266" s="633"/>
    </row>
    <row r="267" spans="1:31" ht="13.5" thickBot="1" x14ac:dyDescent="0.35">
      <c r="A267" s="510"/>
      <c r="B267" s="510"/>
      <c r="C267" s="510"/>
      <c r="D267" s="510"/>
      <c r="E267" s="510"/>
      <c r="F267" s="510"/>
      <c r="G267" s="510"/>
      <c r="I267" s="510"/>
      <c r="J267" s="510"/>
      <c r="K267" s="510"/>
      <c r="L267" s="510"/>
      <c r="M267" s="510"/>
      <c r="N267" s="510"/>
      <c r="O267" s="510"/>
      <c r="Q267" s="644"/>
      <c r="R267" s="634"/>
      <c r="S267" s="442"/>
      <c r="T267" s="443"/>
      <c r="U267" s="443"/>
      <c r="V267" s="443"/>
      <c r="W267" s="443"/>
      <c r="Y267" s="618">
        <v>19</v>
      </c>
      <c r="Z267" s="626">
        <f>X202</f>
        <v>1.5</v>
      </c>
      <c r="AE267" s="605"/>
    </row>
    <row r="268" spans="1:31" ht="13.5" thickBot="1" x14ac:dyDescent="0.35">
      <c r="A268" s="1046">
        <v>3</v>
      </c>
      <c r="B268" s="620">
        <v>1</v>
      </c>
      <c r="C268" s="620">
        <f>C7</f>
        <v>25</v>
      </c>
      <c r="D268" s="620">
        <f t="shared" ref="D268:F268" si="180">D7</f>
        <v>9.9999999999999995E-7</v>
      </c>
      <c r="E268" s="620">
        <f t="shared" si="180"/>
        <v>0.1</v>
      </c>
      <c r="F268" s="620">
        <f t="shared" si="180"/>
        <v>0</v>
      </c>
      <c r="G268" s="620">
        <f>G7</f>
        <v>0.05</v>
      </c>
      <c r="I268" s="1046">
        <v>3</v>
      </c>
      <c r="J268" s="620">
        <v>1</v>
      </c>
      <c r="K268" s="620">
        <f>J7</f>
        <v>50</v>
      </c>
      <c r="L268" s="620">
        <f t="shared" ref="L268:N268" si="181">K7</f>
        <v>-5.8</v>
      </c>
      <c r="M268" s="620">
        <f t="shared" si="181"/>
        <v>-7.2</v>
      </c>
      <c r="N268" s="620">
        <f t="shared" si="181"/>
        <v>0</v>
      </c>
      <c r="O268" s="620">
        <f>N7</f>
        <v>0.70000000000000018</v>
      </c>
      <c r="Q268" s="1047">
        <v>3</v>
      </c>
      <c r="R268" s="638">
        <v>1</v>
      </c>
      <c r="S268" s="638">
        <f>Q7</f>
        <v>850</v>
      </c>
      <c r="T268" s="645" t="str">
        <f t="shared" ref="T268:V268" si="182">R7</f>
        <v>-</v>
      </c>
      <c r="U268" s="645" t="str">
        <f t="shared" si="182"/>
        <v>-</v>
      </c>
      <c r="V268" s="645">
        <f t="shared" si="182"/>
        <v>0</v>
      </c>
      <c r="W268" s="645">
        <f>U7</f>
        <v>0</v>
      </c>
      <c r="Y268" s="627">
        <v>20</v>
      </c>
      <c r="Z268" s="628">
        <f>X213</f>
        <v>0</v>
      </c>
      <c r="AE268" s="641"/>
    </row>
    <row r="269" spans="1:31" ht="13" x14ac:dyDescent="0.3">
      <c r="A269" s="1046"/>
      <c r="B269" s="620">
        <v>2</v>
      </c>
      <c r="C269" s="620">
        <f>C18</f>
        <v>25</v>
      </c>
      <c r="D269" s="620">
        <f t="shared" ref="D269:F269" si="183">D18</f>
        <v>0.3</v>
      </c>
      <c r="E269" s="620">
        <f t="shared" si="183"/>
        <v>0.5</v>
      </c>
      <c r="F269" s="620">
        <f t="shared" si="183"/>
        <v>-0.2</v>
      </c>
      <c r="G269" s="620">
        <f>G18</f>
        <v>0.35</v>
      </c>
      <c r="I269" s="1046"/>
      <c r="J269" s="620">
        <v>2</v>
      </c>
      <c r="K269" s="620">
        <f>J18</f>
        <v>50</v>
      </c>
      <c r="L269" s="620">
        <f t="shared" ref="L269:N269" si="184">K18</f>
        <v>-8</v>
      </c>
      <c r="M269" s="620">
        <f t="shared" si="184"/>
        <v>-5.3</v>
      </c>
      <c r="N269" s="620">
        <f t="shared" si="184"/>
        <v>-1.5</v>
      </c>
      <c r="O269" s="620">
        <f>N18</f>
        <v>3.25</v>
      </c>
      <c r="Q269" s="1046"/>
      <c r="R269" s="620">
        <v>2</v>
      </c>
      <c r="S269" s="620">
        <f>Q18</f>
        <v>850</v>
      </c>
      <c r="T269" s="621" t="str">
        <f t="shared" ref="T269:V269" si="185">R18</f>
        <v>-</v>
      </c>
      <c r="U269" s="621" t="str">
        <f t="shared" si="185"/>
        <v>-</v>
      </c>
      <c r="V269" s="621">
        <f t="shared" si="185"/>
        <v>0</v>
      </c>
      <c r="W269" s="621">
        <f>U18</f>
        <v>0</v>
      </c>
      <c r="AE269" s="605"/>
    </row>
    <row r="270" spans="1:31" ht="13.5" thickBot="1" x14ac:dyDescent="0.35">
      <c r="A270" s="1046"/>
      <c r="B270" s="620">
        <v>3</v>
      </c>
      <c r="C270" s="620">
        <f>C29</f>
        <v>25</v>
      </c>
      <c r="D270" s="620">
        <f t="shared" ref="D270:F270" si="186">D29</f>
        <v>0.3</v>
      </c>
      <c r="E270" s="620">
        <f t="shared" si="186"/>
        <v>0.7</v>
      </c>
      <c r="F270" s="620">
        <f t="shared" si="186"/>
        <v>-0.1</v>
      </c>
      <c r="G270" s="620">
        <f>G29</f>
        <v>0.39999999999999997</v>
      </c>
      <c r="I270" s="1046"/>
      <c r="J270" s="620">
        <v>3</v>
      </c>
      <c r="K270" s="620">
        <f>J29</f>
        <v>50</v>
      </c>
      <c r="L270" s="620">
        <f t="shared" ref="L270:N270" si="187">K29</f>
        <v>-7.9</v>
      </c>
      <c r="M270" s="620">
        <f t="shared" si="187"/>
        <v>-4.5</v>
      </c>
      <c r="N270" s="620">
        <f t="shared" si="187"/>
        <v>-4.9000000000000004</v>
      </c>
      <c r="O270" s="620">
        <f>N29</f>
        <v>1.7000000000000002</v>
      </c>
      <c r="Q270" s="1046"/>
      <c r="R270" s="620">
        <v>3</v>
      </c>
      <c r="S270" s="620">
        <f>Q29</f>
        <v>850</v>
      </c>
      <c r="T270" s="621" t="str">
        <f t="shared" ref="T270:V270" si="188">R29</f>
        <v>-</v>
      </c>
      <c r="U270" s="621" t="str">
        <f t="shared" si="188"/>
        <v>-</v>
      </c>
      <c r="V270" s="621">
        <f t="shared" si="188"/>
        <v>0</v>
      </c>
      <c r="W270" s="621">
        <f>U29</f>
        <v>0</v>
      </c>
      <c r="AE270" s="605"/>
    </row>
    <row r="271" spans="1:31" ht="13" x14ac:dyDescent="0.3">
      <c r="A271" s="1046"/>
      <c r="B271" s="620">
        <v>4</v>
      </c>
      <c r="C271" s="620">
        <f>C40</f>
        <v>25</v>
      </c>
      <c r="D271" s="620">
        <f t="shared" ref="D271:F271" si="189">D40</f>
        <v>-0.1</v>
      </c>
      <c r="E271" s="620">
        <f t="shared" si="189"/>
        <v>-0.5</v>
      </c>
      <c r="F271" s="620">
        <f t="shared" si="189"/>
        <v>0</v>
      </c>
      <c r="G271" s="620">
        <f>G40</f>
        <v>0.2</v>
      </c>
      <c r="I271" s="1046"/>
      <c r="J271" s="620">
        <v>4</v>
      </c>
      <c r="K271" s="620">
        <f>J40</f>
        <v>50</v>
      </c>
      <c r="L271" s="620">
        <f t="shared" ref="L271:N271" si="190">K40</f>
        <v>-4.3</v>
      </c>
      <c r="M271" s="620">
        <f t="shared" si="190"/>
        <v>-1</v>
      </c>
      <c r="N271" s="620">
        <f t="shared" si="190"/>
        <v>0</v>
      </c>
      <c r="O271" s="620">
        <f>N40</f>
        <v>1.65</v>
      </c>
      <c r="Q271" s="1046"/>
      <c r="R271" s="620">
        <v>4</v>
      </c>
      <c r="S271" s="620">
        <f>Q40</f>
        <v>850</v>
      </c>
      <c r="T271" s="621" t="str">
        <f t="shared" ref="T271:V271" si="191">R40</f>
        <v>-</v>
      </c>
      <c r="U271" s="621" t="str">
        <f t="shared" si="191"/>
        <v>-</v>
      </c>
      <c r="V271" s="621">
        <f t="shared" si="191"/>
        <v>0</v>
      </c>
      <c r="W271" s="621">
        <f>U40</f>
        <v>0</v>
      </c>
      <c r="Y271" s="1036" t="s">
        <v>251</v>
      </c>
      <c r="Z271" s="1037"/>
      <c r="AE271" s="605"/>
    </row>
    <row r="272" spans="1:31" ht="13" x14ac:dyDescent="0.3">
      <c r="A272" s="1046"/>
      <c r="B272" s="620">
        <v>5</v>
      </c>
      <c r="C272" s="620">
        <f>C51</f>
        <v>25</v>
      </c>
      <c r="D272" s="620">
        <f t="shared" ref="D272:F272" si="192">D51</f>
        <v>0.4</v>
      </c>
      <c r="E272" s="620">
        <f t="shared" si="192"/>
        <v>0.4</v>
      </c>
      <c r="F272" s="620">
        <f t="shared" si="192"/>
        <v>0.2</v>
      </c>
      <c r="G272" s="620">
        <f>G51</f>
        <v>0.1</v>
      </c>
      <c r="I272" s="1046"/>
      <c r="J272" s="620">
        <v>5</v>
      </c>
      <c r="K272" s="620">
        <f>J51</f>
        <v>50</v>
      </c>
      <c r="L272" s="620">
        <f t="shared" ref="L272:N272" si="193">K51</f>
        <v>-8.8000000000000007</v>
      </c>
      <c r="M272" s="620">
        <f t="shared" si="193"/>
        <v>-6.2</v>
      </c>
      <c r="N272" s="620">
        <f t="shared" si="193"/>
        <v>-6.2</v>
      </c>
      <c r="O272" s="620">
        <f>N51</f>
        <v>1.3000000000000003</v>
      </c>
      <c r="Q272" s="1046"/>
      <c r="R272" s="620">
        <v>5</v>
      </c>
      <c r="S272" s="620">
        <f>Q51</f>
        <v>850</v>
      </c>
      <c r="T272" s="621" t="str">
        <f t="shared" ref="T272:V272" si="194">R51</f>
        <v>-</v>
      </c>
      <c r="U272" s="621" t="str">
        <f t="shared" si="194"/>
        <v>-</v>
      </c>
      <c r="V272" s="621">
        <f t="shared" si="194"/>
        <v>0</v>
      </c>
      <c r="W272" s="621">
        <f>U51</f>
        <v>0</v>
      </c>
      <c r="Y272" s="1043" t="s">
        <v>327</v>
      </c>
      <c r="Z272" s="1044"/>
      <c r="AE272" s="605"/>
    </row>
    <row r="273" spans="1:31" ht="13" x14ac:dyDescent="0.3">
      <c r="A273" s="1046"/>
      <c r="B273" s="620">
        <v>6</v>
      </c>
      <c r="C273" s="620">
        <f>C62</f>
        <v>25</v>
      </c>
      <c r="D273" s="620">
        <f t="shared" ref="D273:F273" si="195">D62</f>
        <v>0.2</v>
      </c>
      <c r="E273" s="620">
        <f t="shared" si="195"/>
        <v>-0.1</v>
      </c>
      <c r="F273" s="620">
        <f t="shared" si="195"/>
        <v>0</v>
      </c>
      <c r="G273" s="620">
        <f>G62</f>
        <v>0.15000000000000002</v>
      </c>
      <c r="I273" s="1046"/>
      <c r="J273" s="620">
        <v>6</v>
      </c>
      <c r="K273" s="620">
        <f>J62</f>
        <v>50</v>
      </c>
      <c r="L273" s="620">
        <f t="shared" ref="L273:N273" si="196">K62</f>
        <v>-5.4</v>
      </c>
      <c r="M273" s="620">
        <f t="shared" si="196"/>
        <v>1.2</v>
      </c>
      <c r="N273" s="620">
        <f t="shared" si="196"/>
        <v>0</v>
      </c>
      <c r="O273" s="620">
        <f>N62</f>
        <v>3.3000000000000003</v>
      </c>
      <c r="Q273" s="1046"/>
      <c r="R273" s="620">
        <v>6</v>
      </c>
      <c r="S273" s="620">
        <f>Q62</f>
        <v>850</v>
      </c>
      <c r="T273" s="621">
        <f t="shared" ref="T273:V273" si="197">R62</f>
        <v>0.9</v>
      </c>
      <c r="U273" s="621">
        <f t="shared" si="197"/>
        <v>1.1000000000000001</v>
      </c>
      <c r="V273" s="621">
        <f t="shared" si="197"/>
        <v>0</v>
      </c>
      <c r="W273" s="621">
        <f>U62</f>
        <v>0.10000000000000003</v>
      </c>
      <c r="Y273" s="618">
        <v>1</v>
      </c>
      <c r="Z273" s="619">
        <f>X5</f>
        <v>0</v>
      </c>
      <c r="AE273" s="605"/>
    </row>
    <row r="274" spans="1:31" ht="13" x14ac:dyDescent="0.3">
      <c r="A274" s="1046"/>
      <c r="B274" s="620">
        <v>7</v>
      </c>
      <c r="C274" s="620">
        <f>C73</f>
        <v>25</v>
      </c>
      <c r="D274" s="620">
        <f t="shared" ref="D274:F274" si="198">D73</f>
        <v>-0.1</v>
      </c>
      <c r="E274" s="620">
        <f t="shared" si="198"/>
        <v>9.9999999999999995E-7</v>
      </c>
      <c r="F274" s="620">
        <f t="shared" si="198"/>
        <v>-0.2</v>
      </c>
      <c r="G274" s="620">
        <f>G73</f>
        <v>0.10000050000000001</v>
      </c>
      <c r="I274" s="1046"/>
      <c r="J274" s="620">
        <v>7</v>
      </c>
      <c r="K274" s="620">
        <f>J73</f>
        <v>50</v>
      </c>
      <c r="L274" s="620">
        <f t="shared" ref="L274:N274" si="199">K73</f>
        <v>-2.1</v>
      </c>
      <c r="M274" s="620">
        <f t="shared" si="199"/>
        <v>-1.9</v>
      </c>
      <c r="N274" s="620">
        <f t="shared" si="199"/>
        <v>0.8</v>
      </c>
      <c r="O274" s="620">
        <f>N73</f>
        <v>1.4500000000000002</v>
      </c>
      <c r="Q274" s="1046"/>
      <c r="R274" s="620">
        <v>7</v>
      </c>
      <c r="S274" s="620">
        <f>Q73</f>
        <v>980</v>
      </c>
      <c r="T274" s="621">
        <f t="shared" ref="T274:V274" si="200">R73</f>
        <v>0.5</v>
      </c>
      <c r="U274" s="621" t="str">
        <f t="shared" si="200"/>
        <v>-</v>
      </c>
      <c r="V274" s="621" t="str">
        <f t="shared" si="200"/>
        <v>-</v>
      </c>
      <c r="W274" s="621">
        <f>U73</f>
        <v>0</v>
      </c>
      <c r="Y274" s="622">
        <v>2</v>
      </c>
      <c r="Z274" s="619">
        <f>X16</f>
        <v>0</v>
      </c>
      <c r="AE274" s="605"/>
    </row>
    <row r="275" spans="1:31" ht="13" x14ac:dyDescent="0.3">
      <c r="A275" s="1046"/>
      <c r="B275" s="620">
        <v>8</v>
      </c>
      <c r="C275" s="620">
        <f>C84</f>
        <v>25</v>
      </c>
      <c r="D275" s="620">
        <f t="shared" ref="D275:F275" si="201">D84</f>
        <v>-0.1</v>
      </c>
      <c r="E275" s="620">
        <f t="shared" si="201"/>
        <v>-0.4</v>
      </c>
      <c r="F275" s="620">
        <f t="shared" si="201"/>
        <v>0</v>
      </c>
      <c r="G275" s="620">
        <f>G84</f>
        <v>0.15000000000000002</v>
      </c>
      <c r="I275" s="1046"/>
      <c r="J275" s="620">
        <v>8</v>
      </c>
      <c r="K275" s="620">
        <f>J84</f>
        <v>50</v>
      </c>
      <c r="L275" s="620">
        <f t="shared" ref="L275:N275" si="202">K84</f>
        <v>-3.8</v>
      </c>
      <c r="M275" s="620">
        <f t="shared" si="202"/>
        <v>-1.2</v>
      </c>
      <c r="N275" s="620">
        <f t="shared" si="202"/>
        <v>0</v>
      </c>
      <c r="O275" s="620">
        <f>N84</f>
        <v>1.2999999999999998</v>
      </c>
      <c r="Q275" s="1046"/>
      <c r="R275" s="620">
        <v>8</v>
      </c>
      <c r="S275" s="620">
        <f>Q84</f>
        <v>850</v>
      </c>
      <c r="T275" s="621">
        <f t="shared" ref="T275:V275" si="203">R84</f>
        <v>9.9999999999999995E-7</v>
      </c>
      <c r="U275" s="621">
        <f t="shared" si="203"/>
        <v>9.9999999999999995E-7</v>
      </c>
      <c r="V275" s="621">
        <f t="shared" si="203"/>
        <v>0</v>
      </c>
      <c r="W275" s="621">
        <f>U84</f>
        <v>0</v>
      </c>
      <c r="Y275" s="622">
        <v>3</v>
      </c>
      <c r="Z275" s="623">
        <f>X27</f>
        <v>0</v>
      </c>
      <c r="AE275" s="605"/>
    </row>
    <row r="276" spans="1:31" ht="13" x14ac:dyDescent="0.3">
      <c r="A276" s="1046"/>
      <c r="B276" s="620">
        <v>9</v>
      </c>
      <c r="C276" s="620">
        <f>C95</f>
        <v>25</v>
      </c>
      <c r="D276" s="620">
        <f t="shared" ref="D276:F276" si="204">D95</f>
        <v>-0.4</v>
      </c>
      <c r="E276" s="620" t="str">
        <f t="shared" si="204"/>
        <v>-</v>
      </c>
      <c r="F276" s="620">
        <f t="shared" si="204"/>
        <v>0</v>
      </c>
      <c r="G276" s="620">
        <f>G95</f>
        <v>0</v>
      </c>
      <c r="I276" s="1046"/>
      <c r="J276" s="620">
        <v>9</v>
      </c>
      <c r="K276" s="620">
        <f>J95</f>
        <v>50</v>
      </c>
      <c r="L276" s="620">
        <f t="shared" ref="L276:N276" si="205">K95</f>
        <v>-0.9</v>
      </c>
      <c r="M276" s="620" t="str">
        <f t="shared" si="205"/>
        <v>-</v>
      </c>
      <c r="N276" s="620">
        <f t="shared" si="205"/>
        <v>0</v>
      </c>
      <c r="O276" s="620">
        <f>N95</f>
        <v>0</v>
      </c>
      <c r="Q276" s="1046"/>
      <c r="R276" s="620">
        <v>9</v>
      </c>
      <c r="S276" s="620">
        <f>Q95</f>
        <v>850</v>
      </c>
      <c r="T276" s="621">
        <f t="shared" ref="T276:V276" si="206">R95</f>
        <v>9.9999999999999995E-7</v>
      </c>
      <c r="U276" s="621" t="str">
        <f t="shared" si="206"/>
        <v>-</v>
      </c>
      <c r="V276" s="621">
        <f t="shared" si="206"/>
        <v>0</v>
      </c>
      <c r="W276" s="621">
        <f>U95</f>
        <v>0</v>
      </c>
      <c r="Y276" s="622">
        <v>4</v>
      </c>
      <c r="Z276" s="623">
        <f>X38</f>
        <v>0</v>
      </c>
      <c r="AE276" s="605"/>
    </row>
    <row r="277" spans="1:31" ht="13" x14ac:dyDescent="0.3">
      <c r="A277" s="1046"/>
      <c r="B277" s="620">
        <v>10</v>
      </c>
      <c r="C277" s="620">
        <f>C106</f>
        <v>25</v>
      </c>
      <c r="D277" s="620">
        <f t="shared" ref="D277:F277" si="207">D106</f>
        <v>0.1</v>
      </c>
      <c r="E277" s="620">
        <f t="shared" si="207"/>
        <v>-0.5</v>
      </c>
      <c r="F277" s="620">
        <f t="shared" si="207"/>
        <v>0</v>
      </c>
      <c r="G277" s="620">
        <f>G106</f>
        <v>0.3</v>
      </c>
      <c r="I277" s="1046"/>
      <c r="J277" s="620">
        <v>10</v>
      </c>
      <c r="K277" s="620">
        <f>J106</f>
        <v>50</v>
      </c>
      <c r="L277" s="620">
        <f t="shared" ref="L277:N277" si="208">K106</f>
        <v>-3.1</v>
      </c>
      <c r="M277" s="620">
        <f t="shared" si="208"/>
        <v>-6.1</v>
      </c>
      <c r="N277" s="620">
        <f t="shared" si="208"/>
        <v>0</v>
      </c>
      <c r="O277" s="620">
        <f>N106</f>
        <v>1.4999999999999998</v>
      </c>
      <c r="Q277" s="1046"/>
      <c r="R277" s="620">
        <v>10</v>
      </c>
      <c r="S277" s="620">
        <f>Q106</f>
        <v>850</v>
      </c>
      <c r="T277" s="621" t="str">
        <f t="shared" ref="T277:V277" si="209">R106</f>
        <v>-</v>
      </c>
      <c r="U277" s="621" t="str">
        <f t="shared" si="209"/>
        <v>-</v>
      </c>
      <c r="V277" s="621">
        <f t="shared" si="209"/>
        <v>0</v>
      </c>
      <c r="W277" s="621">
        <f>U106</f>
        <v>0</v>
      </c>
      <c r="Y277" s="622">
        <v>5</v>
      </c>
      <c r="Z277" s="623">
        <f>X49</f>
        <v>0</v>
      </c>
      <c r="AE277" s="605"/>
    </row>
    <row r="278" spans="1:31" ht="13" x14ac:dyDescent="0.3">
      <c r="A278" s="1046"/>
      <c r="B278" s="620">
        <v>11</v>
      </c>
      <c r="C278" s="620">
        <f>C117</f>
        <v>25</v>
      </c>
      <c r="D278" s="620">
        <f t="shared" ref="D278:F278" si="210">D117</f>
        <v>0.4</v>
      </c>
      <c r="E278" s="620">
        <f t="shared" si="210"/>
        <v>0.5</v>
      </c>
      <c r="F278" s="620">
        <f t="shared" si="210"/>
        <v>0</v>
      </c>
      <c r="G278" s="620">
        <f>G117</f>
        <v>4.9999999999999989E-2</v>
      </c>
      <c r="I278" s="1046"/>
      <c r="J278" s="620">
        <v>11</v>
      </c>
      <c r="K278" s="620">
        <f>J117</f>
        <v>50</v>
      </c>
      <c r="L278" s="620">
        <f t="shared" ref="L278:N278" si="211">K117</f>
        <v>-5.5</v>
      </c>
      <c r="M278" s="620">
        <f t="shared" si="211"/>
        <v>-5.6</v>
      </c>
      <c r="N278" s="620">
        <f t="shared" si="211"/>
        <v>0</v>
      </c>
      <c r="O278" s="620">
        <f>N117</f>
        <v>4.9999999999999822E-2</v>
      </c>
      <c r="Q278" s="1046"/>
      <c r="R278" s="620">
        <v>11</v>
      </c>
      <c r="S278" s="620">
        <f>Q117</f>
        <v>850</v>
      </c>
      <c r="T278" s="621" t="str">
        <f t="shared" ref="T278:V278" si="212">R117</f>
        <v>-</v>
      </c>
      <c r="U278" s="621" t="str">
        <f t="shared" si="212"/>
        <v>-</v>
      </c>
      <c r="V278" s="621">
        <f t="shared" si="212"/>
        <v>0</v>
      </c>
      <c r="W278" s="621">
        <f>U117</f>
        <v>0</v>
      </c>
      <c r="Y278" s="618">
        <v>6</v>
      </c>
      <c r="Z278" s="619">
        <f>X60</f>
        <v>1.6</v>
      </c>
      <c r="AE278" s="605"/>
    </row>
    <row r="279" spans="1:31" ht="13" x14ac:dyDescent="0.3">
      <c r="A279" s="1046"/>
      <c r="B279" s="620">
        <v>12</v>
      </c>
      <c r="C279" s="620">
        <f>C128</f>
        <v>25</v>
      </c>
      <c r="D279" s="620">
        <f t="shared" ref="D279:F279" si="213">D128</f>
        <v>9.9999999999999995E-7</v>
      </c>
      <c r="E279" s="620" t="str">
        <f t="shared" si="213"/>
        <v>-</v>
      </c>
      <c r="F279" s="620">
        <f t="shared" si="213"/>
        <v>0</v>
      </c>
      <c r="G279" s="620">
        <f>G128</f>
        <v>0</v>
      </c>
      <c r="I279" s="1046"/>
      <c r="J279" s="620">
        <v>12</v>
      </c>
      <c r="K279" s="620">
        <f>J128</f>
        <v>50</v>
      </c>
      <c r="L279" s="620">
        <f t="shared" ref="L279:N279" si="214">K128</f>
        <v>9.9999999999999995E-7</v>
      </c>
      <c r="M279" s="620" t="str">
        <f t="shared" si="214"/>
        <v>-</v>
      </c>
      <c r="N279" s="620">
        <f t="shared" si="214"/>
        <v>0</v>
      </c>
      <c r="O279" s="620">
        <f>N128</f>
        <v>0</v>
      </c>
      <c r="Q279" s="1046"/>
      <c r="R279" s="620">
        <v>12</v>
      </c>
      <c r="S279" s="620">
        <f>Q128</f>
        <v>900</v>
      </c>
      <c r="T279" s="621">
        <f t="shared" ref="T279:V279" si="215">R128</f>
        <v>-0.6</v>
      </c>
      <c r="U279" s="621" t="str">
        <f t="shared" si="215"/>
        <v>-</v>
      </c>
      <c r="V279" s="621">
        <f t="shared" si="215"/>
        <v>0</v>
      </c>
      <c r="W279" s="621">
        <f>U128</f>
        <v>0</v>
      </c>
      <c r="Y279" s="618">
        <v>7</v>
      </c>
      <c r="Z279" s="619">
        <f>X71</f>
        <v>2</v>
      </c>
      <c r="AE279" s="605"/>
    </row>
    <row r="280" spans="1:31" ht="13" x14ac:dyDescent="0.3">
      <c r="A280" s="1046"/>
      <c r="B280" s="620">
        <v>13</v>
      </c>
      <c r="C280" s="620">
        <f>C139</f>
        <v>25</v>
      </c>
      <c r="D280" s="620">
        <f t="shared" ref="D280:F280" si="216">D139</f>
        <v>0.1</v>
      </c>
      <c r="E280" s="620">
        <f t="shared" si="216"/>
        <v>-0.2</v>
      </c>
      <c r="F280" s="620" t="str">
        <f t="shared" si="216"/>
        <v>-</v>
      </c>
      <c r="G280" s="620">
        <f>G139</f>
        <v>0</v>
      </c>
      <c r="I280" s="1046"/>
      <c r="J280" s="620">
        <v>13</v>
      </c>
      <c r="K280" s="620">
        <f>J139</f>
        <v>50</v>
      </c>
      <c r="L280" s="620">
        <f t="shared" ref="L280:N280" si="217">K139</f>
        <v>-1.8</v>
      </c>
      <c r="M280" s="620">
        <f t="shared" si="217"/>
        <v>-1.3</v>
      </c>
      <c r="N280" s="620" t="str">
        <f t="shared" si="217"/>
        <v>-</v>
      </c>
      <c r="O280" s="620">
        <f>N139</f>
        <v>0</v>
      </c>
      <c r="Q280" s="1046"/>
      <c r="R280" s="620">
        <v>13</v>
      </c>
      <c r="S280" s="620">
        <f>Q139</f>
        <v>980</v>
      </c>
      <c r="T280" s="621">
        <f t="shared" ref="T280:V280" si="218">R139</f>
        <v>3.9</v>
      </c>
      <c r="U280" s="621">
        <f t="shared" si="218"/>
        <v>1</v>
      </c>
      <c r="V280" s="621" t="str">
        <f t="shared" si="218"/>
        <v>-</v>
      </c>
      <c r="W280" s="621">
        <f>U139</f>
        <v>0</v>
      </c>
      <c r="Y280" s="618">
        <v>8</v>
      </c>
      <c r="Z280" s="619">
        <f>X82</f>
        <v>2.1</v>
      </c>
      <c r="AE280" s="605"/>
    </row>
    <row r="281" spans="1:31" ht="13" x14ac:dyDescent="0.3">
      <c r="A281" s="1046"/>
      <c r="B281" s="620">
        <v>14</v>
      </c>
      <c r="C281" s="620">
        <f>C150</f>
        <v>25</v>
      </c>
      <c r="D281" s="620">
        <f t="shared" ref="D281:F281" si="219">D150</f>
        <v>-0.1</v>
      </c>
      <c r="E281" s="620">
        <f t="shared" si="219"/>
        <v>-0.1</v>
      </c>
      <c r="F281" s="620" t="str">
        <f t="shared" si="219"/>
        <v>-</v>
      </c>
      <c r="G281" s="620">
        <f>G150</f>
        <v>0</v>
      </c>
      <c r="I281" s="1046"/>
      <c r="J281" s="620">
        <v>14</v>
      </c>
      <c r="K281" s="620">
        <f>J151</f>
        <v>60</v>
      </c>
      <c r="L281" s="620">
        <f t="shared" ref="L281:N281" si="220">K151</f>
        <v>0.3</v>
      </c>
      <c r="M281" s="620">
        <f t="shared" si="220"/>
        <v>-0.6</v>
      </c>
      <c r="N281" s="620" t="str">
        <f t="shared" si="220"/>
        <v>-</v>
      </c>
      <c r="O281" s="620">
        <f>N151</f>
        <v>0</v>
      </c>
      <c r="Q281" s="1046"/>
      <c r="R281" s="620">
        <v>14</v>
      </c>
      <c r="S281" s="620">
        <f>Q150</f>
        <v>980</v>
      </c>
      <c r="T281" s="621">
        <f t="shared" ref="T281:V281" si="221">R150</f>
        <v>3.9</v>
      </c>
      <c r="U281" s="621">
        <f t="shared" si="221"/>
        <v>1</v>
      </c>
      <c r="V281" s="621" t="str">
        <f t="shared" si="221"/>
        <v>-</v>
      </c>
      <c r="W281" s="621">
        <f>U150</f>
        <v>0</v>
      </c>
      <c r="Y281" s="618">
        <v>9</v>
      </c>
      <c r="Z281" s="619">
        <f>X93</f>
        <v>2.2000000000000002</v>
      </c>
      <c r="AE281" s="605"/>
    </row>
    <row r="282" spans="1:31" ht="13" x14ac:dyDescent="0.3">
      <c r="A282" s="1046"/>
      <c r="B282" s="620">
        <v>15</v>
      </c>
      <c r="C282" s="620">
        <f>C161</f>
        <v>25</v>
      </c>
      <c r="D282" s="620">
        <f t="shared" ref="D282:F282" si="222">D161</f>
        <v>0.2</v>
      </c>
      <c r="E282" s="620">
        <f t="shared" si="222"/>
        <v>-0.4</v>
      </c>
      <c r="F282" s="620" t="str">
        <f t="shared" si="222"/>
        <v>-</v>
      </c>
      <c r="G282" s="620">
        <f>G161</f>
        <v>0</v>
      </c>
      <c r="I282" s="1046"/>
      <c r="J282" s="620">
        <v>15</v>
      </c>
      <c r="K282" s="620">
        <f>J161</f>
        <v>50</v>
      </c>
      <c r="L282" s="620">
        <f t="shared" ref="L282:N282" si="223">K161</f>
        <v>-1.4</v>
      </c>
      <c r="M282" s="620">
        <f t="shared" si="223"/>
        <v>-0.3</v>
      </c>
      <c r="N282" s="620" t="str">
        <f t="shared" si="223"/>
        <v>-</v>
      </c>
      <c r="O282" s="620">
        <f>N161</f>
        <v>0</v>
      </c>
      <c r="Q282" s="1046"/>
      <c r="R282" s="620">
        <v>15</v>
      </c>
      <c r="S282" s="620">
        <f>Q161</f>
        <v>980</v>
      </c>
      <c r="T282" s="621">
        <f t="shared" ref="T282:V282" si="224">R161</f>
        <v>4.3</v>
      </c>
      <c r="U282" s="621">
        <f t="shared" si="224"/>
        <v>1</v>
      </c>
      <c r="V282" s="621" t="str">
        <f t="shared" si="224"/>
        <v>-</v>
      </c>
      <c r="W282" s="621">
        <f>U161</f>
        <v>0</v>
      </c>
      <c r="Y282" s="618">
        <v>10</v>
      </c>
      <c r="Z282" s="619">
        <f>X104</f>
        <v>0</v>
      </c>
      <c r="AE282" s="605"/>
    </row>
    <row r="283" spans="1:31" ht="13" x14ac:dyDescent="0.3">
      <c r="A283" s="1046"/>
      <c r="B283" s="620">
        <v>16</v>
      </c>
      <c r="C283" s="620">
        <f>C172</f>
        <v>25</v>
      </c>
      <c r="D283" s="620">
        <f t="shared" ref="D283:F283" si="225">D172</f>
        <v>0.5</v>
      </c>
      <c r="E283" s="620">
        <f t="shared" si="225"/>
        <v>0.2</v>
      </c>
      <c r="F283" s="620">
        <f t="shared" si="225"/>
        <v>0</v>
      </c>
      <c r="G283" s="620">
        <f>G172</f>
        <v>0.15</v>
      </c>
      <c r="I283" s="1046"/>
      <c r="J283" s="620">
        <v>16</v>
      </c>
      <c r="K283" s="620">
        <f>J172</f>
        <v>50</v>
      </c>
      <c r="L283" s="620">
        <f t="shared" ref="L283:N283" si="226">K172</f>
        <v>-2</v>
      </c>
      <c r="M283" s="620">
        <f t="shared" si="226"/>
        <v>-1.4</v>
      </c>
      <c r="N283" s="620">
        <f t="shared" si="226"/>
        <v>0</v>
      </c>
      <c r="O283" s="620">
        <f>N172</f>
        <v>0.30000000000000004</v>
      </c>
      <c r="Q283" s="1046"/>
      <c r="R283" s="620">
        <v>16</v>
      </c>
      <c r="S283" s="620">
        <f>Q172</f>
        <v>980</v>
      </c>
      <c r="T283" s="621">
        <f t="shared" ref="T283:V283" si="227">R172</f>
        <v>4.5</v>
      </c>
      <c r="U283" s="621" t="str">
        <f t="shared" si="227"/>
        <v>-</v>
      </c>
      <c r="V283" s="621">
        <f t="shared" si="227"/>
        <v>0</v>
      </c>
      <c r="W283" s="621">
        <f>U172</f>
        <v>0</v>
      </c>
      <c r="Y283" s="618">
        <v>11</v>
      </c>
      <c r="Z283" s="619">
        <f>X115</f>
        <v>0</v>
      </c>
      <c r="AE283" s="605"/>
    </row>
    <row r="284" spans="1:31" ht="13" x14ac:dyDescent="0.3">
      <c r="A284" s="1046"/>
      <c r="B284" s="620">
        <v>17</v>
      </c>
      <c r="C284" s="620">
        <f>C183</f>
        <v>25</v>
      </c>
      <c r="D284" s="620">
        <f t="shared" ref="D284:F284" si="228">D183</f>
        <v>0.5</v>
      </c>
      <c r="E284" s="620">
        <f t="shared" si="228"/>
        <v>0</v>
      </c>
      <c r="F284" s="620">
        <f t="shared" si="228"/>
        <v>0</v>
      </c>
      <c r="G284" s="620">
        <f>G183</f>
        <v>0.25</v>
      </c>
      <c r="I284" s="1046"/>
      <c r="J284" s="620">
        <v>17</v>
      </c>
      <c r="K284" s="620">
        <f>J183</f>
        <v>50</v>
      </c>
      <c r="L284" s="620">
        <f t="shared" ref="L284:N284" si="229">K183</f>
        <v>-1.9</v>
      </c>
      <c r="M284" s="620">
        <f t="shared" si="229"/>
        <v>0.2</v>
      </c>
      <c r="N284" s="620">
        <f t="shared" si="229"/>
        <v>0</v>
      </c>
      <c r="O284" s="620">
        <f>N183</f>
        <v>1.05</v>
      </c>
      <c r="Q284" s="1046"/>
      <c r="R284" s="620">
        <v>17</v>
      </c>
      <c r="S284" s="620">
        <f>Q183</f>
        <v>980</v>
      </c>
      <c r="T284" s="621">
        <f t="shared" ref="T284:V284" si="230">R183</f>
        <v>4.5999999999999996</v>
      </c>
      <c r="U284" s="621">
        <f t="shared" si="230"/>
        <v>-0.6</v>
      </c>
      <c r="V284" s="621">
        <f t="shared" si="230"/>
        <v>0</v>
      </c>
      <c r="W284" s="621">
        <f>U183</f>
        <v>2.5999999999999996</v>
      </c>
      <c r="Y284" s="618">
        <v>12</v>
      </c>
      <c r="Z284" s="642">
        <f>X126</f>
        <v>2.4</v>
      </c>
      <c r="AE284" s="605"/>
    </row>
    <row r="285" spans="1:31" ht="13" x14ac:dyDescent="0.3">
      <c r="A285" s="1046"/>
      <c r="B285" s="620">
        <v>18</v>
      </c>
      <c r="C285" s="620">
        <f>C194</f>
        <v>25</v>
      </c>
      <c r="D285" s="620">
        <f t="shared" ref="D285:F285" si="231">D194</f>
        <v>0.2</v>
      </c>
      <c r="E285" s="620">
        <f t="shared" si="231"/>
        <v>-0.2</v>
      </c>
      <c r="F285" s="620">
        <f t="shared" si="231"/>
        <v>0</v>
      </c>
      <c r="G285" s="620">
        <f>G194</f>
        <v>0.2</v>
      </c>
      <c r="I285" s="1046"/>
      <c r="J285" s="620">
        <v>18</v>
      </c>
      <c r="K285" s="620">
        <f>J194</f>
        <v>50</v>
      </c>
      <c r="L285" s="620">
        <f t="shared" ref="L285:N285" si="232">K194</f>
        <v>-2.4</v>
      </c>
      <c r="M285" s="620">
        <f t="shared" si="232"/>
        <v>-0.2</v>
      </c>
      <c r="N285" s="620">
        <f t="shared" si="232"/>
        <v>0</v>
      </c>
      <c r="O285" s="620">
        <f>N194</f>
        <v>1.0999999999999999</v>
      </c>
      <c r="Q285" s="1046"/>
      <c r="R285" s="620">
        <v>18</v>
      </c>
      <c r="S285" s="620">
        <f>Q194</f>
        <v>980</v>
      </c>
      <c r="T285" s="621">
        <f t="shared" ref="T285:V285" si="233">R194</f>
        <v>4.5</v>
      </c>
      <c r="U285" s="621" t="str">
        <f t="shared" si="233"/>
        <v>-</v>
      </c>
      <c r="V285" s="621">
        <f t="shared" si="233"/>
        <v>0</v>
      </c>
      <c r="W285" s="621">
        <f>U194</f>
        <v>0</v>
      </c>
      <c r="Y285" s="618">
        <v>13</v>
      </c>
      <c r="Z285" s="619">
        <f>X137</f>
        <v>2.4</v>
      </c>
      <c r="AE285" s="605"/>
    </row>
    <row r="286" spans="1:31" ht="13" x14ac:dyDescent="0.3">
      <c r="A286" s="1046"/>
      <c r="B286" s="620">
        <v>19</v>
      </c>
      <c r="C286" s="620">
        <f>C194</f>
        <v>25</v>
      </c>
      <c r="D286" s="620">
        <f t="shared" ref="D286:F286" si="234">D194</f>
        <v>0.2</v>
      </c>
      <c r="E286" s="620">
        <f t="shared" si="234"/>
        <v>-0.2</v>
      </c>
      <c r="F286" s="620">
        <f t="shared" si="234"/>
        <v>0</v>
      </c>
      <c r="G286" s="620">
        <f>G194</f>
        <v>0.2</v>
      </c>
      <c r="I286" s="1046"/>
      <c r="J286" s="620">
        <v>19</v>
      </c>
      <c r="K286" s="620">
        <f>J205</f>
        <v>50</v>
      </c>
      <c r="L286" s="620">
        <f t="shared" ref="L286:N286" si="235">K205</f>
        <v>-0.2</v>
      </c>
      <c r="M286" s="620" t="str">
        <f t="shared" si="235"/>
        <v>-</v>
      </c>
      <c r="N286" s="620">
        <f t="shared" si="235"/>
        <v>0</v>
      </c>
      <c r="O286" s="620">
        <f>N205</f>
        <v>0</v>
      </c>
      <c r="Q286" s="1046"/>
      <c r="R286" s="620">
        <v>19</v>
      </c>
      <c r="S286" s="620">
        <f>Q205</f>
        <v>850</v>
      </c>
      <c r="T286" s="621">
        <f t="shared" ref="T286:V286" si="236">R205</f>
        <v>2.4</v>
      </c>
      <c r="U286" s="621" t="str">
        <f t="shared" si="236"/>
        <v>-</v>
      </c>
      <c r="V286" s="621">
        <f t="shared" si="236"/>
        <v>0</v>
      </c>
      <c r="W286" s="621">
        <f>U205</f>
        <v>0</v>
      </c>
      <c r="Y286" s="618">
        <v>14</v>
      </c>
      <c r="Z286" s="619">
        <f>X148</f>
        <v>2.4</v>
      </c>
      <c r="AE286" s="605"/>
    </row>
    <row r="287" spans="1:31" ht="13.5" thickBot="1" x14ac:dyDescent="0.35">
      <c r="A287" s="1046"/>
      <c r="B287" s="620">
        <v>20</v>
      </c>
      <c r="C287" s="620">
        <f>C216</f>
        <v>24.6</v>
      </c>
      <c r="D287" s="620">
        <f t="shared" ref="D287:F287" si="237">D216</f>
        <v>9.9999999999999995E-7</v>
      </c>
      <c r="E287" s="620" t="str">
        <f t="shared" si="237"/>
        <v>-</v>
      </c>
      <c r="F287" s="620">
        <f t="shared" si="237"/>
        <v>9.9999999999999995E-7</v>
      </c>
      <c r="G287" s="620">
        <f>G216</f>
        <v>0</v>
      </c>
      <c r="I287" s="1046"/>
      <c r="J287" s="620">
        <v>20</v>
      </c>
      <c r="K287" s="620">
        <f>J216</f>
        <v>62.5</v>
      </c>
      <c r="L287" s="620">
        <f t="shared" ref="L287:N287" si="238">K216</f>
        <v>9.9999999999999995E-7</v>
      </c>
      <c r="M287" s="620" t="str">
        <f t="shared" si="238"/>
        <v>-</v>
      </c>
      <c r="N287" s="620">
        <f t="shared" si="238"/>
        <v>0</v>
      </c>
      <c r="O287" s="620">
        <f>N216</f>
        <v>0</v>
      </c>
      <c r="Q287" s="1048"/>
      <c r="R287" s="629">
        <v>20</v>
      </c>
      <c r="S287" s="629">
        <f>Q216</f>
        <v>850</v>
      </c>
      <c r="T287" s="643" t="str">
        <f t="shared" ref="T287:V287" si="239">R216</f>
        <v>-</v>
      </c>
      <c r="U287" s="643" t="str">
        <f t="shared" si="239"/>
        <v>-</v>
      </c>
      <c r="V287" s="643">
        <f t="shared" si="239"/>
        <v>0</v>
      </c>
      <c r="W287" s="643">
        <f>U216</f>
        <v>0</v>
      </c>
      <c r="Y287" s="618">
        <v>15</v>
      </c>
      <c r="Z287" s="619">
        <f>X159</f>
        <v>2.6</v>
      </c>
      <c r="AE287" s="633"/>
    </row>
    <row r="288" spans="1:31" ht="13.5" thickBot="1" x14ac:dyDescent="0.35">
      <c r="A288" s="510"/>
      <c r="B288" s="510"/>
      <c r="C288" s="510"/>
      <c r="D288" s="510"/>
      <c r="E288" s="510"/>
      <c r="F288" s="510"/>
      <c r="G288" s="510"/>
      <c r="I288" s="510"/>
      <c r="J288" s="510"/>
      <c r="K288" s="510"/>
      <c r="L288" s="510"/>
      <c r="M288" s="510"/>
      <c r="N288" s="510"/>
      <c r="O288" s="510"/>
      <c r="Q288" s="644"/>
      <c r="R288" s="646"/>
      <c r="S288" s="442"/>
      <c r="T288" s="443"/>
      <c r="U288" s="443"/>
      <c r="V288" s="443"/>
      <c r="W288" s="443"/>
      <c r="Y288" s="618">
        <v>16</v>
      </c>
      <c r="Z288" s="626">
        <f>X170</f>
        <v>2.2000000000000002</v>
      </c>
      <c r="AE288" s="605"/>
    </row>
    <row r="289" spans="1:31" ht="13" x14ac:dyDescent="0.3">
      <c r="A289" s="1046">
        <v>4</v>
      </c>
      <c r="B289" s="620">
        <v>1</v>
      </c>
      <c r="C289" s="620">
        <f>C8</f>
        <v>30</v>
      </c>
      <c r="D289" s="620">
        <f t="shared" ref="D289:F289" si="240">D8</f>
        <v>9.9999999999999995E-7</v>
      </c>
      <c r="E289" s="620">
        <f t="shared" si="240"/>
        <v>-0.2</v>
      </c>
      <c r="F289" s="620">
        <f t="shared" si="240"/>
        <v>0</v>
      </c>
      <c r="G289" s="620">
        <f>G8</f>
        <v>0.10000050000000001</v>
      </c>
      <c r="I289" s="1046">
        <v>4</v>
      </c>
      <c r="J289" s="620">
        <v>1</v>
      </c>
      <c r="K289" s="620">
        <f>J8</f>
        <v>60</v>
      </c>
      <c r="L289" s="620">
        <f t="shared" ref="L289:N289" si="241">K8</f>
        <v>-5.3</v>
      </c>
      <c r="M289" s="620">
        <f t="shared" si="241"/>
        <v>-5.2</v>
      </c>
      <c r="N289" s="620">
        <f t="shared" si="241"/>
        <v>0</v>
      </c>
      <c r="O289" s="620">
        <f>N8</f>
        <v>4.9999999999999822E-2</v>
      </c>
      <c r="Q289" s="1047">
        <v>4</v>
      </c>
      <c r="R289" s="638">
        <v>1</v>
      </c>
      <c r="S289" s="638">
        <f>Q8</f>
        <v>900</v>
      </c>
      <c r="T289" s="645" t="str">
        <f t="shared" ref="T289:V289" si="242">R8</f>
        <v>-</v>
      </c>
      <c r="U289" s="645" t="str">
        <f t="shared" si="242"/>
        <v>-</v>
      </c>
      <c r="V289" s="645">
        <f t="shared" si="242"/>
        <v>0</v>
      </c>
      <c r="W289" s="645">
        <f>U8</f>
        <v>0</v>
      </c>
      <c r="Y289" s="618">
        <v>17</v>
      </c>
      <c r="Z289" s="626">
        <f>X181</f>
        <v>2.1</v>
      </c>
      <c r="AE289" s="641"/>
    </row>
    <row r="290" spans="1:31" ht="13" x14ac:dyDescent="0.3">
      <c r="A290" s="1046"/>
      <c r="B290" s="620">
        <v>2</v>
      </c>
      <c r="C290" s="620">
        <f>C19</f>
        <v>30</v>
      </c>
      <c r="D290" s="620">
        <f t="shared" ref="D290:F290" si="243">D19</f>
        <v>0.4</v>
      </c>
      <c r="E290" s="620">
        <f t="shared" si="243"/>
        <v>0.2</v>
      </c>
      <c r="F290" s="620">
        <f t="shared" si="243"/>
        <v>-0.3</v>
      </c>
      <c r="G290" s="620">
        <f>G19</f>
        <v>0.35</v>
      </c>
      <c r="I290" s="1046"/>
      <c r="J290" s="620">
        <v>2</v>
      </c>
      <c r="K290" s="620">
        <f>J19</f>
        <v>60</v>
      </c>
      <c r="L290" s="620">
        <f t="shared" ref="L290:N290" si="244">K19</f>
        <v>-5.7</v>
      </c>
      <c r="M290" s="620">
        <f t="shared" si="244"/>
        <v>-4</v>
      </c>
      <c r="N290" s="620">
        <f t="shared" si="244"/>
        <v>-1.3</v>
      </c>
      <c r="O290" s="620">
        <f>N19</f>
        <v>2.2000000000000002</v>
      </c>
      <c r="Q290" s="1046"/>
      <c r="R290" s="620">
        <v>2</v>
      </c>
      <c r="S290" s="620">
        <f>Q19</f>
        <v>900</v>
      </c>
      <c r="T290" s="621" t="str">
        <f t="shared" ref="T290:V290" si="245">R19</f>
        <v>-</v>
      </c>
      <c r="U290" s="621" t="str">
        <f t="shared" si="245"/>
        <v>-</v>
      </c>
      <c r="V290" s="621">
        <f t="shared" si="245"/>
        <v>0</v>
      </c>
      <c r="W290" s="621">
        <f>U19</f>
        <v>0</v>
      </c>
      <c r="Y290" s="618">
        <v>18</v>
      </c>
      <c r="Z290" s="626">
        <f>X192</f>
        <v>2.1</v>
      </c>
      <c r="AE290" s="605"/>
    </row>
    <row r="291" spans="1:31" ht="13" x14ac:dyDescent="0.3">
      <c r="A291" s="1046"/>
      <c r="B291" s="620">
        <v>3</v>
      </c>
      <c r="C291" s="620">
        <f>C30</f>
        <v>30</v>
      </c>
      <c r="D291" s="620">
        <f t="shared" ref="D291:F291" si="246">D30</f>
        <v>0.3</v>
      </c>
      <c r="E291" s="620">
        <f t="shared" si="246"/>
        <v>9.9999999999999995E-7</v>
      </c>
      <c r="F291" s="620">
        <f t="shared" si="246"/>
        <v>-0.3</v>
      </c>
      <c r="G291" s="620">
        <f>G30</f>
        <v>0.3</v>
      </c>
      <c r="I291" s="1046"/>
      <c r="J291" s="620">
        <v>3</v>
      </c>
      <c r="K291" s="620">
        <f>J30</f>
        <v>60</v>
      </c>
      <c r="L291" s="620">
        <f t="shared" ref="L291:N291" si="247">K30</f>
        <v>-6.2</v>
      </c>
      <c r="M291" s="620">
        <f t="shared" si="247"/>
        <v>-3.2</v>
      </c>
      <c r="N291" s="620">
        <f t="shared" si="247"/>
        <v>-4.3</v>
      </c>
      <c r="O291" s="620">
        <f>N30</f>
        <v>1.5</v>
      </c>
      <c r="Q291" s="1046"/>
      <c r="R291" s="620">
        <v>3</v>
      </c>
      <c r="S291" s="620">
        <f>Q30</f>
        <v>900</v>
      </c>
      <c r="T291" s="621" t="str">
        <f t="shared" ref="T291:V291" si="248">R30</f>
        <v>-</v>
      </c>
      <c r="U291" s="621" t="str">
        <f t="shared" si="248"/>
        <v>-</v>
      </c>
      <c r="V291" s="621">
        <f t="shared" si="248"/>
        <v>0</v>
      </c>
      <c r="W291" s="621">
        <f>U30</f>
        <v>0</v>
      </c>
      <c r="Y291" s="618">
        <v>19</v>
      </c>
      <c r="Z291" s="626">
        <f>X203</f>
        <v>0.4</v>
      </c>
      <c r="AE291" s="605"/>
    </row>
    <row r="292" spans="1:31" ht="13.5" thickBot="1" x14ac:dyDescent="0.35">
      <c r="A292" s="1046"/>
      <c r="B292" s="620">
        <v>4</v>
      </c>
      <c r="C292" s="620">
        <f>C41</f>
        <v>30</v>
      </c>
      <c r="D292" s="620">
        <f t="shared" ref="D292:F292" si="249">D41</f>
        <v>-0.1</v>
      </c>
      <c r="E292" s="620">
        <f t="shared" si="249"/>
        <v>-0.6</v>
      </c>
      <c r="F292" s="620">
        <f t="shared" si="249"/>
        <v>0</v>
      </c>
      <c r="G292" s="620">
        <f>G41</f>
        <v>0.25</v>
      </c>
      <c r="I292" s="1046"/>
      <c r="J292" s="620">
        <v>4</v>
      </c>
      <c r="K292" s="620">
        <f>J41</f>
        <v>60</v>
      </c>
      <c r="L292" s="620">
        <f t="shared" ref="L292:N292" si="250">K41</f>
        <v>-4.2</v>
      </c>
      <c r="M292" s="620">
        <f t="shared" si="250"/>
        <v>-0.3</v>
      </c>
      <c r="N292" s="620">
        <f t="shared" si="250"/>
        <v>0</v>
      </c>
      <c r="O292" s="620">
        <f>N41</f>
        <v>1.9500000000000002</v>
      </c>
      <c r="Q292" s="1046"/>
      <c r="R292" s="620">
        <v>4</v>
      </c>
      <c r="S292" s="620">
        <f>Q41</f>
        <v>900</v>
      </c>
      <c r="T292" s="621" t="str">
        <f t="shared" ref="T292:V292" si="251">R41</f>
        <v>-</v>
      </c>
      <c r="U292" s="621" t="str">
        <f t="shared" si="251"/>
        <v>-</v>
      </c>
      <c r="V292" s="621">
        <f t="shared" si="251"/>
        <v>0</v>
      </c>
      <c r="W292" s="621">
        <f>U41</f>
        <v>0</v>
      </c>
      <c r="Y292" s="627">
        <v>20</v>
      </c>
      <c r="Z292" s="628">
        <f>X214</f>
        <v>0</v>
      </c>
      <c r="AE292" s="605"/>
    </row>
    <row r="293" spans="1:31" ht="13" x14ac:dyDescent="0.3">
      <c r="A293" s="1046"/>
      <c r="B293" s="620">
        <v>5</v>
      </c>
      <c r="C293" s="620">
        <f>C52</f>
        <v>30</v>
      </c>
      <c r="D293" s="620">
        <f t="shared" ref="D293:F293" si="252">D52</f>
        <v>0.4</v>
      </c>
      <c r="E293" s="620">
        <f t="shared" si="252"/>
        <v>0.6</v>
      </c>
      <c r="F293" s="620">
        <f t="shared" si="252"/>
        <v>0.1</v>
      </c>
      <c r="G293" s="620">
        <f>G52</f>
        <v>0.25</v>
      </c>
      <c r="I293" s="1046"/>
      <c r="J293" s="620">
        <v>5</v>
      </c>
      <c r="K293" s="620">
        <f>J52</f>
        <v>60</v>
      </c>
      <c r="L293" s="620">
        <f t="shared" ref="L293:N293" si="253">K52</f>
        <v>-8</v>
      </c>
      <c r="M293" s="620">
        <f t="shared" si="253"/>
        <v>-5.2</v>
      </c>
      <c r="N293" s="620">
        <f t="shared" si="253"/>
        <v>-4.2</v>
      </c>
      <c r="O293" s="620">
        <f>N52</f>
        <v>1.9</v>
      </c>
      <c r="Q293" s="1046"/>
      <c r="R293" s="620">
        <v>5</v>
      </c>
      <c r="S293" s="620">
        <f>Q52</f>
        <v>900</v>
      </c>
      <c r="T293" s="621" t="str">
        <f t="shared" ref="T293:V293" si="254">R52</f>
        <v>-</v>
      </c>
      <c r="U293" s="621" t="str">
        <f t="shared" si="254"/>
        <v>-</v>
      </c>
      <c r="V293" s="621">
        <f t="shared" si="254"/>
        <v>0</v>
      </c>
      <c r="W293" s="621">
        <f>U52</f>
        <v>0</v>
      </c>
      <c r="AE293" s="605"/>
    </row>
    <row r="294" spans="1:31" ht="13" x14ac:dyDescent="0.3">
      <c r="A294" s="1046"/>
      <c r="B294" s="620">
        <v>6</v>
      </c>
      <c r="C294" s="620">
        <f>C63</f>
        <v>30</v>
      </c>
      <c r="D294" s="620">
        <f t="shared" ref="D294:F294" si="255">D63</f>
        <v>0.1</v>
      </c>
      <c r="E294" s="620">
        <f t="shared" si="255"/>
        <v>-0.5</v>
      </c>
      <c r="F294" s="620">
        <f t="shared" si="255"/>
        <v>0</v>
      </c>
      <c r="G294" s="620">
        <f>G63</f>
        <v>0.3</v>
      </c>
      <c r="I294" s="1046"/>
      <c r="J294" s="620">
        <v>6</v>
      </c>
      <c r="K294" s="620">
        <f>J63</f>
        <v>60</v>
      </c>
      <c r="L294" s="620">
        <f t="shared" ref="L294:N294" si="256">K63</f>
        <v>-6.4</v>
      </c>
      <c r="M294" s="620">
        <f t="shared" si="256"/>
        <v>1.1000000000000001</v>
      </c>
      <c r="N294" s="620">
        <f t="shared" si="256"/>
        <v>0</v>
      </c>
      <c r="O294" s="620">
        <f>N63</f>
        <v>3.75</v>
      </c>
      <c r="Q294" s="1046"/>
      <c r="R294" s="620">
        <v>6</v>
      </c>
      <c r="S294" s="620">
        <f>Q63</f>
        <v>900</v>
      </c>
      <c r="T294" s="621">
        <f t="shared" ref="T294:V294" si="257">R63</f>
        <v>0.9</v>
      </c>
      <c r="U294" s="621">
        <f t="shared" si="257"/>
        <v>0.7</v>
      </c>
      <c r="V294" s="621">
        <f t="shared" si="257"/>
        <v>0</v>
      </c>
      <c r="W294" s="621">
        <f>U63</f>
        <v>0.10000000000000003</v>
      </c>
      <c r="AE294" s="605"/>
    </row>
    <row r="295" spans="1:31" ht="13" x14ac:dyDescent="0.3">
      <c r="A295" s="1046"/>
      <c r="B295" s="620">
        <v>7</v>
      </c>
      <c r="C295" s="620">
        <f>C74</f>
        <v>30</v>
      </c>
      <c r="D295" s="620">
        <f t="shared" ref="D295:F295" si="258">D74</f>
        <v>-0.2</v>
      </c>
      <c r="E295" s="620">
        <f t="shared" si="258"/>
        <v>9.9999999999999995E-7</v>
      </c>
      <c r="F295" s="620">
        <f t="shared" si="258"/>
        <v>-0.6</v>
      </c>
      <c r="G295" s="620">
        <f>G74</f>
        <v>0.3000005</v>
      </c>
      <c r="I295" s="1046"/>
      <c r="J295" s="620">
        <v>7</v>
      </c>
      <c r="K295" s="620">
        <f>J74</f>
        <v>60</v>
      </c>
      <c r="L295" s="620">
        <f t="shared" ref="L295:N295" si="259">K74</f>
        <v>-2.2000000000000002</v>
      </c>
      <c r="M295" s="620">
        <f t="shared" si="259"/>
        <v>-2.1</v>
      </c>
      <c r="N295" s="620">
        <f t="shared" si="259"/>
        <v>0.7</v>
      </c>
      <c r="O295" s="620">
        <f>N74</f>
        <v>1.4500000000000002</v>
      </c>
      <c r="Q295" s="1046"/>
      <c r="R295" s="620">
        <v>7</v>
      </c>
      <c r="S295" s="620">
        <f>Q74</f>
        <v>990</v>
      </c>
      <c r="T295" s="621">
        <f t="shared" ref="T295:V295" si="260">R74</f>
        <v>0.5</v>
      </c>
      <c r="U295" s="621" t="str">
        <f t="shared" si="260"/>
        <v>-</v>
      </c>
      <c r="V295" s="621" t="str">
        <f t="shared" si="260"/>
        <v>-</v>
      </c>
      <c r="W295" s="621">
        <f>U74</f>
        <v>0</v>
      </c>
      <c r="AE295" s="605"/>
    </row>
    <row r="296" spans="1:31" ht="13" x14ac:dyDescent="0.3">
      <c r="A296" s="1046"/>
      <c r="B296" s="620">
        <v>8</v>
      </c>
      <c r="C296" s="620">
        <f>C85</f>
        <v>30</v>
      </c>
      <c r="D296" s="620">
        <f t="shared" ref="D296:F296" si="261">D85</f>
        <v>-0.2</v>
      </c>
      <c r="E296" s="620">
        <f t="shared" si="261"/>
        <v>-0.4</v>
      </c>
      <c r="F296" s="620">
        <f t="shared" si="261"/>
        <v>0</v>
      </c>
      <c r="G296" s="620">
        <f>G85</f>
        <v>0.1</v>
      </c>
      <c r="I296" s="1046"/>
      <c r="J296" s="620">
        <v>8</v>
      </c>
      <c r="K296" s="620">
        <f>J85</f>
        <v>60</v>
      </c>
      <c r="L296" s="620">
        <f t="shared" ref="L296:N296" si="262">K85</f>
        <v>-3.9</v>
      </c>
      <c r="M296" s="620">
        <f t="shared" si="262"/>
        <v>-1.1000000000000001</v>
      </c>
      <c r="N296" s="620">
        <f t="shared" si="262"/>
        <v>0</v>
      </c>
      <c r="O296" s="620">
        <f>N85</f>
        <v>1.4</v>
      </c>
      <c r="Q296" s="1046"/>
      <c r="R296" s="620">
        <v>8</v>
      </c>
      <c r="S296" s="620">
        <f>Q85</f>
        <v>900</v>
      </c>
      <c r="T296" s="621">
        <f t="shared" ref="T296:V296" si="263">R85</f>
        <v>-4.4000000000000004</v>
      </c>
      <c r="U296" s="621">
        <f t="shared" si="263"/>
        <v>9.9999999999999995E-7</v>
      </c>
      <c r="V296" s="621">
        <f t="shared" si="263"/>
        <v>0</v>
      </c>
      <c r="W296" s="621">
        <f>U85</f>
        <v>2.2000005000000002</v>
      </c>
      <c r="AE296" s="605"/>
    </row>
    <row r="297" spans="1:31" ht="13" x14ac:dyDescent="0.3">
      <c r="A297" s="1046"/>
      <c r="B297" s="620">
        <v>9</v>
      </c>
      <c r="C297" s="620">
        <f>C96</f>
        <v>30</v>
      </c>
      <c r="D297" s="620">
        <f t="shared" ref="D297:F297" si="264">D96</f>
        <v>-0.5</v>
      </c>
      <c r="E297" s="620" t="str">
        <f t="shared" si="264"/>
        <v>-</v>
      </c>
      <c r="F297" s="620">
        <f t="shared" si="264"/>
        <v>0</v>
      </c>
      <c r="G297" s="620">
        <f>G96</f>
        <v>0</v>
      </c>
      <c r="I297" s="1046"/>
      <c r="J297" s="620">
        <v>9</v>
      </c>
      <c r="K297" s="620">
        <f>J96</f>
        <v>60</v>
      </c>
      <c r="L297" s="620">
        <f t="shared" ref="L297:N297" si="265">K96</f>
        <v>-0.8</v>
      </c>
      <c r="M297" s="620" t="str">
        <f t="shared" si="265"/>
        <v>-</v>
      </c>
      <c r="N297" s="620">
        <f t="shared" si="265"/>
        <v>0</v>
      </c>
      <c r="O297" s="620">
        <f>N96</f>
        <v>0</v>
      </c>
      <c r="Q297" s="1046"/>
      <c r="R297" s="620">
        <v>9</v>
      </c>
      <c r="S297" s="620">
        <f>Q96</f>
        <v>900</v>
      </c>
      <c r="T297" s="621">
        <f t="shared" ref="T297:V297" si="266">R96</f>
        <v>9.9999999999999995E-7</v>
      </c>
      <c r="U297" s="621" t="str">
        <f t="shared" si="266"/>
        <v>-</v>
      </c>
      <c r="V297" s="621">
        <f t="shared" si="266"/>
        <v>0</v>
      </c>
      <c r="W297" s="621">
        <f>U96</f>
        <v>0</v>
      </c>
      <c r="AE297" s="605"/>
    </row>
    <row r="298" spans="1:31" ht="13" x14ac:dyDescent="0.3">
      <c r="A298" s="1046"/>
      <c r="B298" s="620">
        <v>10</v>
      </c>
      <c r="C298" s="620">
        <f>C107</f>
        <v>30</v>
      </c>
      <c r="D298" s="620">
        <f t="shared" ref="D298:F298" si="267">D107</f>
        <v>0.1</v>
      </c>
      <c r="E298" s="620">
        <f t="shared" si="267"/>
        <v>0.2</v>
      </c>
      <c r="F298" s="620">
        <f t="shared" si="267"/>
        <v>0</v>
      </c>
      <c r="G298" s="620">
        <f>G107</f>
        <v>0.05</v>
      </c>
      <c r="I298" s="1046"/>
      <c r="J298" s="620">
        <v>10</v>
      </c>
      <c r="K298" s="620">
        <f>J107</f>
        <v>60</v>
      </c>
      <c r="L298" s="620">
        <f t="shared" ref="L298:N298" si="268">K107</f>
        <v>-2.1</v>
      </c>
      <c r="M298" s="620">
        <f t="shared" si="268"/>
        <v>-5.6</v>
      </c>
      <c r="N298" s="620">
        <f t="shared" si="268"/>
        <v>0</v>
      </c>
      <c r="O298" s="620">
        <f>N107</f>
        <v>1.7499999999999998</v>
      </c>
      <c r="Q298" s="1046"/>
      <c r="R298" s="620">
        <v>10</v>
      </c>
      <c r="S298" s="620">
        <f>Q107</f>
        <v>900</v>
      </c>
      <c r="T298" s="621" t="str">
        <f t="shared" ref="T298:V298" si="269">R107</f>
        <v>-</v>
      </c>
      <c r="U298" s="621" t="str">
        <f t="shared" si="269"/>
        <v>-</v>
      </c>
      <c r="V298" s="621">
        <f t="shared" si="269"/>
        <v>0</v>
      </c>
      <c r="W298" s="621">
        <f>U107</f>
        <v>0</v>
      </c>
      <c r="AE298" s="605"/>
    </row>
    <row r="299" spans="1:31" ht="13" x14ac:dyDescent="0.3">
      <c r="A299" s="1046"/>
      <c r="B299" s="620">
        <v>11</v>
      </c>
      <c r="C299" s="620">
        <f>C118</f>
        <v>30</v>
      </c>
      <c r="D299" s="620">
        <f t="shared" ref="D299:F299" si="270">D118</f>
        <v>0.5</v>
      </c>
      <c r="E299" s="620">
        <f t="shared" si="270"/>
        <v>0.4</v>
      </c>
      <c r="F299" s="620">
        <f t="shared" si="270"/>
        <v>0</v>
      </c>
      <c r="G299" s="620">
        <f>G118</f>
        <v>4.9999999999999989E-2</v>
      </c>
      <c r="I299" s="1046"/>
      <c r="J299" s="620">
        <v>11</v>
      </c>
      <c r="K299" s="620">
        <f>J118</f>
        <v>60</v>
      </c>
      <c r="L299" s="620">
        <f t="shared" ref="L299:N299" si="271">K118</f>
        <v>-4.8</v>
      </c>
      <c r="M299" s="620">
        <f t="shared" si="271"/>
        <v>-4.5</v>
      </c>
      <c r="N299" s="620">
        <f t="shared" si="271"/>
        <v>0</v>
      </c>
      <c r="O299" s="620">
        <f>N118</f>
        <v>0.14999999999999991</v>
      </c>
      <c r="Q299" s="1046"/>
      <c r="R299" s="620">
        <v>11</v>
      </c>
      <c r="S299" s="620">
        <f>Q118</f>
        <v>900</v>
      </c>
      <c r="T299" s="621" t="str">
        <f t="shared" ref="T299:V299" si="272">R118</f>
        <v>-</v>
      </c>
      <c r="U299" s="621" t="str">
        <f t="shared" si="272"/>
        <v>-</v>
      </c>
      <c r="V299" s="621">
        <f t="shared" si="272"/>
        <v>0</v>
      </c>
      <c r="W299" s="621">
        <f>U118</f>
        <v>0</v>
      </c>
      <c r="AE299" s="605"/>
    </row>
    <row r="300" spans="1:31" ht="13" x14ac:dyDescent="0.3">
      <c r="A300" s="1046"/>
      <c r="B300" s="620">
        <v>12</v>
      </c>
      <c r="C300" s="620">
        <f>C129</f>
        <v>30</v>
      </c>
      <c r="D300" s="620">
        <f t="shared" ref="D300:F300" si="273">D129</f>
        <v>-0.1</v>
      </c>
      <c r="E300" s="620" t="str">
        <f t="shared" si="273"/>
        <v>-</v>
      </c>
      <c r="F300" s="620">
        <f t="shared" si="273"/>
        <v>0</v>
      </c>
      <c r="G300" s="620">
        <f>G129</f>
        <v>0</v>
      </c>
      <c r="I300" s="1046"/>
      <c r="J300" s="620">
        <v>12</v>
      </c>
      <c r="K300" s="620">
        <f>J129</f>
        <v>60</v>
      </c>
      <c r="L300" s="620">
        <f t="shared" ref="L300:N300" si="274">K129</f>
        <v>9.9999999999999995E-7</v>
      </c>
      <c r="M300" s="620" t="str">
        <f t="shared" si="274"/>
        <v>-</v>
      </c>
      <c r="N300" s="620">
        <f t="shared" si="274"/>
        <v>0</v>
      </c>
      <c r="O300" s="620">
        <f>N129</f>
        <v>0</v>
      </c>
      <c r="Q300" s="1046"/>
      <c r="R300" s="620">
        <v>12</v>
      </c>
      <c r="S300" s="620">
        <f>Q129</f>
        <v>950</v>
      </c>
      <c r="T300" s="621">
        <f t="shared" ref="T300:V300" si="275">R129</f>
        <v>-0.7</v>
      </c>
      <c r="U300" s="621" t="str">
        <f t="shared" si="275"/>
        <v>-</v>
      </c>
      <c r="V300" s="621">
        <f t="shared" si="275"/>
        <v>0</v>
      </c>
      <c r="W300" s="621">
        <f>U129</f>
        <v>0</v>
      </c>
      <c r="AE300" s="605"/>
    </row>
    <row r="301" spans="1:31" ht="13" x14ac:dyDescent="0.3">
      <c r="A301" s="1046"/>
      <c r="B301" s="620">
        <v>13</v>
      </c>
      <c r="C301" s="620">
        <f>C151</f>
        <v>30</v>
      </c>
      <c r="D301" s="620">
        <f t="shared" ref="D301:F301" si="276">D151</f>
        <v>-0.4</v>
      </c>
      <c r="E301" s="620">
        <f t="shared" si="276"/>
        <v>-0.3</v>
      </c>
      <c r="F301" s="620" t="str">
        <f t="shared" si="276"/>
        <v>-</v>
      </c>
      <c r="G301" s="620">
        <f>G151</f>
        <v>0</v>
      </c>
      <c r="I301" s="1046"/>
      <c r="J301" s="620">
        <v>13</v>
      </c>
      <c r="K301" s="620">
        <f>J140</f>
        <v>60</v>
      </c>
      <c r="L301" s="620">
        <f t="shared" ref="L301:N301" si="277">K140</f>
        <v>-1.6</v>
      </c>
      <c r="M301" s="620">
        <f t="shared" si="277"/>
        <v>-1.5</v>
      </c>
      <c r="N301" s="620" t="str">
        <f t="shared" si="277"/>
        <v>-</v>
      </c>
      <c r="O301" s="620">
        <f>N140</f>
        <v>0</v>
      </c>
      <c r="Q301" s="1046"/>
      <c r="R301" s="620">
        <v>13</v>
      </c>
      <c r="S301" s="620">
        <f>Q140</f>
        <v>990</v>
      </c>
      <c r="T301" s="621">
        <f t="shared" ref="T301:V301" si="278">R140</f>
        <v>3.8</v>
      </c>
      <c r="U301" s="621">
        <f t="shared" si="278"/>
        <v>1.1000000000000001</v>
      </c>
      <c r="V301" s="621" t="str">
        <f t="shared" si="278"/>
        <v>-</v>
      </c>
      <c r="W301" s="621">
        <f>U140</f>
        <v>0</v>
      </c>
      <c r="AE301" s="605"/>
    </row>
    <row r="302" spans="1:31" ht="13" x14ac:dyDescent="0.3">
      <c r="A302" s="1046"/>
      <c r="B302" s="620">
        <v>14</v>
      </c>
      <c r="C302" s="620">
        <f>C151</f>
        <v>30</v>
      </c>
      <c r="D302" s="620">
        <f t="shared" ref="D302:F302" si="279">D151</f>
        <v>-0.4</v>
      </c>
      <c r="E302" s="620">
        <f t="shared" si="279"/>
        <v>-0.3</v>
      </c>
      <c r="F302" s="620" t="str">
        <f t="shared" si="279"/>
        <v>-</v>
      </c>
      <c r="G302" s="620">
        <f>G151</f>
        <v>0</v>
      </c>
      <c r="I302" s="1046"/>
      <c r="J302" s="620">
        <v>14</v>
      </c>
      <c r="K302" s="620">
        <f>J151</f>
        <v>60</v>
      </c>
      <c r="L302" s="620">
        <f t="shared" ref="L302:N302" si="280">K151</f>
        <v>0.3</v>
      </c>
      <c r="M302" s="620">
        <f t="shared" si="280"/>
        <v>-0.6</v>
      </c>
      <c r="N302" s="620" t="str">
        <f t="shared" si="280"/>
        <v>-</v>
      </c>
      <c r="O302" s="620">
        <f>N151</f>
        <v>0</v>
      </c>
      <c r="Q302" s="1046"/>
      <c r="R302" s="620">
        <v>14</v>
      </c>
      <c r="S302" s="620">
        <f>Q151</f>
        <v>990</v>
      </c>
      <c r="T302" s="621">
        <f t="shared" ref="T302:V302" si="281">R151</f>
        <v>3.9</v>
      </c>
      <c r="U302" s="621">
        <f t="shared" si="281"/>
        <v>1.1000000000000001</v>
      </c>
      <c r="V302" s="621" t="str">
        <f t="shared" si="281"/>
        <v>-</v>
      </c>
      <c r="W302" s="621">
        <f>U151</f>
        <v>0</v>
      </c>
      <c r="AE302" s="605"/>
    </row>
    <row r="303" spans="1:31" ht="13" x14ac:dyDescent="0.3">
      <c r="A303" s="1046"/>
      <c r="B303" s="620">
        <v>15</v>
      </c>
      <c r="C303" s="620">
        <f>C162</f>
        <v>30</v>
      </c>
      <c r="D303" s="620">
        <f t="shared" ref="D303:F303" si="282">D162</f>
        <v>0.4</v>
      </c>
      <c r="E303" s="620">
        <f t="shared" si="282"/>
        <v>-0.2</v>
      </c>
      <c r="F303" s="620" t="str">
        <f t="shared" si="282"/>
        <v>-</v>
      </c>
      <c r="G303" s="620">
        <f>G162</f>
        <v>0</v>
      </c>
      <c r="I303" s="1046"/>
      <c r="J303" s="620">
        <v>15</v>
      </c>
      <c r="K303" s="620">
        <f>J162</f>
        <v>60</v>
      </c>
      <c r="L303" s="620">
        <f t="shared" ref="L303:N303" si="283">K162</f>
        <v>-1.1000000000000001</v>
      </c>
      <c r="M303" s="620">
        <f t="shared" si="283"/>
        <v>-0.5</v>
      </c>
      <c r="N303" s="620" t="str">
        <f t="shared" si="283"/>
        <v>-</v>
      </c>
      <c r="O303" s="620">
        <f>N162</f>
        <v>0</v>
      </c>
      <c r="Q303" s="1046"/>
      <c r="R303" s="620">
        <v>15</v>
      </c>
      <c r="S303" s="620">
        <f>Q162</f>
        <v>990</v>
      </c>
      <c r="T303" s="621">
        <f t="shared" ref="T303:V303" si="284">R162</f>
        <v>4.2</v>
      </c>
      <c r="U303" s="621">
        <f t="shared" si="284"/>
        <v>1.1000000000000001</v>
      </c>
      <c r="V303" s="621" t="str">
        <f t="shared" si="284"/>
        <v>-</v>
      </c>
      <c r="W303" s="621">
        <f>U162</f>
        <v>0</v>
      </c>
      <c r="AE303" s="605"/>
    </row>
    <row r="304" spans="1:31" ht="13" x14ac:dyDescent="0.3">
      <c r="A304" s="1046"/>
      <c r="B304" s="620">
        <v>16</v>
      </c>
      <c r="C304" s="620">
        <f>C173</f>
        <v>30</v>
      </c>
      <c r="D304" s="620">
        <f t="shared" ref="D304:F304" si="285">D173</f>
        <v>0.6</v>
      </c>
      <c r="E304" s="620">
        <f t="shared" si="285"/>
        <v>0.2</v>
      </c>
      <c r="F304" s="620">
        <f t="shared" si="285"/>
        <v>0</v>
      </c>
      <c r="G304" s="620">
        <f>G173</f>
        <v>0.19999999999999998</v>
      </c>
      <c r="I304" s="1046"/>
      <c r="J304" s="620">
        <v>16</v>
      </c>
      <c r="K304" s="620">
        <f>J173</f>
        <v>60</v>
      </c>
      <c r="L304" s="620">
        <f t="shared" ref="L304:N304" si="286">K173</f>
        <v>-1.9</v>
      </c>
      <c r="M304" s="620">
        <f t="shared" si="286"/>
        <v>-1.5</v>
      </c>
      <c r="N304" s="620">
        <f t="shared" si="286"/>
        <v>0</v>
      </c>
      <c r="O304" s="620">
        <f>N173</f>
        <v>0.19999999999999996</v>
      </c>
      <c r="Q304" s="1046"/>
      <c r="R304" s="620">
        <v>16</v>
      </c>
      <c r="S304" s="620">
        <f>Q173</f>
        <v>990</v>
      </c>
      <c r="T304" s="621">
        <f t="shared" ref="T304:V304" si="287">R173</f>
        <v>4.4000000000000004</v>
      </c>
      <c r="U304" s="621" t="str">
        <f t="shared" si="287"/>
        <v>-</v>
      </c>
      <c r="V304" s="621">
        <f t="shared" si="287"/>
        <v>0</v>
      </c>
      <c r="W304" s="621">
        <f>U173</f>
        <v>0</v>
      </c>
      <c r="AE304" s="605"/>
    </row>
    <row r="305" spans="1:31" ht="13" x14ac:dyDescent="0.3">
      <c r="A305" s="1046"/>
      <c r="B305" s="620">
        <v>17</v>
      </c>
      <c r="C305" s="620">
        <f>C184</f>
        <v>30</v>
      </c>
      <c r="D305" s="620">
        <f t="shared" ref="D305:F305" si="288">D184</f>
        <v>0.6</v>
      </c>
      <c r="E305" s="620">
        <f t="shared" si="288"/>
        <v>-0.2</v>
      </c>
      <c r="F305" s="620">
        <f t="shared" si="288"/>
        <v>0</v>
      </c>
      <c r="G305" s="620">
        <f>G184</f>
        <v>0.4</v>
      </c>
      <c r="I305" s="1046"/>
      <c r="J305" s="620">
        <v>17</v>
      </c>
      <c r="K305" s="620">
        <f>J184</f>
        <v>60</v>
      </c>
      <c r="L305" s="620">
        <f t="shared" ref="L305:N305" si="289">K184</f>
        <v>-1.7</v>
      </c>
      <c r="M305" s="620">
        <f t="shared" si="289"/>
        <v>0</v>
      </c>
      <c r="N305" s="620">
        <f t="shared" si="289"/>
        <v>0</v>
      </c>
      <c r="O305" s="620">
        <f>N184</f>
        <v>0.85</v>
      </c>
      <c r="Q305" s="1046"/>
      <c r="R305" s="620">
        <v>17</v>
      </c>
      <c r="S305" s="620">
        <f>Q184</f>
        <v>990</v>
      </c>
      <c r="T305" s="621">
        <f t="shared" ref="T305:V305" si="290">R184</f>
        <v>4.5999999999999996</v>
      </c>
      <c r="U305" s="621">
        <f t="shared" si="290"/>
        <v>-0.6</v>
      </c>
      <c r="V305" s="621">
        <f t="shared" si="290"/>
        <v>0</v>
      </c>
      <c r="W305" s="621">
        <f>U184</f>
        <v>2.5999999999999996</v>
      </c>
      <c r="AE305" s="605"/>
    </row>
    <row r="306" spans="1:31" ht="13" x14ac:dyDescent="0.3">
      <c r="A306" s="1046"/>
      <c r="B306" s="620">
        <v>18</v>
      </c>
      <c r="C306" s="620">
        <f>C195</f>
        <v>30</v>
      </c>
      <c r="D306" s="620">
        <f t="shared" ref="D306:F306" si="291">D195</f>
        <v>0.3</v>
      </c>
      <c r="E306" s="620">
        <f t="shared" si="291"/>
        <v>-0.2</v>
      </c>
      <c r="F306" s="620">
        <f t="shared" si="291"/>
        <v>0</v>
      </c>
      <c r="G306" s="620">
        <f>G195</f>
        <v>0.25</v>
      </c>
      <c r="I306" s="1046"/>
      <c r="J306" s="620">
        <v>18</v>
      </c>
      <c r="K306" s="620">
        <f>J195</f>
        <v>60</v>
      </c>
      <c r="L306" s="620">
        <f t="shared" ref="L306:N306" si="292">K195</f>
        <v>-2.1</v>
      </c>
      <c r="M306" s="620">
        <f t="shared" si="292"/>
        <v>-0.2</v>
      </c>
      <c r="N306" s="620">
        <f t="shared" si="292"/>
        <v>0</v>
      </c>
      <c r="O306" s="620">
        <f>N195</f>
        <v>0.95000000000000007</v>
      </c>
      <c r="Q306" s="1046"/>
      <c r="R306" s="620">
        <v>18</v>
      </c>
      <c r="S306" s="620">
        <f>Q195</f>
        <v>990</v>
      </c>
      <c r="T306" s="621">
        <f t="shared" ref="T306:V306" si="293">R195</f>
        <v>4.5</v>
      </c>
      <c r="U306" s="621" t="str">
        <f t="shared" si="293"/>
        <v>-</v>
      </c>
      <c r="V306" s="621">
        <f t="shared" si="293"/>
        <v>0</v>
      </c>
      <c r="W306" s="621">
        <f>U195</f>
        <v>0</v>
      </c>
      <c r="AE306" s="605"/>
    </row>
    <row r="307" spans="1:31" ht="13" x14ac:dyDescent="0.3">
      <c r="A307" s="1046"/>
      <c r="B307" s="620">
        <v>19</v>
      </c>
      <c r="C307" s="620">
        <f>C206</f>
        <v>30</v>
      </c>
      <c r="D307" s="620">
        <f t="shared" ref="D307:F307" si="294">D206</f>
        <v>-0.1</v>
      </c>
      <c r="E307" s="620" t="str">
        <f t="shared" si="294"/>
        <v>-</v>
      </c>
      <c r="F307" s="620">
        <f t="shared" si="294"/>
        <v>0</v>
      </c>
      <c r="G307" s="620">
        <f>G206</f>
        <v>0</v>
      </c>
      <c r="I307" s="1046"/>
      <c r="J307" s="620">
        <v>19</v>
      </c>
      <c r="K307" s="620">
        <f>J206</f>
        <v>60</v>
      </c>
      <c r="L307" s="620">
        <f t="shared" ref="L307:N307" si="295">K206</f>
        <v>0.4</v>
      </c>
      <c r="M307" s="620" t="str">
        <f t="shared" si="295"/>
        <v>-</v>
      </c>
      <c r="N307" s="620">
        <f t="shared" si="295"/>
        <v>0</v>
      </c>
      <c r="O307" s="620">
        <f>N206</f>
        <v>0</v>
      </c>
      <c r="Q307" s="1046"/>
      <c r="R307" s="620">
        <v>19</v>
      </c>
      <c r="S307" s="620">
        <f>Q206</f>
        <v>900</v>
      </c>
      <c r="T307" s="621">
        <f t="shared" ref="T307:V307" si="296">R206</f>
        <v>2.2999999999999998</v>
      </c>
      <c r="U307" s="621" t="str">
        <f t="shared" si="296"/>
        <v>-</v>
      </c>
      <c r="V307" s="621">
        <f t="shared" si="296"/>
        <v>0</v>
      </c>
      <c r="W307" s="621">
        <f>U206</f>
        <v>0</v>
      </c>
      <c r="AE307" s="605"/>
    </row>
    <row r="308" spans="1:31" ht="13.5" thickBot="1" x14ac:dyDescent="0.35">
      <c r="A308" s="1046"/>
      <c r="B308" s="620">
        <v>20</v>
      </c>
      <c r="C308" s="620">
        <f>C217</f>
        <v>29.5</v>
      </c>
      <c r="D308" s="620">
        <f t="shared" ref="D308:F308" si="297">D217</f>
        <v>9.9999999999999995E-7</v>
      </c>
      <c r="E308" s="620" t="str">
        <f t="shared" si="297"/>
        <v>-</v>
      </c>
      <c r="F308" s="620">
        <f t="shared" si="297"/>
        <v>9.9999999999999995E-7</v>
      </c>
      <c r="G308" s="620">
        <f>G217</f>
        <v>0</v>
      </c>
      <c r="I308" s="1046"/>
      <c r="J308" s="620">
        <v>20</v>
      </c>
      <c r="K308" s="620">
        <f>J217</f>
        <v>71.5</v>
      </c>
      <c r="L308" s="620">
        <f t="shared" ref="L308:N308" si="298">K217</f>
        <v>9.9999999999999995E-7</v>
      </c>
      <c r="M308" s="620" t="str">
        <f t="shared" si="298"/>
        <v>-</v>
      </c>
      <c r="N308" s="620">
        <f t="shared" si="298"/>
        <v>0</v>
      </c>
      <c r="O308" s="620">
        <f>N217</f>
        <v>0</v>
      </c>
      <c r="Q308" s="1048"/>
      <c r="R308" s="629">
        <v>20</v>
      </c>
      <c r="S308" s="629">
        <f>Q217</f>
        <v>900</v>
      </c>
      <c r="T308" s="643" t="str">
        <f t="shared" ref="T308:V308" si="299">R217</f>
        <v>-</v>
      </c>
      <c r="U308" s="643" t="str">
        <f t="shared" si="299"/>
        <v>-</v>
      </c>
      <c r="V308" s="643">
        <f t="shared" si="299"/>
        <v>0</v>
      </c>
      <c r="W308" s="643">
        <f>U217</f>
        <v>0</v>
      </c>
      <c r="AE308" s="633"/>
    </row>
    <row r="309" spans="1:31" ht="13.5" thickBot="1" x14ac:dyDescent="0.35">
      <c r="A309" s="510"/>
      <c r="B309" s="510"/>
      <c r="C309" s="510"/>
      <c r="D309" s="510"/>
      <c r="E309" s="510"/>
      <c r="F309" s="510"/>
      <c r="G309" s="510"/>
      <c r="I309" s="510"/>
      <c r="J309" s="510"/>
      <c r="K309" s="510"/>
      <c r="L309" s="510"/>
      <c r="M309" s="510"/>
      <c r="N309" s="510"/>
      <c r="O309" s="510"/>
      <c r="Q309" s="644"/>
      <c r="R309" s="646"/>
      <c r="S309" s="442"/>
      <c r="T309" s="443"/>
      <c r="U309" s="443"/>
      <c r="V309" s="443"/>
      <c r="W309" s="443"/>
      <c r="AE309" s="605"/>
    </row>
    <row r="310" spans="1:31" ht="13" x14ac:dyDescent="0.3">
      <c r="A310" s="1046">
        <v>5</v>
      </c>
      <c r="B310" s="620">
        <v>1</v>
      </c>
      <c r="C310" s="620">
        <f>C9</f>
        <v>35</v>
      </c>
      <c r="D310" s="620">
        <f t="shared" ref="D310:F310" si="300">D9</f>
        <v>-0.1</v>
      </c>
      <c r="E310" s="620">
        <f t="shared" si="300"/>
        <v>-0.5</v>
      </c>
      <c r="F310" s="620">
        <f t="shared" si="300"/>
        <v>0</v>
      </c>
      <c r="G310" s="620">
        <f>G9</f>
        <v>0.25</v>
      </c>
      <c r="I310" s="1046">
        <v>5</v>
      </c>
      <c r="J310" s="620">
        <v>1</v>
      </c>
      <c r="K310" s="620">
        <f>J20</f>
        <v>70</v>
      </c>
      <c r="L310" s="620">
        <f t="shared" ref="L310:N310" si="301">K20</f>
        <v>-3.4</v>
      </c>
      <c r="M310" s="620">
        <f t="shared" si="301"/>
        <v>-2.4</v>
      </c>
      <c r="N310" s="620">
        <f t="shared" si="301"/>
        <v>-1.1000000000000001</v>
      </c>
      <c r="O310" s="620">
        <f>N20</f>
        <v>1.1499999999999999</v>
      </c>
      <c r="Q310" s="1047">
        <v>5</v>
      </c>
      <c r="R310" s="638">
        <v>1</v>
      </c>
      <c r="S310" s="638">
        <f>Q9</f>
        <v>1000</v>
      </c>
      <c r="T310" s="645" t="str">
        <f t="shared" ref="T310:V310" si="302">R9</f>
        <v>-</v>
      </c>
      <c r="U310" s="645" t="str">
        <f t="shared" si="302"/>
        <v>-</v>
      </c>
      <c r="V310" s="645">
        <f t="shared" si="302"/>
        <v>0</v>
      </c>
      <c r="W310" s="645">
        <f>U9</f>
        <v>0</v>
      </c>
      <c r="AE310" s="641"/>
    </row>
    <row r="311" spans="1:31" ht="13" x14ac:dyDescent="0.3">
      <c r="A311" s="1046"/>
      <c r="B311" s="620">
        <v>2</v>
      </c>
      <c r="C311" s="620">
        <f>C20</f>
        <v>35</v>
      </c>
      <c r="D311" s="620">
        <f t="shared" ref="D311:F311" si="303">D20</f>
        <v>0.5</v>
      </c>
      <c r="E311" s="620">
        <f t="shared" si="303"/>
        <v>-0.1</v>
      </c>
      <c r="F311" s="620">
        <f t="shared" si="303"/>
        <v>-0.3</v>
      </c>
      <c r="G311" s="620">
        <f>G20</f>
        <v>0.4</v>
      </c>
      <c r="I311" s="1046"/>
      <c r="J311" s="620">
        <v>2</v>
      </c>
      <c r="K311" s="620">
        <f>J20</f>
        <v>70</v>
      </c>
      <c r="L311" s="620">
        <f t="shared" ref="L311:N311" si="304">K20</f>
        <v>-3.4</v>
      </c>
      <c r="M311" s="620">
        <f t="shared" si="304"/>
        <v>-2.4</v>
      </c>
      <c r="N311" s="620">
        <f t="shared" si="304"/>
        <v>-1.1000000000000001</v>
      </c>
      <c r="O311" s="620">
        <f>N20</f>
        <v>1.1499999999999999</v>
      </c>
      <c r="Q311" s="1046"/>
      <c r="R311" s="620">
        <v>2</v>
      </c>
      <c r="S311" s="620">
        <f>Q20</f>
        <v>1000</v>
      </c>
      <c r="T311" s="621" t="str">
        <f t="shared" ref="T311:V311" si="305">R20</f>
        <v>-</v>
      </c>
      <c r="U311" s="621" t="str">
        <f t="shared" si="305"/>
        <v>-</v>
      </c>
      <c r="V311" s="621">
        <f t="shared" si="305"/>
        <v>0</v>
      </c>
      <c r="W311" s="621">
        <f>U20</f>
        <v>0</v>
      </c>
      <c r="AE311" s="605"/>
    </row>
    <row r="312" spans="1:31" ht="13" x14ac:dyDescent="0.3">
      <c r="A312" s="1046"/>
      <c r="B312" s="620">
        <v>3</v>
      </c>
      <c r="C312" s="620">
        <f>C31</f>
        <v>35</v>
      </c>
      <c r="D312" s="620">
        <f t="shared" ref="D312:F312" si="306">D31</f>
        <v>0.3</v>
      </c>
      <c r="E312" s="620">
        <f t="shared" si="306"/>
        <v>-0.3</v>
      </c>
      <c r="F312" s="620">
        <f t="shared" si="306"/>
        <v>-0.5</v>
      </c>
      <c r="G312" s="620">
        <f>G31</f>
        <v>0.4</v>
      </c>
      <c r="I312" s="1046"/>
      <c r="J312" s="620">
        <v>3</v>
      </c>
      <c r="K312" s="620">
        <f>J31</f>
        <v>70</v>
      </c>
      <c r="L312" s="620">
        <f t="shared" ref="L312:N312" si="307">K31</f>
        <v>-4.4000000000000004</v>
      </c>
      <c r="M312" s="620">
        <f t="shared" si="307"/>
        <v>-2</v>
      </c>
      <c r="N312" s="620">
        <f t="shared" si="307"/>
        <v>-3.6</v>
      </c>
      <c r="O312" s="620">
        <f>N31</f>
        <v>1.2000000000000002</v>
      </c>
      <c r="Q312" s="1046"/>
      <c r="R312" s="620">
        <v>3</v>
      </c>
      <c r="S312" s="620">
        <f>Q31</f>
        <v>1000</v>
      </c>
      <c r="T312" s="621" t="str">
        <f t="shared" ref="T312:V312" si="308">R31</f>
        <v>-</v>
      </c>
      <c r="U312" s="621" t="str">
        <f t="shared" si="308"/>
        <v>-</v>
      </c>
      <c r="V312" s="621">
        <f t="shared" si="308"/>
        <v>0</v>
      </c>
      <c r="W312" s="621">
        <f>U31</f>
        <v>0</v>
      </c>
      <c r="AE312" s="605"/>
    </row>
    <row r="313" spans="1:31" ht="13" x14ac:dyDescent="0.3">
      <c r="A313" s="1046"/>
      <c r="B313" s="620">
        <v>4</v>
      </c>
      <c r="C313" s="620">
        <f>C42</f>
        <v>35</v>
      </c>
      <c r="D313" s="620">
        <f t="shared" ref="D313:F313" si="309">D42</f>
        <v>-0.3</v>
      </c>
      <c r="E313" s="620">
        <f t="shared" si="309"/>
        <v>-0.6</v>
      </c>
      <c r="F313" s="620">
        <f t="shared" si="309"/>
        <v>0</v>
      </c>
      <c r="G313" s="620">
        <f>G42</f>
        <v>0.15</v>
      </c>
      <c r="I313" s="1046"/>
      <c r="J313" s="620">
        <v>4</v>
      </c>
      <c r="K313" s="620">
        <f>J42</f>
        <v>70</v>
      </c>
      <c r="L313" s="620">
        <f t="shared" ref="L313:N313" si="310">K42</f>
        <v>-4</v>
      </c>
      <c r="M313" s="620">
        <f t="shared" si="310"/>
        <v>0.7</v>
      </c>
      <c r="N313" s="620">
        <f t="shared" si="310"/>
        <v>0</v>
      </c>
      <c r="O313" s="620">
        <f>N42</f>
        <v>2.35</v>
      </c>
      <c r="Q313" s="1046"/>
      <c r="R313" s="620">
        <v>4</v>
      </c>
      <c r="S313" s="620">
        <f>Q42</f>
        <v>1000</v>
      </c>
      <c r="T313" s="621" t="str">
        <f t="shared" ref="T313:V313" si="311">R42</f>
        <v>-</v>
      </c>
      <c r="U313" s="621" t="str">
        <f t="shared" si="311"/>
        <v>-</v>
      </c>
      <c r="V313" s="621">
        <f t="shared" si="311"/>
        <v>0</v>
      </c>
      <c r="W313" s="621">
        <f>U42</f>
        <v>0</v>
      </c>
      <c r="AE313" s="605"/>
    </row>
    <row r="314" spans="1:31" ht="13" x14ac:dyDescent="0.3">
      <c r="A314" s="1046"/>
      <c r="B314" s="620">
        <v>5</v>
      </c>
      <c r="C314" s="620">
        <f>C53</f>
        <v>35</v>
      </c>
      <c r="D314" s="620">
        <f t="shared" ref="D314:F314" si="312">D53</f>
        <v>0.4</v>
      </c>
      <c r="E314" s="620">
        <f t="shared" si="312"/>
        <v>0.7</v>
      </c>
      <c r="F314" s="620">
        <f t="shared" si="312"/>
        <v>9.9999999999999995E-7</v>
      </c>
      <c r="G314" s="620">
        <f>G53</f>
        <v>0.34999949999999996</v>
      </c>
      <c r="I314" s="1046"/>
      <c r="J314" s="620">
        <v>5</v>
      </c>
      <c r="K314" s="620">
        <f>J53</f>
        <v>70</v>
      </c>
      <c r="L314" s="620">
        <f t="shared" ref="L314:N314" si="313">K53</f>
        <v>-7.1</v>
      </c>
      <c r="M314" s="620">
        <f t="shared" si="313"/>
        <v>-4.0999999999999996</v>
      </c>
      <c r="N314" s="620">
        <f t="shared" si="313"/>
        <v>-2.1</v>
      </c>
      <c r="O314" s="620">
        <f>N53</f>
        <v>2.5</v>
      </c>
      <c r="Q314" s="1046"/>
      <c r="R314" s="620">
        <v>5</v>
      </c>
      <c r="S314" s="620">
        <f>Q53</f>
        <v>1000</v>
      </c>
      <c r="T314" s="621" t="str">
        <f t="shared" ref="T314:V314" si="314">R53</f>
        <v>-</v>
      </c>
      <c r="U314" s="621" t="str">
        <f t="shared" si="314"/>
        <v>-</v>
      </c>
      <c r="V314" s="621">
        <f t="shared" si="314"/>
        <v>0</v>
      </c>
      <c r="W314" s="621">
        <f>U53</f>
        <v>0</v>
      </c>
      <c r="AE314" s="605"/>
    </row>
    <row r="315" spans="1:31" ht="13" x14ac:dyDescent="0.3">
      <c r="A315" s="1046"/>
      <c r="B315" s="620">
        <v>6</v>
      </c>
      <c r="C315" s="620">
        <f>C64</f>
        <v>35</v>
      </c>
      <c r="D315" s="620">
        <f t="shared" ref="D315:F315" si="315">D64</f>
        <v>0.1</v>
      </c>
      <c r="E315" s="620">
        <f t="shared" si="315"/>
        <v>-0.9</v>
      </c>
      <c r="F315" s="620">
        <f t="shared" si="315"/>
        <v>0</v>
      </c>
      <c r="G315" s="620">
        <f>G64</f>
        <v>0.5</v>
      </c>
      <c r="I315" s="1046"/>
      <c r="J315" s="620">
        <v>6</v>
      </c>
      <c r="K315" s="620">
        <f>J64</f>
        <v>70</v>
      </c>
      <c r="L315" s="620">
        <f t="shared" ref="L315:N315" si="316">K64</f>
        <v>-6.7</v>
      </c>
      <c r="M315" s="620">
        <f t="shared" si="316"/>
        <v>0.9</v>
      </c>
      <c r="N315" s="620">
        <f t="shared" si="316"/>
        <v>0</v>
      </c>
      <c r="O315" s="620">
        <f>N64</f>
        <v>3.8000000000000003</v>
      </c>
      <c r="Q315" s="1046"/>
      <c r="R315" s="620">
        <v>6</v>
      </c>
      <c r="S315" s="620">
        <f>Q64</f>
        <v>1000</v>
      </c>
      <c r="T315" s="621">
        <f t="shared" ref="T315:V315" si="317">R64</f>
        <v>0.9</v>
      </c>
      <c r="U315" s="621">
        <f t="shared" si="317"/>
        <v>-0.3</v>
      </c>
      <c r="V315" s="621">
        <f t="shared" si="317"/>
        <v>0</v>
      </c>
      <c r="W315" s="621">
        <f>U64</f>
        <v>0.6</v>
      </c>
      <c r="AE315" s="605"/>
    </row>
    <row r="316" spans="1:31" ht="13" x14ac:dyDescent="0.3">
      <c r="A316" s="1046"/>
      <c r="B316" s="620">
        <v>7</v>
      </c>
      <c r="C316" s="620">
        <f>C75</f>
        <v>35</v>
      </c>
      <c r="D316" s="620">
        <f t="shared" ref="D316:F316" si="318">D75</f>
        <v>-0.4</v>
      </c>
      <c r="E316" s="620">
        <f t="shared" si="318"/>
        <v>9.9999999999999995E-7</v>
      </c>
      <c r="F316" s="620">
        <f t="shared" si="318"/>
        <v>-1.1000000000000001</v>
      </c>
      <c r="G316" s="620">
        <f>G75</f>
        <v>0.5500005</v>
      </c>
      <c r="I316" s="1046"/>
      <c r="J316" s="620">
        <v>7</v>
      </c>
      <c r="K316" s="620">
        <f>J75</f>
        <v>70</v>
      </c>
      <c r="L316" s="620">
        <f t="shared" ref="L316:N316" si="319">K75</f>
        <v>-2.1</v>
      </c>
      <c r="M316" s="620">
        <f t="shared" si="319"/>
        <v>-2.2999999999999998</v>
      </c>
      <c r="N316" s="620">
        <f t="shared" si="319"/>
        <v>0.9</v>
      </c>
      <c r="O316" s="620">
        <f>N75</f>
        <v>1.5999999999999999</v>
      </c>
      <c r="Q316" s="1046"/>
      <c r="R316" s="620">
        <v>7</v>
      </c>
      <c r="S316" s="620">
        <f>Q75</f>
        <v>1000</v>
      </c>
      <c r="T316" s="621">
        <f t="shared" ref="T316:V316" si="320">R75</f>
        <v>0.4</v>
      </c>
      <c r="U316" s="621">
        <f t="shared" si="320"/>
        <v>-3.9</v>
      </c>
      <c r="V316" s="621">
        <f t="shared" si="320"/>
        <v>-0.4</v>
      </c>
      <c r="W316" s="621">
        <f>U75</f>
        <v>2.15</v>
      </c>
      <c r="AE316" s="605"/>
    </row>
    <row r="317" spans="1:31" ht="13" x14ac:dyDescent="0.3">
      <c r="A317" s="1046"/>
      <c r="B317" s="620">
        <v>8</v>
      </c>
      <c r="C317" s="620">
        <f>C86</f>
        <v>35</v>
      </c>
      <c r="D317" s="620">
        <f t="shared" ref="D317:F317" si="321">D86</f>
        <v>-0.1</v>
      </c>
      <c r="E317" s="620">
        <f t="shared" si="321"/>
        <v>-0.5</v>
      </c>
      <c r="F317" s="620">
        <f t="shared" si="321"/>
        <v>0</v>
      </c>
      <c r="G317" s="620">
        <f>G86</f>
        <v>0.2</v>
      </c>
      <c r="I317" s="1046"/>
      <c r="J317" s="620">
        <v>8</v>
      </c>
      <c r="K317" s="620">
        <f>J86</f>
        <v>70</v>
      </c>
      <c r="L317" s="620">
        <f t="shared" ref="L317:N317" si="322">K86</f>
        <v>-4.0999999999999996</v>
      </c>
      <c r="M317" s="620">
        <f t="shared" si="322"/>
        <v>-1.2</v>
      </c>
      <c r="N317" s="620">
        <f t="shared" si="322"/>
        <v>0</v>
      </c>
      <c r="O317" s="620">
        <f>N86</f>
        <v>1.4499999999999997</v>
      </c>
      <c r="Q317" s="1046"/>
      <c r="R317" s="620">
        <v>8</v>
      </c>
      <c r="S317" s="620">
        <f>Q86</f>
        <v>1000</v>
      </c>
      <c r="T317" s="621">
        <f t="shared" ref="T317:V317" si="323">R86</f>
        <v>-3.5</v>
      </c>
      <c r="U317" s="621">
        <f t="shared" si="323"/>
        <v>0.2</v>
      </c>
      <c r="V317" s="621">
        <f t="shared" si="323"/>
        <v>0</v>
      </c>
      <c r="W317" s="621">
        <f>U86</f>
        <v>1.85</v>
      </c>
      <c r="AE317" s="605"/>
    </row>
    <row r="318" spans="1:31" ht="13" x14ac:dyDescent="0.3">
      <c r="A318" s="1046"/>
      <c r="B318" s="620">
        <v>9</v>
      </c>
      <c r="C318" s="620">
        <f>C97</f>
        <v>35</v>
      </c>
      <c r="D318" s="620">
        <f t="shared" ref="D318:F318" si="324">D97</f>
        <v>-0.5</v>
      </c>
      <c r="E318" s="620" t="str">
        <f t="shared" si="324"/>
        <v>-</v>
      </c>
      <c r="F318" s="620">
        <f t="shared" si="324"/>
        <v>0</v>
      </c>
      <c r="G318" s="620">
        <f>G97</f>
        <v>0</v>
      </c>
      <c r="I318" s="1046"/>
      <c r="J318" s="620">
        <v>9</v>
      </c>
      <c r="K318" s="620">
        <f>J97</f>
        <v>70</v>
      </c>
      <c r="L318" s="620">
        <f t="shared" ref="L318:N318" si="325">K97</f>
        <v>-0.6</v>
      </c>
      <c r="M318" s="620" t="str">
        <f t="shared" si="325"/>
        <v>-</v>
      </c>
      <c r="N318" s="620">
        <f t="shared" si="325"/>
        <v>0</v>
      </c>
      <c r="O318" s="620">
        <f>N97</f>
        <v>0</v>
      </c>
      <c r="Q318" s="1046"/>
      <c r="R318" s="620">
        <v>9</v>
      </c>
      <c r="S318" s="620">
        <f>Q97</f>
        <v>1000</v>
      </c>
      <c r="T318" s="621">
        <f t="shared" ref="T318:V318" si="326">R97</f>
        <v>0.2</v>
      </c>
      <c r="U318" s="621" t="str">
        <f t="shared" si="326"/>
        <v>-</v>
      </c>
      <c r="V318" s="621">
        <f t="shared" si="326"/>
        <v>0</v>
      </c>
      <c r="W318" s="621">
        <f>U97</f>
        <v>0</v>
      </c>
      <c r="AE318" s="605"/>
    </row>
    <row r="319" spans="1:31" ht="13" x14ac:dyDescent="0.3">
      <c r="A319" s="1046"/>
      <c r="B319" s="620">
        <v>10</v>
      </c>
      <c r="C319" s="620">
        <f>C108</f>
        <v>35</v>
      </c>
      <c r="D319" s="620">
        <f t="shared" ref="D319:F319" si="327">D108</f>
        <v>0.2</v>
      </c>
      <c r="E319" s="620">
        <f t="shared" si="327"/>
        <v>0.8</v>
      </c>
      <c r="F319" s="620">
        <f t="shared" si="327"/>
        <v>0</v>
      </c>
      <c r="G319" s="620">
        <f>G108</f>
        <v>0.30000000000000004</v>
      </c>
      <c r="I319" s="1046"/>
      <c r="J319" s="620">
        <v>10</v>
      </c>
      <c r="K319" s="620">
        <f>J108</f>
        <v>70</v>
      </c>
      <c r="L319" s="620">
        <f t="shared" ref="L319:N319" si="328">K108</f>
        <v>-0.3</v>
      </c>
      <c r="M319" s="620">
        <f t="shared" si="328"/>
        <v>-5.0999999999999996</v>
      </c>
      <c r="N319" s="620">
        <f t="shared" si="328"/>
        <v>0</v>
      </c>
      <c r="O319" s="620">
        <f>N108</f>
        <v>2.4</v>
      </c>
      <c r="Q319" s="1046"/>
      <c r="R319" s="620">
        <v>10</v>
      </c>
      <c r="S319" s="620">
        <f>Q108</f>
        <v>1000</v>
      </c>
      <c r="T319" s="621" t="str">
        <f t="shared" ref="T319:V319" si="329">R108</f>
        <v>-</v>
      </c>
      <c r="U319" s="621" t="str">
        <f t="shared" si="329"/>
        <v>-</v>
      </c>
      <c r="V319" s="621">
        <f t="shared" si="329"/>
        <v>0</v>
      </c>
      <c r="W319" s="621">
        <f>U108</f>
        <v>0</v>
      </c>
      <c r="AE319" s="605"/>
    </row>
    <row r="320" spans="1:31" ht="13" x14ac:dyDescent="0.3">
      <c r="A320" s="1046"/>
      <c r="B320" s="620">
        <v>11</v>
      </c>
      <c r="C320" s="620">
        <f>C119</f>
        <v>35</v>
      </c>
      <c r="D320" s="620">
        <f t="shared" ref="D320:F320" si="330">D119</f>
        <v>0.5</v>
      </c>
      <c r="E320" s="620">
        <f t="shared" si="330"/>
        <v>0.4</v>
      </c>
      <c r="F320" s="620">
        <f t="shared" si="330"/>
        <v>0</v>
      </c>
      <c r="G320" s="620">
        <f>G119</f>
        <v>4.9999999999999989E-2</v>
      </c>
      <c r="I320" s="1046"/>
      <c r="J320" s="620">
        <v>11</v>
      </c>
      <c r="K320" s="620">
        <f>J119</f>
        <v>70</v>
      </c>
      <c r="L320" s="620">
        <f t="shared" ref="L320:N320" si="331">K119</f>
        <v>-3.4</v>
      </c>
      <c r="M320" s="620">
        <f t="shared" si="331"/>
        <v>-1.7</v>
      </c>
      <c r="N320" s="620">
        <f t="shared" si="331"/>
        <v>0</v>
      </c>
      <c r="O320" s="620">
        <f>N119</f>
        <v>0.85</v>
      </c>
      <c r="Q320" s="1046"/>
      <c r="R320" s="620">
        <v>11</v>
      </c>
      <c r="S320" s="620">
        <f>Q119</f>
        <v>1000</v>
      </c>
      <c r="T320" s="621" t="str">
        <f t="shared" ref="T320:V320" si="332">R119</f>
        <v>-</v>
      </c>
      <c r="U320" s="621" t="str">
        <f t="shared" si="332"/>
        <v>-</v>
      </c>
      <c r="V320" s="621">
        <f t="shared" si="332"/>
        <v>0</v>
      </c>
      <c r="W320" s="621">
        <f>U119</f>
        <v>0</v>
      </c>
      <c r="AE320" s="605"/>
    </row>
    <row r="321" spans="1:31" ht="13" x14ac:dyDescent="0.3">
      <c r="A321" s="1046"/>
      <c r="B321" s="620">
        <v>12</v>
      </c>
      <c r="C321" s="620">
        <f>C130</f>
        <v>35</v>
      </c>
      <c r="D321" s="620">
        <f t="shared" ref="D321:F321" si="333">D130</f>
        <v>-0.2</v>
      </c>
      <c r="E321" s="620" t="str">
        <f t="shared" si="333"/>
        <v>-</v>
      </c>
      <c r="F321" s="620">
        <f t="shared" si="333"/>
        <v>0</v>
      </c>
      <c r="G321" s="620">
        <f>G130</f>
        <v>0</v>
      </c>
      <c r="I321" s="1046"/>
      <c r="J321" s="620">
        <v>12</v>
      </c>
      <c r="K321" s="620">
        <f>J130</f>
        <v>70</v>
      </c>
      <c r="L321" s="620">
        <f t="shared" ref="L321:N321" si="334">K130</f>
        <v>-0.1</v>
      </c>
      <c r="M321" s="620" t="str">
        <f t="shared" si="334"/>
        <v>-</v>
      </c>
      <c r="N321" s="620">
        <f t="shared" si="334"/>
        <v>0</v>
      </c>
      <c r="O321" s="620">
        <f>N130</f>
        <v>0</v>
      </c>
      <c r="Q321" s="1046"/>
      <c r="R321" s="620">
        <v>12</v>
      </c>
      <c r="S321" s="620">
        <f>Q130</f>
        <v>1000</v>
      </c>
      <c r="T321" s="621">
        <f t="shared" ref="T321:V321" si="335">R130</f>
        <v>-0.8</v>
      </c>
      <c r="U321" s="621" t="str">
        <f t="shared" si="335"/>
        <v>-</v>
      </c>
      <c r="V321" s="621">
        <f t="shared" si="335"/>
        <v>0</v>
      </c>
      <c r="W321" s="621">
        <f>U130</f>
        <v>0</v>
      </c>
      <c r="AE321" s="605"/>
    </row>
    <row r="322" spans="1:31" ht="13" x14ac:dyDescent="0.3">
      <c r="A322" s="1046"/>
      <c r="B322" s="620">
        <v>13</v>
      </c>
      <c r="C322" s="620">
        <f>C141</f>
        <v>35</v>
      </c>
      <c r="D322" s="620">
        <f t="shared" ref="D322:F322" si="336">D141</f>
        <v>-0.2</v>
      </c>
      <c r="E322" s="620">
        <f t="shared" si="336"/>
        <v>0.3</v>
      </c>
      <c r="F322" s="620" t="str">
        <f t="shared" si="336"/>
        <v>-</v>
      </c>
      <c r="G322" s="620">
        <f>G141</f>
        <v>0</v>
      </c>
      <c r="I322" s="1046"/>
      <c r="J322" s="620">
        <v>13</v>
      </c>
      <c r="K322" s="620">
        <f>J141</f>
        <v>70</v>
      </c>
      <c r="L322" s="620">
        <f t="shared" ref="L322:N322" si="337">K141</f>
        <v>-1.4</v>
      </c>
      <c r="M322" s="620">
        <f t="shared" si="337"/>
        <v>-1.9</v>
      </c>
      <c r="N322" s="620" t="str">
        <f t="shared" si="337"/>
        <v>-</v>
      </c>
      <c r="O322" s="620">
        <f>N141</f>
        <v>0</v>
      </c>
      <c r="Q322" s="1046"/>
      <c r="R322" s="620">
        <v>13</v>
      </c>
      <c r="S322" s="620">
        <f>Q141</f>
        <v>1000</v>
      </c>
      <c r="T322" s="621">
        <f t="shared" ref="T322:V322" si="338">R141</f>
        <v>3.7</v>
      </c>
      <c r="U322" s="621">
        <f t="shared" si="338"/>
        <v>1.1000000000000001</v>
      </c>
      <c r="V322" s="621" t="str">
        <f t="shared" si="338"/>
        <v>-</v>
      </c>
      <c r="W322" s="621">
        <f>U141</f>
        <v>0</v>
      </c>
      <c r="AE322" s="605"/>
    </row>
    <row r="323" spans="1:31" ht="13" x14ac:dyDescent="0.3">
      <c r="A323" s="1046"/>
      <c r="B323" s="620">
        <v>14</v>
      </c>
      <c r="C323" s="620">
        <f>C152</f>
        <v>35</v>
      </c>
      <c r="D323" s="620">
        <f t="shared" ref="D323:F323" si="339">D152</f>
        <v>-0.6</v>
      </c>
      <c r="E323" s="620">
        <f t="shared" si="339"/>
        <v>-0.6</v>
      </c>
      <c r="F323" s="620" t="str">
        <f t="shared" si="339"/>
        <v>-</v>
      </c>
      <c r="G323" s="620">
        <f>G152</f>
        <v>0</v>
      </c>
      <c r="I323" s="1046"/>
      <c r="J323" s="620">
        <v>14</v>
      </c>
      <c r="K323" s="620">
        <f>J152</f>
        <v>70</v>
      </c>
      <c r="L323" s="620">
        <f t="shared" ref="L323:N323" si="340">K152</f>
        <v>0.7</v>
      </c>
      <c r="M323" s="620">
        <f t="shared" si="340"/>
        <v>-0.8</v>
      </c>
      <c r="N323" s="620" t="str">
        <f t="shared" si="340"/>
        <v>-</v>
      </c>
      <c r="O323" s="620">
        <f>N152</f>
        <v>0</v>
      </c>
      <c r="Q323" s="1046"/>
      <c r="R323" s="620">
        <v>14</v>
      </c>
      <c r="S323" s="620">
        <f>Q152</f>
        <v>1000</v>
      </c>
      <c r="T323" s="621">
        <f t="shared" ref="T323:V323" si="341">R152</f>
        <v>3.8</v>
      </c>
      <c r="U323" s="621">
        <f t="shared" si="341"/>
        <v>1.1000000000000001</v>
      </c>
      <c r="V323" s="621" t="str">
        <f t="shared" si="341"/>
        <v>-</v>
      </c>
      <c r="W323" s="621">
        <f>U152</f>
        <v>0</v>
      </c>
      <c r="AE323" s="605"/>
    </row>
    <row r="324" spans="1:31" ht="13" x14ac:dyDescent="0.3">
      <c r="A324" s="1046"/>
      <c r="B324" s="620">
        <v>15</v>
      </c>
      <c r="C324" s="620">
        <f>C163</f>
        <v>35</v>
      </c>
      <c r="D324" s="620">
        <f t="shared" ref="D324:F324" si="342">D163</f>
        <v>0.8</v>
      </c>
      <c r="E324" s="620">
        <f t="shared" si="342"/>
        <v>-0.1</v>
      </c>
      <c r="F324" s="620" t="str">
        <f t="shared" si="342"/>
        <v>-</v>
      </c>
      <c r="G324" s="620">
        <f>G163</f>
        <v>0</v>
      </c>
      <c r="I324" s="1046"/>
      <c r="J324" s="620">
        <v>15</v>
      </c>
      <c r="K324" s="620">
        <f>J163</f>
        <v>70</v>
      </c>
      <c r="L324" s="620">
        <f t="shared" ref="L324:N324" si="343">K163</f>
        <v>-0.7</v>
      </c>
      <c r="M324" s="620">
        <f t="shared" si="343"/>
        <v>-0.8</v>
      </c>
      <c r="N324" s="620" t="str">
        <f t="shared" si="343"/>
        <v>-</v>
      </c>
      <c r="O324" s="620">
        <f>N163</f>
        <v>0</v>
      </c>
      <c r="Q324" s="1046"/>
      <c r="R324" s="620">
        <v>15</v>
      </c>
      <c r="S324" s="620">
        <f>Q163</f>
        <v>1000</v>
      </c>
      <c r="T324" s="621">
        <f t="shared" ref="T324:V324" si="344">R163</f>
        <v>4.0999999999999996</v>
      </c>
      <c r="U324" s="621">
        <f t="shared" si="344"/>
        <v>1.1000000000000001</v>
      </c>
      <c r="V324" s="621" t="str">
        <f t="shared" si="344"/>
        <v>-</v>
      </c>
      <c r="W324" s="621">
        <f>U163</f>
        <v>0</v>
      </c>
      <c r="AE324" s="605"/>
    </row>
    <row r="325" spans="1:31" ht="13" x14ac:dyDescent="0.3">
      <c r="A325" s="1046"/>
      <c r="B325" s="620">
        <v>16</v>
      </c>
      <c r="C325" s="620">
        <f>C174</f>
        <v>35</v>
      </c>
      <c r="D325" s="620">
        <f t="shared" ref="D325:F325" si="345">D174</f>
        <v>0.6</v>
      </c>
      <c r="E325" s="620">
        <f t="shared" si="345"/>
        <v>0.1</v>
      </c>
      <c r="F325" s="620">
        <f t="shared" si="345"/>
        <v>0</v>
      </c>
      <c r="G325" s="620">
        <f>G174</f>
        <v>0.25</v>
      </c>
      <c r="I325" s="1046"/>
      <c r="J325" s="620">
        <v>16</v>
      </c>
      <c r="K325" s="620">
        <f>J174</f>
        <v>70</v>
      </c>
      <c r="L325" s="620">
        <f t="shared" ref="L325:N325" si="346">K174</f>
        <v>-2.1</v>
      </c>
      <c r="M325" s="620">
        <f t="shared" si="346"/>
        <v>-1.8</v>
      </c>
      <c r="N325" s="620">
        <f t="shared" si="346"/>
        <v>0</v>
      </c>
      <c r="O325" s="620">
        <f>N174</f>
        <v>0.15000000000000002</v>
      </c>
      <c r="Q325" s="1046"/>
      <c r="R325" s="620">
        <v>16</v>
      </c>
      <c r="S325" s="620">
        <f>Q174</f>
        <v>1000</v>
      </c>
      <c r="T325" s="621">
        <f t="shared" ref="T325:V325" si="347">R174</f>
        <v>4.3</v>
      </c>
      <c r="U325" s="621">
        <f t="shared" si="347"/>
        <v>-0.4</v>
      </c>
      <c r="V325" s="621">
        <f t="shared" si="347"/>
        <v>0</v>
      </c>
      <c r="W325" s="621">
        <f>U174</f>
        <v>2.35</v>
      </c>
      <c r="AE325" s="605"/>
    </row>
    <row r="326" spans="1:31" ht="13" x14ac:dyDescent="0.3">
      <c r="A326" s="1046"/>
      <c r="B326" s="620">
        <v>17</v>
      </c>
      <c r="C326" s="620">
        <f>C185</f>
        <v>35</v>
      </c>
      <c r="D326" s="620">
        <f t="shared" ref="D326:F326" si="348">D185</f>
        <v>0.7</v>
      </c>
      <c r="E326" s="620">
        <f t="shared" si="348"/>
        <v>-0.5</v>
      </c>
      <c r="F326" s="620">
        <f t="shared" si="348"/>
        <v>0</v>
      </c>
      <c r="G326" s="620">
        <f>G185</f>
        <v>0.6</v>
      </c>
      <c r="I326" s="1046"/>
      <c r="J326" s="620">
        <v>17</v>
      </c>
      <c r="K326" s="620">
        <f>J185</f>
        <v>70</v>
      </c>
      <c r="L326" s="620">
        <f t="shared" ref="L326:N326" si="349">K185</f>
        <v>-1.8</v>
      </c>
      <c r="M326" s="620">
        <f t="shared" si="349"/>
        <v>-0.3</v>
      </c>
      <c r="N326" s="620">
        <f t="shared" si="349"/>
        <v>0</v>
      </c>
      <c r="O326" s="620">
        <f>N185</f>
        <v>0.75</v>
      </c>
      <c r="Q326" s="1046"/>
      <c r="R326" s="620">
        <v>17</v>
      </c>
      <c r="S326" s="620">
        <f>Q185</f>
        <v>1000</v>
      </c>
      <c r="T326" s="621">
        <f t="shared" ref="T326:V326" si="350">R185</f>
        <v>4.5</v>
      </c>
      <c r="U326" s="621">
        <f t="shared" si="350"/>
        <v>-0.6</v>
      </c>
      <c r="V326" s="621">
        <f t="shared" si="350"/>
        <v>0</v>
      </c>
      <c r="W326" s="621">
        <f>U185</f>
        <v>2.5499999999999998</v>
      </c>
      <c r="AE326" s="605"/>
    </row>
    <row r="327" spans="1:31" ht="13" x14ac:dyDescent="0.3">
      <c r="A327" s="1046"/>
      <c r="B327" s="620">
        <v>18</v>
      </c>
      <c r="C327" s="620">
        <f>C196</f>
        <v>35</v>
      </c>
      <c r="D327" s="620">
        <f t="shared" ref="D327:F327" si="351">D196</f>
        <v>0.4</v>
      </c>
      <c r="E327" s="620">
        <f t="shared" si="351"/>
        <v>-0.3</v>
      </c>
      <c r="F327" s="620">
        <f t="shared" si="351"/>
        <v>0</v>
      </c>
      <c r="G327" s="620">
        <f>G196</f>
        <v>0.35</v>
      </c>
      <c r="I327" s="1046"/>
      <c r="J327" s="620">
        <v>18</v>
      </c>
      <c r="K327" s="620">
        <f>J196</f>
        <v>70</v>
      </c>
      <c r="L327" s="620">
        <f t="shared" ref="L327:N327" si="352">K196</f>
        <v>-2.2000000000000002</v>
      </c>
      <c r="M327" s="620">
        <f t="shared" si="352"/>
        <v>-0.3</v>
      </c>
      <c r="N327" s="620">
        <f t="shared" si="352"/>
        <v>0</v>
      </c>
      <c r="O327" s="620">
        <f>N196</f>
        <v>0.95000000000000007</v>
      </c>
      <c r="Q327" s="1046"/>
      <c r="R327" s="620">
        <v>18</v>
      </c>
      <c r="S327" s="620">
        <f>Q196</f>
        <v>1000</v>
      </c>
      <c r="T327" s="621">
        <f t="shared" ref="T327:V327" si="353">R196</f>
        <v>4.4000000000000004</v>
      </c>
      <c r="U327" s="621">
        <f t="shared" si="353"/>
        <v>-0.8</v>
      </c>
      <c r="V327" s="621">
        <f t="shared" si="353"/>
        <v>0</v>
      </c>
      <c r="W327" s="621">
        <f>U196</f>
        <v>2.6</v>
      </c>
      <c r="AE327" s="605"/>
    </row>
    <row r="328" spans="1:31" ht="13" x14ac:dyDescent="0.3">
      <c r="A328" s="1046"/>
      <c r="B328" s="620">
        <v>19</v>
      </c>
      <c r="C328" s="620">
        <f>C207</f>
        <v>35</v>
      </c>
      <c r="D328" s="620">
        <f t="shared" ref="D328:F328" si="354">D207</f>
        <v>-0.1</v>
      </c>
      <c r="E328" s="620" t="str">
        <f t="shared" si="354"/>
        <v>-</v>
      </c>
      <c r="F328" s="620">
        <f t="shared" si="354"/>
        <v>0</v>
      </c>
      <c r="G328" s="620">
        <f>G207</f>
        <v>0</v>
      </c>
      <c r="I328" s="1046"/>
      <c r="J328" s="620">
        <v>19</v>
      </c>
      <c r="K328" s="620">
        <f>J207</f>
        <v>70</v>
      </c>
      <c r="L328" s="620">
        <f t="shared" ref="L328:N328" si="355">K207</f>
        <v>-0.7</v>
      </c>
      <c r="M328" s="620" t="str">
        <f t="shared" si="355"/>
        <v>-</v>
      </c>
      <c r="N328" s="620">
        <f t="shared" si="355"/>
        <v>0</v>
      </c>
      <c r="O328" s="620">
        <f>N207</f>
        <v>0</v>
      </c>
      <c r="Q328" s="1046"/>
      <c r="R328" s="620">
        <v>19</v>
      </c>
      <c r="S328" s="620">
        <f>Q207</f>
        <v>1000</v>
      </c>
      <c r="T328" s="621">
        <f t="shared" ref="T328:V328" si="356">R207</f>
        <v>2.2000000000000002</v>
      </c>
      <c r="U328" s="621" t="str">
        <f t="shared" si="356"/>
        <v>-</v>
      </c>
      <c r="V328" s="621">
        <f t="shared" si="356"/>
        <v>0</v>
      </c>
      <c r="W328" s="621">
        <f>U207</f>
        <v>0</v>
      </c>
      <c r="AE328" s="605"/>
    </row>
    <row r="329" spans="1:31" ht="13.5" thickBot="1" x14ac:dyDescent="0.35">
      <c r="A329" s="1046"/>
      <c r="B329" s="620">
        <v>20</v>
      </c>
      <c r="C329" s="620">
        <f>C218</f>
        <v>34.5</v>
      </c>
      <c r="D329" s="620">
        <f t="shared" ref="D329:F329" si="357">D218</f>
        <v>9.9999999999999995E-7</v>
      </c>
      <c r="E329" s="620" t="str">
        <f t="shared" si="357"/>
        <v>-</v>
      </c>
      <c r="F329" s="620">
        <f t="shared" si="357"/>
        <v>9.9999999999999995E-7</v>
      </c>
      <c r="G329" s="620">
        <f>G218</f>
        <v>0</v>
      </c>
      <c r="I329" s="1046"/>
      <c r="J329" s="620">
        <v>20</v>
      </c>
      <c r="K329" s="620">
        <f>J218</f>
        <v>80.8</v>
      </c>
      <c r="L329" s="620">
        <f t="shared" ref="L329:N329" si="358">K218</f>
        <v>9.9999999999999995E-7</v>
      </c>
      <c r="M329" s="620" t="str">
        <f t="shared" si="358"/>
        <v>-</v>
      </c>
      <c r="N329" s="620">
        <f t="shared" si="358"/>
        <v>0</v>
      </c>
      <c r="O329" s="620">
        <f>N218</f>
        <v>0</v>
      </c>
      <c r="Q329" s="1048"/>
      <c r="R329" s="629">
        <v>20</v>
      </c>
      <c r="S329" s="629">
        <f>Q218</f>
        <v>1000</v>
      </c>
      <c r="T329" s="643" t="str">
        <f t="shared" ref="T329:V329" si="359">R218</f>
        <v>-</v>
      </c>
      <c r="U329" s="643" t="str">
        <f t="shared" si="359"/>
        <v>-</v>
      </c>
      <c r="V329" s="643">
        <f t="shared" si="359"/>
        <v>0</v>
      </c>
      <c r="W329" s="643">
        <f>U218</f>
        <v>0</v>
      </c>
      <c r="AE329" s="633"/>
    </row>
    <row r="330" spans="1:31" ht="13.5" thickBot="1" x14ac:dyDescent="0.35">
      <c r="A330" s="510"/>
      <c r="B330" s="510"/>
      <c r="C330" s="510"/>
      <c r="D330" s="510"/>
      <c r="E330" s="510"/>
      <c r="F330" s="510"/>
      <c r="G330" s="510"/>
      <c r="I330" s="510"/>
      <c r="J330" s="510"/>
      <c r="K330" s="510"/>
      <c r="L330" s="510"/>
      <c r="M330" s="510"/>
      <c r="N330" s="510"/>
      <c r="O330" s="510"/>
      <c r="Q330" s="644"/>
      <c r="R330" s="634"/>
      <c r="S330" s="442"/>
      <c r="T330" s="443"/>
      <c r="U330" s="443"/>
      <c r="V330" s="443"/>
      <c r="W330" s="443"/>
      <c r="AE330" s="605"/>
    </row>
    <row r="331" spans="1:31" ht="13" x14ac:dyDescent="0.3">
      <c r="A331" s="1046">
        <v>6</v>
      </c>
      <c r="B331" s="620">
        <v>1</v>
      </c>
      <c r="C331" s="620">
        <f>C10</f>
        <v>37</v>
      </c>
      <c r="D331" s="620">
        <f t="shared" ref="D331:F331" si="360">D10</f>
        <v>-0.2</v>
      </c>
      <c r="E331" s="620">
        <f t="shared" si="360"/>
        <v>-0.6</v>
      </c>
      <c r="F331" s="620">
        <f t="shared" si="360"/>
        <v>0</v>
      </c>
      <c r="G331" s="620">
        <f>G10</f>
        <v>0.3</v>
      </c>
      <c r="I331" s="1046">
        <v>6</v>
      </c>
      <c r="J331" s="620">
        <v>1</v>
      </c>
      <c r="K331" s="620">
        <f>J10</f>
        <v>80</v>
      </c>
      <c r="L331" s="620">
        <f t="shared" ref="L331:N331" si="361">K10</f>
        <v>-3.2</v>
      </c>
      <c r="M331" s="620">
        <f t="shared" si="361"/>
        <v>0.7</v>
      </c>
      <c r="N331" s="620">
        <f t="shared" si="361"/>
        <v>0</v>
      </c>
      <c r="O331" s="620">
        <f>N10</f>
        <v>1.9500000000000002</v>
      </c>
      <c r="Q331" s="1047">
        <v>6</v>
      </c>
      <c r="R331" s="638">
        <v>1</v>
      </c>
      <c r="S331" s="638">
        <f>Q10</f>
        <v>1005</v>
      </c>
      <c r="T331" s="645" t="str">
        <f t="shared" ref="T331:V331" si="362">R10</f>
        <v>-</v>
      </c>
      <c r="U331" s="645" t="str">
        <f t="shared" si="362"/>
        <v>-</v>
      </c>
      <c r="V331" s="645">
        <f t="shared" si="362"/>
        <v>0</v>
      </c>
      <c r="W331" s="645">
        <f>U10</f>
        <v>0</v>
      </c>
      <c r="AE331" s="641"/>
    </row>
    <row r="332" spans="1:31" ht="13" x14ac:dyDescent="0.3">
      <c r="A332" s="1046"/>
      <c r="B332" s="620">
        <v>2</v>
      </c>
      <c r="C332" s="620">
        <f>C21</f>
        <v>37</v>
      </c>
      <c r="D332" s="620">
        <f t="shared" ref="D332:F332" si="363">D21</f>
        <v>0.6</v>
      </c>
      <c r="E332" s="620">
        <f t="shared" si="363"/>
        <v>-0.2</v>
      </c>
      <c r="F332" s="620">
        <f t="shared" si="363"/>
        <v>-0.3</v>
      </c>
      <c r="G332" s="620">
        <f>G21</f>
        <v>0.44999999999999996</v>
      </c>
      <c r="I332" s="1046"/>
      <c r="J332" s="620">
        <v>2</v>
      </c>
      <c r="K332" s="620">
        <f>J21</f>
        <v>80</v>
      </c>
      <c r="L332" s="620">
        <f t="shared" ref="L332:N332" si="364">K21</f>
        <v>-1.1000000000000001</v>
      </c>
      <c r="M332" s="620">
        <f t="shared" si="364"/>
        <v>-0.5</v>
      </c>
      <c r="N332" s="620">
        <f t="shared" si="364"/>
        <v>-0.7</v>
      </c>
      <c r="O332" s="620">
        <f>N21</f>
        <v>0.30000000000000004</v>
      </c>
      <c r="Q332" s="1046"/>
      <c r="R332" s="620">
        <v>2</v>
      </c>
      <c r="S332" s="620">
        <f>Q21</f>
        <v>1005</v>
      </c>
      <c r="T332" s="621" t="str">
        <f t="shared" ref="T332:V332" si="365">R21</f>
        <v>-</v>
      </c>
      <c r="U332" s="621" t="str">
        <f t="shared" si="365"/>
        <v>-</v>
      </c>
      <c r="V332" s="621">
        <f t="shared" si="365"/>
        <v>0</v>
      </c>
      <c r="W332" s="621">
        <f>U21</f>
        <v>0</v>
      </c>
      <c r="AE332" s="605"/>
    </row>
    <row r="333" spans="1:31" ht="13" x14ac:dyDescent="0.3">
      <c r="A333" s="1046"/>
      <c r="B333" s="620">
        <v>3</v>
      </c>
      <c r="C333" s="620">
        <f>C32</f>
        <v>37</v>
      </c>
      <c r="D333" s="620">
        <f t="shared" ref="D333:F333" si="366">D32</f>
        <v>0.3</v>
      </c>
      <c r="E333" s="620">
        <f t="shared" si="366"/>
        <v>-0.2</v>
      </c>
      <c r="F333" s="620">
        <f t="shared" si="366"/>
        <v>-0.6</v>
      </c>
      <c r="G333" s="620">
        <f>G32</f>
        <v>0.44999999999999996</v>
      </c>
      <c r="I333" s="1046"/>
      <c r="J333" s="620">
        <v>3</v>
      </c>
      <c r="K333" s="620">
        <f>J32</f>
        <v>80</v>
      </c>
      <c r="L333" s="620">
        <f t="shared" ref="L333:N333" si="367">K32</f>
        <v>-2.7</v>
      </c>
      <c r="M333" s="620">
        <f t="shared" si="367"/>
        <v>-0.8</v>
      </c>
      <c r="N333" s="620">
        <f t="shared" si="367"/>
        <v>-2.9</v>
      </c>
      <c r="O333" s="620">
        <f>N32</f>
        <v>1.0499999999999998</v>
      </c>
      <c r="Q333" s="1046"/>
      <c r="R333" s="620">
        <v>3</v>
      </c>
      <c r="S333" s="620">
        <f>Q32</f>
        <v>1005</v>
      </c>
      <c r="T333" s="621" t="str">
        <f t="shared" ref="T333:V333" si="368">R32</f>
        <v>-</v>
      </c>
      <c r="U333" s="621" t="str">
        <f t="shared" si="368"/>
        <v>-</v>
      </c>
      <c r="V333" s="621">
        <f t="shared" si="368"/>
        <v>0</v>
      </c>
      <c r="W333" s="621">
        <f>U32</f>
        <v>0</v>
      </c>
      <c r="AE333" s="605"/>
    </row>
    <row r="334" spans="1:31" ht="13" x14ac:dyDescent="0.3">
      <c r="A334" s="1046"/>
      <c r="B334" s="620">
        <v>4</v>
      </c>
      <c r="C334" s="620">
        <f>C43</f>
        <v>37</v>
      </c>
      <c r="D334" s="620">
        <f t="shared" ref="D334:F334" si="369">D43</f>
        <v>-0.4</v>
      </c>
      <c r="E334" s="620">
        <f t="shared" si="369"/>
        <v>-0.6</v>
      </c>
      <c r="F334" s="620">
        <f t="shared" si="369"/>
        <v>0</v>
      </c>
      <c r="G334" s="620">
        <f>G43</f>
        <v>9.9999999999999978E-2</v>
      </c>
      <c r="I334" s="1046"/>
      <c r="J334" s="620">
        <v>4</v>
      </c>
      <c r="K334" s="620">
        <f>J43</f>
        <v>80</v>
      </c>
      <c r="L334" s="620">
        <f t="shared" ref="L334:N334" si="370">K43</f>
        <v>-3.8</v>
      </c>
      <c r="M334" s="620">
        <f t="shared" si="370"/>
        <v>1.9</v>
      </c>
      <c r="N334" s="620">
        <f t="shared" si="370"/>
        <v>0</v>
      </c>
      <c r="O334" s="620">
        <f>N43</f>
        <v>2.8499999999999996</v>
      </c>
      <c r="Q334" s="1046"/>
      <c r="R334" s="620">
        <v>4</v>
      </c>
      <c r="S334" s="620">
        <f>Q43</f>
        <v>1005</v>
      </c>
      <c r="T334" s="621" t="str">
        <f t="shared" ref="T334:V334" si="371">R43</f>
        <v>-</v>
      </c>
      <c r="U334" s="621" t="str">
        <f t="shared" si="371"/>
        <v>-</v>
      </c>
      <c r="V334" s="621">
        <f t="shared" si="371"/>
        <v>0</v>
      </c>
      <c r="W334" s="621">
        <f>U43</f>
        <v>0</v>
      </c>
      <c r="AE334" s="605"/>
    </row>
    <row r="335" spans="1:31" ht="13" x14ac:dyDescent="0.3">
      <c r="A335" s="1046"/>
      <c r="B335" s="620">
        <v>5</v>
      </c>
      <c r="C335" s="620">
        <f>C54</f>
        <v>37</v>
      </c>
      <c r="D335" s="620">
        <f t="shared" ref="D335:F335" si="372">D54</f>
        <v>0.03</v>
      </c>
      <c r="E335" s="620">
        <f t="shared" si="372"/>
        <v>0.7</v>
      </c>
      <c r="F335" s="620">
        <f t="shared" si="372"/>
        <v>9.9999999999999995E-7</v>
      </c>
      <c r="G335" s="620">
        <f>G54</f>
        <v>0.34999949999999996</v>
      </c>
      <c r="I335" s="1046"/>
      <c r="J335" s="620">
        <v>5</v>
      </c>
      <c r="K335" s="620">
        <f>J54</f>
        <v>80</v>
      </c>
      <c r="L335" s="620">
        <f t="shared" ref="L335:N335" si="373">K54</f>
        <v>-6.3</v>
      </c>
      <c r="M335" s="620">
        <f t="shared" si="373"/>
        <v>-3</v>
      </c>
      <c r="N335" s="620">
        <f t="shared" si="373"/>
        <v>0.2</v>
      </c>
      <c r="O335" s="620">
        <f>N54</f>
        <v>3.25</v>
      </c>
      <c r="Q335" s="1046"/>
      <c r="R335" s="620">
        <v>5</v>
      </c>
      <c r="S335" s="620">
        <f>Q54</f>
        <v>1005</v>
      </c>
      <c r="T335" s="621" t="str">
        <f t="shared" ref="T335:V335" si="374">R54</f>
        <v>-</v>
      </c>
      <c r="U335" s="621" t="str">
        <f t="shared" si="374"/>
        <v>-</v>
      </c>
      <c r="V335" s="621">
        <f t="shared" si="374"/>
        <v>0</v>
      </c>
      <c r="W335" s="621">
        <f>U54</f>
        <v>0</v>
      </c>
      <c r="AE335" s="605"/>
    </row>
    <row r="336" spans="1:31" ht="13" x14ac:dyDescent="0.3">
      <c r="A336" s="1046"/>
      <c r="B336" s="620">
        <v>6</v>
      </c>
      <c r="C336" s="620">
        <f>C65</f>
        <v>37</v>
      </c>
      <c r="D336" s="620">
        <f t="shared" ref="D336:F336" si="375">D65</f>
        <v>0.1</v>
      </c>
      <c r="E336" s="620">
        <f t="shared" si="375"/>
        <v>-1.1000000000000001</v>
      </c>
      <c r="F336" s="620">
        <f t="shared" si="375"/>
        <v>0</v>
      </c>
      <c r="G336" s="620">
        <f>G65</f>
        <v>0.60000000000000009</v>
      </c>
      <c r="I336" s="1046"/>
      <c r="J336" s="620">
        <v>6</v>
      </c>
      <c r="K336" s="620">
        <f>J65</f>
        <v>80</v>
      </c>
      <c r="L336" s="620">
        <f t="shared" ref="L336:N336" si="376">K65</f>
        <v>-6.3</v>
      </c>
      <c r="M336" s="620">
        <f t="shared" si="376"/>
        <v>0.8</v>
      </c>
      <c r="N336" s="620">
        <f t="shared" si="376"/>
        <v>0</v>
      </c>
      <c r="O336" s="620">
        <f>N65</f>
        <v>3.55</v>
      </c>
      <c r="Q336" s="1046"/>
      <c r="R336" s="620">
        <v>6</v>
      </c>
      <c r="S336" s="620">
        <f>Q65</f>
        <v>1005</v>
      </c>
      <c r="T336" s="621">
        <f t="shared" ref="T336:V336" si="377">R65</f>
        <v>0.9</v>
      </c>
      <c r="U336" s="621">
        <f t="shared" si="377"/>
        <v>-0.3</v>
      </c>
      <c r="V336" s="621">
        <f t="shared" si="377"/>
        <v>0</v>
      </c>
      <c r="W336" s="621">
        <f>U65</f>
        <v>0.6</v>
      </c>
      <c r="AE336" s="605"/>
    </row>
    <row r="337" spans="1:31" ht="13" x14ac:dyDescent="0.3">
      <c r="A337" s="1046"/>
      <c r="B337" s="620">
        <v>7</v>
      </c>
      <c r="C337" s="620">
        <f>C76</f>
        <v>37</v>
      </c>
      <c r="D337" s="620">
        <f t="shared" ref="D337:F337" si="378">D76</f>
        <v>-0.4</v>
      </c>
      <c r="E337" s="620">
        <f t="shared" si="378"/>
        <v>9.9999999999999995E-7</v>
      </c>
      <c r="F337" s="620">
        <f t="shared" si="378"/>
        <v>-1.4</v>
      </c>
      <c r="G337" s="620">
        <f>G76</f>
        <v>0.70000049999999991</v>
      </c>
      <c r="I337" s="1046"/>
      <c r="J337" s="620">
        <v>7</v>
      </c>
      <c r="K337" s="620">
        <f>J76</f>
        <v>80</v>
      </c>
      <c r="L337" s="620">
        <f t="shared" ref="L337:N337" si="379">K76</f>
        <v>-1.9</v>
      </c>
      <c r="M337" s="620">
        <f t="shared" si="379"/>
        <v>-2.6</v>
      </c>
      <c r="N337" s="620">
        <f t="shared" si="379"/>
        <v>1.2</v>
      </c>
      <c r="O337" s="620">
        <f>N76</f>
        <v>1.9</v>
      </c>
      <c r="Q337" s="1046"/>
      <c r="R337" s="620">
        <v>7</v>
      </c>
      <c r="S337" s="620">
        <f>Q76</f>
        <v>1005</v>
      </c>
      <c r="T337" s="621" t="str">
        <f t="shared" ref="T337:V337" si="380">R76</f>
        <v>-</v>
      </c>
      <c r="U337" s="621">
        <f t="shared" si="380"/>
        <v>-3.8</v>
      </c>
      <c r="V337" s="621">
        <f t="shared" si="380"/>
        <v>-0.5</v>
      </c>
      <c r="W337" s="621">
        <f>U76</f>
        <v>1.65</v>
      </c>
      <c r="AE337" s="605"/>
    </row>
    <row r="338" spans="1:31" ht="13" x14ac:dyDescent="0.3">
      <c r="A338" s="1046"/>
      <c r="B338" s="620">
        <v>8</v>
      </c>
      <c r="C338" s="620">
        <f>C87</f>
        <v>37</v>
      </c>
      <c r="D338" s="620">
        <f t="shared" ref="D338:F338" si="381">D87</f>
        <v>-0.1</v>
      </c>
      <c r="E338" s="620">
        <f t="shared" si="381"/>
        <v>-0.5</v>
      </c>
      <c r="F338" s="620">
        <f t="shared" si="381"/>
        <v>0</v>
      </c>
      <c r="G338" s="620">
        <f>G87</f>
        <v>0.2</v>
      </c>
      <c r="I338" s="1046"/>
      <c r="J338" s="620">
        <v>8</v>
      </c>
      <c r="K338" s="620">
        <f>J87</f>
        <v>80</v>
      </c>
      <c r="L338" s="620">
        <f t="shared" ref="L338:N338" si="382">K87</f>
        <v>-4.5</v>
      </c>
      <c r="M338" s="620">
        <f t="shared" si="382"/>
        <v>-1.2</v>
      </c>
      <c r="N338" s="620">
        <f t="shared" si="382"/>
        <v>0</v>
      </c>
      <c r="O338" s="620">
        <f>N87</f>
        <v>1.65</v>
      </c>
      <c r="Q338" s="1046"/>
      <c r="R338" s="620">
        <v>8</v>
      </c>
      <c r="S338" s="620">
        <f>Q87</f>
        <v>1005</v>
      </c>
      <c r="T338" s="621">
        <f t="shared" ref="T338:V338" si="383">R87</f>
        <v>-3.4</v>
      </c>
      <c r="U338" s="621">
        <f t="shared" si="383"/>
        <v>0.2</v>
      </c>
      <c r="V338" s="621">
        <f t="shared" si="383"/>
        <v>0</v>
      </c>
      <c r="W338" s="621">
        <f>U87</f>
        <v>1.8</v>
      </c>
      <c r="AE338" s="605"/>
    </row>
    <row r="339" spans="1:31" ht="13" x14ac:dyDescent="0.3">
      <c r="A339" s="1046"/>
      <c r="B339" s="620">
        <v>9</v>
      </c>
      <c r="C339" s="620">
        <f>C98</f>
        <v>37</v>
      </c>
      <c r="D339" s="620">
        <f t="shared" ref="D339:F339" si="384">D98</f>
        <v>-0.5</v>
      </c>
      <c r="E339" s="620" t="str">
        <f t="shared" si="384"/>
        <v>-</v>
      </c>
      <c r="F339" s="620">
        <f t="shared" si="384"/>
        <v>0</v>
      </c>
      <c r="G339" s="620">
        <f>G98</f>
        <v>0</v>
      </c>
      <c r="I339" s="1046"/>
      <c r="J339" s="620">
        <v>9</v>
      </c>
      <c r="K339" s="620">
        <f>J98</f>
        <v>80</v>
      </c>
      <c r="L339" s="620">
        <f t="shared" ref="L339:N339" si="385">K98</f>
        <v>-0.5</v>
      </c>
      <c r="M339" s="620" t="str">
        <f t="shared" si="385"/>
        <v>-</v>
      </c>
      <c r="N339" s="620">
        <f t="shared" si="385"/>
        <v>0</v>
      </c>
      <c r="O339" s="620">
        <f>N98</f>
        <v>0</v>
      </c>
      <c r="Q339" s="1046"/>
      <c r="R339" s="620">
        <v>9</v>
      </c>
      <c r="S339" s="620">
        <f>Q98</f>
        <v>1005</v>
      </c>
      <c r="T339" s="621">
        <f t="shared" ref="T339:V339" si="386">R98</f>
        <v>0.2</v>
      </c>
      <c r="U339" s="621" t="str">
        <f t="shared" si="386"/>
        <v>-</v>
      </c>
      <c r="V339" s="621">
        <f t="shared" si="386"/>
        <v>0</v>
      </c>
      <c r="W339" s="621">
        <f>U98</f>
        <v>0</v>
      </c>
      <c r="AE339" s="605"/>
    </row>
    <row r="340" spans="1:31" ht="13" x14ac:dyDescent="0.3">
      <c r="A340" s="1046"/>
      <c r="B340" s="620">
        <v>10</v>
      </c>
      <c r="C340" s="620">
        <f>C109</f>
        <v>37</v>
      </c>
      <c r="D340" s="620">
        <f t="shared" ref="D340:F340" si="387">D109</f>
        <v>0.2</v>
      </c>
      <c r="E340" s="620">
        <f t="shared" si="387"/>
        <v>0.4</v>
      </c>
      <c r="F340" s="620">
        <f t="shared" si="387"/>
        <v>0</v>
      </c>
      <c r="G340" s="620">
        <f>G109</f>
        <v>0.1</v>
      </c>
      <c r="I340" s="1046"/>
      <c r="J340" s="620">
        <v>10</v>
      </c>
      <c r="K340" s="620">
        <f>J109</f>
        <v>80</v>
      </c>
      <c r="L340" s="620">
        <f t="shared" ref="L340:N340" si="388">K109</f>
        <v>2.2000000000000002</v>
      </c>
      <c r="M340" s="620">
        <f t="shared" si="388"/>
        <v>-4.7</v>
      </c>
      <c r="N340" s="620">
        <f t="shared" si="388"/>
        <v>0</v>
      </c>
      <c r="O340" s="620">
        <f>N109</f>
        <v>3.45</v>
      </c>
      <c r="Q340" s="1046"/>
      <c r="R340" s="620">
        <v>10</v>
      </c>
      <c r="S340" s="620">
        <f>Q109</f>
        <v>1005</v>
      </c>
      <c r="T340" s="621" t="str">
        <f t="shared" ref="T340:V340" si="389">R109</f>
        <v>-</v>
      </c>
      <c r="U340" s="621" t="str">
        <f t="shared" si="389"/>
        <v>-</v>
      </c>
      <c r="V340" s="621">
        <f t="shared" si="389"/>
        <v>0</v>
      </c>
      <c r="W340" s="621">
        <f>U109</f>
        <v>0</v>
      </c>
      <c r="AE340" s="605"/>
    </row>
    <row r="341" spans="1:31" ht="13" x14ac:dyDescent="0.3">
      <c r="A341" s="1046"/>
      <c r="B341" s="620">
        <v>11</v>
      </c>
      <c r="C341" s="620">
        <f>C120</f>
        <v>37</v>
      </c>
      <c r="D341" s="620">
        <f t="shared" ref="D341:F341" si="390">D120</f>
        <v>0.5</v>
      </c>
      <c r="E341" s="620">
        <f t="shared" si="390"/>
        <v>0.5</v>
      </c>
      <c r="F341" s="620">
        <f t="shared" si="390"/>
        <v>0</v>
      </c>
      <c r="G341" s="620">
        <f>G120</f>
        <v>0</v>
      </c>
      <c r="I341" s="1046"/>
      <c r="J341" s="620">
        <v>11</v>
      </c>
      <c r="K341" s="620">
        <f>J120</f>
        <v>80</v>
      </c>
      <c r="L341" s="620">
        <f t="shared" ref="L341:N341" si="391">K120</f>
        <v>-1.4</v>
      </c>
      <c r="M341" s="620">
        <f t="shared" si="391"/>
        <v>2.6</v>
      </c>
      <c r="N341" s="620">
        <f t="shared" si="391"/>
        <v>0</v>
      </c>
      <c r="O341" s="620">
        <f>N120</f>
        <v>2</v>
      </c>
      <c r="Q341" s="1046"/>
      <c r="R341" s="620">
        <v>11</v>
      </c>
      <c r="S341" s="620">
        <f>Q120</f>
        <v>1005</v>
      </c>
      <c r="T341" s="621" t="str">
        <f t="shared" ref="T341:V341" si="392">R120</f>
        <v>-</v>
      </c>
      <c r="U341" s="621" t="str">
        <f t="shared" si="392"/>
        <v>-</v>
      </c>
      <c r="V341" s="621">
        <f t="shared" si="392"/>
        <v>0</v>
      </c>
      <c r="W341" s="621">
        <f>U120</f>
        <v>0</v>
      </c>
      <c r="AE341" s="605"/>
    </row>
    <row r="342" spans="1:31" ht="13" x14ac:dyDescent="0.3">
      <c r="A342" s="1046"/>
      <c r="B342" s="620">
        <v>12</v>
      </c>
      <c r="C342" s="620">
        <f>C131</f>
        <v>37</v>
      </c>
      <c r="D342" s="620">
        <f t="shared" ref="D342:F342" si="393">D131</f>
        <v>-0.3</v>
      </c>
      <c r="E342" s="620" t="str">
        <f t="shared" si="393"/>
        <v>-</v>
      </c>
      <c r="F342" s="620">
        <f t="shared" si="393"/>
        <v>0</v>
      </c>
      <c r="G342" s="620">
        <f>G131</f>
        <v>0</v>
      </c>
      <c r="I342" s="1046"/>
      <c r="J342" s="620">
        <v>12</v>
      </c>
      <c r="K342" s="620">
        <f>J131</f>
        <v>80</v>
      </c>
      <c r="L342" s="620">
        <f t="shared" ref="L342:N342" si="394">K131</f>
        <v>-0.5</v>
      </c>
      <c r="M342" s="620" t="str">
        <f t="shared" si="394"/>
        <v>-</v>
      </c>
      <c r="N342" s="620">
        <f t="shared" si="394"/>
        <v>0</v>
      </c>
      <c r="O342" s="620">
        <f>N131</f>
        <v>0</v>
      </c>
      <c r="Q342" s="1046"/>
      <c r="R342" s="620">
        <v>12</v>
      </c>
      <c r="S342" s="620">
        <f>Q131</f>
        <v>1005</v>
      </c>
      <c r="T342" s="621">
        <f t="shared" ref="T342:V342" si="395">R131</f>
        <v>-0.8</v>
      </c>
      <c r="U342" s="621" t="str">
        <f t="shared" si="395"/>
        <v>-</v>
      </c>
      <c r="V342" s="621">
        <f t="shared" si="395"/>
        <v>0</v>
      </c>
      <c r="W342" s="621">
        <f>U131</f>
        <v>0</v>
      </c>
      <c r="AE342" s="605"/>
    </row>
    <row r="343" spans="1:31" ht="13" x14ac:dyDescent="0.3">
      <c r="A343" s="1046"/>
      <c r="B343" s="620">
        <v>13</v>
      </c>
      <c r="C343" s="620">
        <f>C142</f>
        <v>37</v>
      </c>
      <c r="D343" s="620">
        <f t="shared" ref="D343:F343" si="396">D142</f>
        <v>-0.2</v>
      </c>
      <c r="E343" s="620">
        <f t="shared" si="396"/>
        <v>0.4</v>
      </c>
      <c r="F343" s="620" t="str">
        <f t="shared" si="396"/>
        <v>-</v>
      </c>
      <c r="G343" s="620">
        <f>G142</f>
        <v>0</v>
      </c>
      <c r="I343" s="1046"/>
      <c r="J343" s="620">
        <v>13</v>
      </c>
      <c r="K343" s="620">
        <f>J142</f>
        <v>80</v>
      </c>
      <c r="L343" s="620">
        <f t="shared" ref="L343:N343" si="397">K142</f>
        <v>-1.2</v>
      </c>
      <c r="M343" s="620">
        <f t="shared" si="397"/>
        <v>-2.5</v>
      </c>
      <c r="N343" s="620" t="str">
        <f t="shared" si="397"/>
        <v>-</v>
      </c>
      <c r="O343" s="620">
        <f>N142</f>
        <v>0</v>
      </c>
      <c r="Q343" s="1046"/>
      <c r="R343" s="620">
        <v>13</v>
      </c>
      <c r="S343" s="620">
        <f>Q142</f>
        <v>1005</v>
      </c>
      <c r="T343" s="621">
        <f t="shared" ref="T343:V343" si="398">R142</f>
        <v>3.6</v>
      </c>
      <c r="U343" s="621">
        <f t="shared" si="398"/>
        <v>1.1000000000000001</v>
      </c>
      <c r="V343" s="621" t="str">
        <f t="shared" si="398"/>
        <v>-</v>
      </c>
      <c r="W343" s="621">
        <f>U142</f>
        <v>0</v>
      </c>
      <c r="AE343" s="605"/>
    </row>
    <row r="344" spans="1:31" ht="13" x14ac:dyDescent="0.3">
      <c r="A344" s="1046"/>
      <c r="B344" s="620">
        <v>14</v>
      </c>
      <c r="C344" s="620">
        <f>C153</f>
        <v>37</v>
      </c>
      <c r="D344" s="620">
        <f t="shared" ref="D344:F344" si="399">D153</f>
        <v>-0.7</v>
      </c>
      <c r="E344" s="620">
        <f t="shared" si="399"/>
        <v>-0.8</v>
      </c>
      <c r="F344" s="620" t="str">
        <f t="shared" si="399"/>
        <v>-</v>
      </c>
      <c r="G344" s="620">
        <f>G153</f>
        <v>0</v>
      </c>
      <c r="I344" s="1046"/>
      <c r="J344" s="620">
        <v>14</v>
      </c>
      <c r="K344" s="620">
        <f>J153</f>
        <v>80</v>
      </c>
      <c r="L344" s="620">
        <f t="shared" ref="L344:N344" si="400">K153</f>
        <v>1.1000000000000001</v>
      </c>
      <c r="M344" s="620">
        <f t="shared" si="400"/>
        <v>-0.9</v>
      </c>
      <c r="N344" s="620" t="str">
        <f t="shared" si="400"/>
        <v>-</v>
      </c>
      <c r="O344" s="620">
        <f>N153</f>
        <v>0</v>
      </c>
      <c r="Q344" s="1046"/>
      <c r="R344" s="620">
        <v>14</v>
      </c>
      <c r="S344" s="620">
        <f>Q153</f>
        <v>1005</v>
      </c>
      <c r="T344" s="621">
        <f t="shared" ref="T344:V344" si="401">R153</f>
        <v>3.8</v>
      </c>
      <c r="U344" s="621">
        <f t="shared" si="401"/>
        <v>1.1000000000000001</v>
      </c>
      <c r="V344" s="621" t="str">
        <f t="shared" si="401"/>
        <v>-</v>
      </c>
      <c r="W344" s="621">
        <f>U153</f>
        <v>0</v>
      </c>
      <c r="AE344" s="605"/>
    </row>
    <row r="345" spans="1:31" ht="13" x14ac:dyDescent="0.3">
      <c r="A345" s="1046"/>
      <c r="B345" s="620">
        <v>15</v>
      </c>
      <c r="C345" s="620">
        <f>C164</f>
        <v>37</v>
      </c>
      <c r="D345" s="620">
        <f t="shared" ref="D345:F345" si="402">D164</f>
        <v>1</v>
      </c>
      <c r="E345" s="620">
        <f t="shared" si="402"/>
        <v>-0.1</v>
      </c>
      <c r="F345" s="620" t="str">
        <f t="shared" si="402"/>
        <v>-</v>
      </c>
      <c r="G345" s="620">
        <f>G164</f>
        <v>0</v>
      </c>
      <c r="I345" s="1046"/>
      <c r="J345" s="620">
        <v>15</v>
      </c>
      <c r="K345" s="620">
        <f>J164</f>
        <v>80</v>
      </c>
      <c r="L345" s="620">
        <f t="shared" ref="L345:N345" si="403">K164</f>
        <v>-0.4</v>
      </c>
      <c r="M345" s="620">
        <f t="shared" si="403"/>
        <v>-1.3</v>
      </c>
      <c r="N345" s="620" t="str">
        <f t="shared" si="403"/>
        <v>-</v>
      </c>
      <c r="O345" s="620">
        <f>N164</f>
        <v>0</v>
      </c>
      <c r="Q345" s="1046"/>
      <c r="R345" s="620">
        <v>15</v>
      </c>
      <c r="S345" s="620">
        <f>Q164</f>
        <v>1005</v>
      </c>
      <c r="T345" s="621">
        <f t="shared" ref="T345:V345" si="404">R164</f>
        <v>4</v>
      </c>
      <c r="U345" s="621">
        <f t="shared" si="404"/>
        <v>1.1000000000000001</v>
      </c>
      <c r="V345" s="621" t="str">
        <f t="shared" si="404"/>
        <v>-</v>
      </c>
      <c r="W345" s="621">
        <f>U164</f>
        <v>0</v>
      </c>
      <c r="AE345" s="605"/>
    </row>
    <row r="346" spans="1:31" ht="13" x14ac:dyDescent="0.3">
      <c r="A346" s="1046"/>
      <c r="B346" s="620">
        <v>16</v>
      </c>
      <c r="C346" s="620">
        <f>C175</f>
        <v>37</v>
      </c>
      <c r="D346" s="620">
        <f t="shared" ref="D346:F346" si="405">D175</f>
        <v>0.6</v>
      </c>
      <c r="E346" s="620">
        <f t="shared" si="405"/>
        <v>9.9999999999999995E-7</v>
      </c>
      <c r="F346" s="620">
        <f t="shared" si="405"/>
        <v>0</v>
      </c>
      <c r="G346" s="620">
        <f>G175</f>
        <v>0.29999949999999997</v>
      </c>
      <c r="I346" s="1046"/>
      <c r="J346" s="620">
        <v>16</v>
      </c>
      <c r="K346" s="620">
        <f>J175</f>
        <v>80</v>
      </c>
      <c r="L346" s="620">
        <f t="shared" ref="L346:N346" si="406">K175</f>
        <v>-2.5</v>
      </c>
      <c r="M346" s="620">
        <f t="shared" si="406"/>
        <v>-2.2999999999999998</v>
      </c>
      <c r="N346" s="620">
        <f t="shared" si="406"/>
        <v>0</v>
      </c>
      <c r="O346" s="620">
        <f>N175</f>
        <v>0.10000000000000009</v>
      </c>
      <c r="Q346" s="1046"/>
      <c r="R346" s="620">
        <v>16</v>
      </c>
      <c r="S346" s="620">
        <f>Q175</f>
        <v>1005</v>
      </c>
      <c r="T346" s="621" t="str">
        <f t="shared" ref="T346:V346" si="407">R175</f>
        <v>-</v>
      </c>
      <c r="U346" s="621">
        <f t="shared" si="407"/>
        <v>-0.4</v>
      </c>
      <c r="V346" s="621">
        <f t="shared" si="407"/>
        <v>0</v>
      </c>
      <c r="W346" s="621">
        <f>U175</f>
        <v>0</v>
      </c>
      <c r="AE346" s="605"/>
    </row>
    <row r="347" spans="1:31" ht="13" x14ac:dyDescent="0.3">
      <c r="A347" s="1046"/>
      <c r="B347" s="620">
        <v>17</v>
      </c>
      <c r="C347" s="620">
        <f>C186</f>
        <v>37</v>
      </c>
      <c r="D347" s="620">
        <f t="shared" ref="D347:F347" si="408">D186</f>
        <v>0.7</v>
      </c>
      <c r="E347" s="620">
        <f t="shared" si="408"/>
        <v>-0.6</v>
      </c>
      <c r="F347" s="620">
        <f t="shared" si="408"/>
        <v>0</v>
      </c>
      <c r="G347" s="620">
        <f>G186</f>
        <v>0.64999999999999991</v>
      </c>
      <c r="I347" s="1046"/>
      <c r="J347" s="620">
        <v>17</v>
      </c>
      <c r="K347" s="620">
        <f>J186</f>
        <v>80</v>
      </c>
      <c r="L347" s="620">
        <f t="shared" ref="L347:N347" si="409">K186</f>
        <v>-2.2000000000000002</v>
      </c>
      <c r="M347" s="620">
        <f t="shared" si="409"/>
        <v>-0.8</v>
      </c>
      <c r="N347" s="620">
        <f t="shared" si="409"/>
        <v>0</v>
      </c>
      <c r="O347" s="620">
        <f>N186</f>
        <v>0.70000000000000007</v>
      </c>
      <c r="Q347" s="1046"/>
      <c r="R347" s="620">
        <v>17</v>
      </c>
      <c r="S347" s="620">
        <f>Q186</f>
        <v>1005</v>
      </c>
      <c r="T347" s="621" t="str">
        <f t="shared" ref="T347:V347" si="410">R186</f>
        <v>-</v>
      </c>
      <c r="U347" s="621">
        <f t="shared" si="410"/>
        <v>-0.6</v>
      </c>
      <c r="V347" s="621">
        <f t="shared" si="410"/>
        <v>0</v>
      </c>
      <c r="W347" s="621">
        <f>U186</f>
        <v>0</v>
      </c>
      <c r="AE347" s="605"/>
    </row>
    <row r="348" spans="1:31" ht="13" x14ac:dyDescent="0.3">
      <c r="A348" s="1046"/>
      <c r="B348" s="620">
        <v>18</v>
      </c>
      <c r="C348" s="620">
        <f>C197</f>
        <v>37</v>
      </c>
      <c r="D348" s="620">
        <f t="shared" ref="D348:F348" si="411">D197</f>
        <v>0.4</v>
      </c>
      <c r="E348" s="620">
        <f t="shared" si="411"/>
        <v>-0.3</v>
      </c>
      <c r="F348" s="620">
        <f t="shared" si="411"/>
        <v>0</v>
      </c>
      <c r="G348" s="620">
        <f>G197</f>
        <v>0.35</v>
      </c>
      <c r="I348" s="1046"/>
      <c r="J348" s="620">
        <v>18</v>
      </c>
      <c r="K348" s="620">
        <f>J197</f>
        <v>80</v>
      </c>
      <c r="L348" s="620">
        <f t="shared" ref="L348:N348" si="412">K197</f>
        <v>-2.4</v>
      </c>
      <c r="M348" s="620">
        <f t="shared" si="412"/>
        <v>-0.5</v>
      </c>
      <c r="N348" s="620">
        <f t="shared" si="412"/>
        <v>0</v>
      </c>
      <c r="O348" s="620">
        <f>N197</f>
        <v>0.95</v>
      </c>
      <c r="Q348" s="1046"/>
      <c r="R348" s="620">
        <v>18</v>
      </c>
      <c r="S348" s="620">
        <f>Q197</f>
        <v>1005</v>
      </c>
      <c r="T348" s="621" t="str">
        <f t="shared" ref="T348:V348" si="413">R197</f>
        <v>-</v>
      </c>
      <c r="U348" s="621">
        <f t="shared" si="413"/>
        <v>-0.7</v>
      </c>
      <c r="V348" s="621">
        <f t="shared" si="413"/>
        <v>0</v>
      </c>
      <c r="W348" s="621">
        <f>U197</f>
        <v>0</v>
      </c>
      <c r="AE348" s="605"/>
    </row>
    <row r="349" spans="1:31" ht="13" x14ac:dyDescent="0.3">
      <c r="A349" s="1046"/>
      <c r="B349" s="620">
        <v>19</v>
      </c>
      <c r="C349" s="620">
        <f>C208</f>
        <v>37</v>
      </c>
      <c r="D349" s="620">
        <f t="shared" ref="D349:F349" si="414">D208</f>
        <v>9.9999999999999995E-7</v>
      </c>
      <c r="E349" s="620" t="str">
        <f t="shared" si="414"/>
        <v>-</v>
      </c>
      <c r="F349" s="620">
        <f t="shared" si="414"/>
        <v>0</v>
      </c>
      <c r="G349" s="620">
        <f>G208</f>
        <v>0</v>
      </c>
      <c r="I349" s="1046"/>
      <c r="J349" s="620">
        <v>19</v>
      </c>
      <c r="K349" s="620">
        <f>J208</f>
        <v>80</v>
      </c>
      <c r="L349" s="620">
        <f t="shared" ref="L349:N349" si="415">K208</f>
        <v>-0.9</v>
      </c>
      <c r="M349" s="620" t="str">
        <f t="shared" si="415"/>
        <v>-</v>
      </c>
      <c r="N349" s="620">
        <f t="shared" si="415"/>
        <v>0</v>
      </c>
      <c r="O349" s="620">
        <f>N208</f>
        <v>0</v>
      </c>
      <c r="Q349" s="1046"/>
      <c r="R349" s="620">
        <v>19</v>
      </c>
      <c r="S349" s="620">
        <f>Q208</f>
        <v>1005</v>
      </c>
      <c r="T349" s="621">
        <f t="shared" ref="T349:V349" si="416">R208</f>
        <v>2.2000000000000002</v>
      </c>
      <c r="U349" s="621" t="str">
        <f t="shared" si="416"/>
        <v>-</v>
      </c>
      <c r="V349" s="621">
        <f t="shared" si="416"/>
        <v>0</v>
      </c>
      <c r="W349" s="621">
        <f>U208</f>
        <v>0</v>
      </c>
      <c r="AE349" s="605"/>
    </row>
    <row r="350" spans="1:31" ht="13.5" thickBot="1" x14ac:dyDescent="0.35">
      <c r="A350" s="1046"/>
      <c r="B350" s="620">
        <v>20</v>
      </c>
      <c r="C350" s="620">
        <f>C219</f>
        <v>39.5</v>
      </c>
      <c r="D350" s="620">
        <f t="shared" ref="D350:F350" si="417">D219</f>
        <v>9.9999999999999995E-7</v>
      </c>
      <c r="E350" s="620" t="str">
        <f t="shared" si="417"/>
        <v>-</v>
      </c>
      <c r="F350" s="620">
        <f t="shared" si="417"/>
        <v>9.9999999999999995E-7</v>
      </c>
      <c r="G350" s="620">
        <f>G219</f>
        <v>0</v>
      </c>
      <c r="I350" s="1046"/>
      <c r="J350" s="620">
        <v>20</v>
      </c>
      <c r="K350" s="620">
        <f>J219</f>
        <v>88.7</v>
      </c>
      <c r="L350" s="620">
        <f t="shared" ref="L350:N350" si="418">K219</f>
        <v>9.9999999999999995E-7</v>
      </c>
      <c r="M350" s="620" t="str">
        <f t="shared" si="418"/>
        <v>-</v>
      </c>
      <c r="N350" s="620">
        <f t="shared" si="418"/>
        <v>0</v>
      </c>
      <c r="O350" s="620">
        <f>N219</f>
        <v>0</v>
      </c>
      <c r="Q350" s="1048"/>
      <c r="R350" s="629">
        <v>20</v>
      </c>
      <c r="S350" s="629">
        <f>Q219</f>
        <v>1005</v>
      </c>
      <c r="T350" s="643" t="str">
        <f t="shared" ref="T350:V350" si="419">R219</f>
        <v>-</v>
      </c>
      <c r="U350" s="643" t="str">
        <f t="shared" si="419"/>
        <v>-</v>
      </c>
      <c r="V350" s="643">
        <f t="shared" si="419"/>
        <v>0</v>
      </c>
      <c r="W350" s="643">
        <f>U219</f>
        <v>0</v>
      </c>
      <c r="AE350" s="633"/>
    </row>
    <row r="351" spans="1:31" ht="13.5" thickBot="1" x14ac:dyDescent="0.35">
      <c r="A351" s="510"/>
      <c r="B351" s="510"/>
      <c r="C351" s="510"/>
      <c r="D351" s="510"/>
      <c r="E351" s="510"/>
      <c r="F351" s="510"/>
      <c r="G351" s="510"/>
      <c r="I351" s="510"/>
      <c r="J351" s="510"/>
      <c r="K351" s="510"/>
      <c r="L351" s="510"/>
      <c r="M351" s="510"/>
      <c r="N351" s="510"/>
      <c r="O351" s="510"/>
      <c r="Q351" s="647"/>
      <c r="R351" s="634"/>
      <c r="S351" s="442"/>
      <c r="T351" s="443"/>
      <c r="U351" s="443"/>
      <c r="V351" s="443"/>
      <c r="W351" s="443"/>
      <c r="AE351" s="605"/>
    </row>
    <row r="352" spans="1:31" ht="13" x14ac:dyDescent="0.3">
      <c r="A352" s="1046">
        <v>7</v>
      </c>
      <c r="B352" s="620">
        <v>1</v>
      </c>
      <c r="C352" s="620">
        <f>C11</f>
        <v>40</v>
      </c>
      <c r="D352" s="620">
        <f t="shared" ref="D352:F352" si="420">D11</f>
        <v>-0.3</v>
      </c>
      <c r="E352" s="620">
        <f t="shared" si="420"/>
        <v>-0.8</v>
      </c>
      <c r="F352" s="620">
        <f t="shared" si="420"/>
        <v>0</v>
      </c>
      <c r="G352" s="620">
        <f>G11</f>
        <v>0.4</v>
      </c>
      <c r="I352" s="1046">
        <v>7</v>
      </c>
      <c r="J352" s="620">
        <v>1</v>
      </c>
      <c r="K352" s="620">
        <f>J11</f>
        <v>90</v>
      </c>
      <c r="L352" s="620">
        <f t="shared" ref="L352:N352" si="421">K11</f>
        <v>-1.6</v>
      </c>
      <c r="M352" s="620">
        <f t="shared" si="421"/>
        <v>4.5</v>
      </c>
      <c r="N352" s="620">
        <f t="shared" si="421"/>
        <v>0</v>
      </c>
      <c r="O352" s="620">
        <f>N11</f>
        <v>3.05</v>
      </c>
      <c r="Q352" s="1052">
        <v>7</v>
      </c>
      <c r="R352" s="638">
        <v>1</v>
      </c>
      <c r="S352" s="638">
        <f>Q11</f>
        <v>1020</v>
      </c>
      <c r="T352" s="645" t="str">
        <f t="shared" ref="T352:V352" si="422">R11</f>
        <v>-</v>
      </c>
      <c r="U352" s="645" t="str">
        <f t="shared" si="422"/>
        <v>-</v>
      </c>
      <c r="V352" s="645">
        <f t="shared" si="422"/>
        <v>0</v>
      </c>
      <c r="W352" s="645">
        <f>U11</f>
        <v>0</v>
      </c>
      <c r="AE352" s="641"/>
    </row>
    <row r="353" spans="1:31" ht="13" x14ac:dyDescent="0.3">
      <c r="A353" s="1046"/>
      <c r="B353" s="620">
        <v>2</v>
      </c>
      <c r="C353" s="620">
        <f>C22</f>
        <v>40</v>
      </c>
      <c r="D353" s="620">
        <f t="shared" ref="D353:F353" si="423">D22</f>
        <v>0.6</v>
      </c>
      <c r="E353" s="620">
        <f t="shared" si="423"/>
        <v>-0.1</v>
      </c>
      <c r="F353" s="620">
        <f t="shared" si="423"/>
        <v>-0.3</v>
      </c>
      <c r="G353" s="620">
        <f>G22</f>
        <v>0.44999999999999996</v>
      </c>
      <c r="I353" s="1046"/>
      <c r="J353" s="620">
        <v>2</v>
      </c>
      <c r="K353" s="620">
        <f>J22</f>
        <v>90</v>
      </c>
      <c r="L353" s="620">
        <f t="shared" ref="L353:N353" si="424">K22</f>
        <v>1.2</v>
      </c>
      <c r="M353" s="620">
        <f t="shared" si="424"/>
        <v>1.7</v>
      </c>
      <c r="N353" s="620">
        <f t="shared" si="424"/>
        <v>-0.3</v>
      </c>
      <c r="O353" s="620">
        <f>N22</f>
        <v>1</v>
      </c>
      <c r="Q353" s="1050"/>
      <c r="R353" s="620">
        <v>2</v>
      </c>
      <c r="S353" s="620">
        <f>Q22</f>
        <v>1020</v>
      </c>
      <c r="T353" s="621" t="str">
        <f t="shared" ref="T353:V353" si="425">R22</f>
        <v>-</v>
      </c>
      <c r="U353" s="621" t="str">
        <f t="shared" si="425"/>
        <v>-</v>
      </c>
      <c r="V353" s="621">
        <f t="shared" si="425"/>
        <v>0</v>
      </c>
      <c r="W353" s="621">
        <f>U22</f>
        <v>0</v>
      </c>
      <c r="AE353" s="605"/>
    </row>
    <row r="354" spans="1:31" ht="13" x14ac:dyDescent="0.3">
      <c r="A354" s="1046"/>
      <c r="B354" s="620">
        <v>3</v>
      </c>
      <c r="C354" s="620">
        <f>C33</f>
        <v>40</v>
      </c>
      <c r="D354" s="620">
        <f t="shared" ref="D354:F354" si="426">D33</f>
        <v>0.3</v>
      </c>
      <c r="E354" s="620">
        <f t="shared" si="426"/>
        <v>0.2</v>
      </c>
      <c r="F354" s="620">
        <f t="shared" si="426"/>
        <v>-0.7</v>
      </c>
      <c r="G354" s="620">
        <f>G33</f>
        <v>0.5</v>
      </c>
      <c r="I354" s="1046"/>
      <c r="J354" s="620">
        <v>3</v>
      </c>
      <c r="K354" s="620">
        <f>J33</f>
        <v>90</v>
      </c>
      <c r="L354" s="620">
        <f t="shared" ref="L354:N354" si="427">K33</f>
        <v>-0.9</v>
      </c>
      <c r="M354" s="620">
        <f t="shared" si="427"/>
        <v>0.3</v>
      </c>
      <c r="N354" s="620">
        <f t="shared" si="427"/>
        <v>-2</v>
      </c>
      <c r="O354" s="620">
        <f>N33</f>
        <v>1.1499999999999999</v>
      </c>
      <c r="Q354" s="1050"/>
      <c r="R354" s="620">
        <v>3</v>
      </c>
      <c r="S354" s="620">
        <f>Q33</f>
        <v>1020</v>
      </c>
      <c r="T354" s="621" t="str">
        <f t="shared" ref="T354:V354" si="428">R33</f>
        <v>-</v>
      </c>
      <c r="U354" s="621" t="str">
        <f t="shared" si="428"/>
        <v>-</v>
      </c>
      <c r="V354" s="621">
        <f t="shared" si="428"/>
        <v>0</v>
      </c>
      <c r="W354" s="621">
        <f>U33</f>
        <v>0</v>
      </c>
      <c r="AE354" s="605"/>
    </row>
    <row r="355" spans="1:31" ht="13" x14ac:dyDescent="0.3">
      <c r="A355" s="1046"/>
      <c r="B355" s="620">
        <v>4</v>
      </c>
      <c r="C355" s="620">
        <f>C44</f>
        <v>40</v>
      </c>
      <c r="D355" s="620">
        <f t="shared" ref="D355:F355" si="429">D44</f>
        <v>-0.5</v>
      </c>
      <c r="E355" s="620">
        <f t="shared" si="429"/>
        <v>-0.6</v>
      </c>
      <c r="F355" s="620">
        <f t="shared" si="429"/>
        <v>0</v>
      </c>
      <c r="G355" s="620">
        <f>G44</f>
        <v>4.9999999999999989E-2</v>
      </c>
      <c r="I355" s="1046"/>
      <c r="J355" s="620">
        <v>4</v>
      </c>
      <c r="K355" s="620">
        <f>J44</f>
        <v>90</v>
      </c>
      <c r="L355" s="620">
        <f t="shared" ref="L355:N355" si="430">K44</f>
        <v>-3.5</v>
      </c>
      <c r="M355" s="620">
        <f t="shared" si="430"/>
        <v>3.3</v>
      </c>
      <c r="N355" s="620">
        <f t="shared" si="430"/>
        <v>0</v>
      </c>
      <c r="O355" s="620">
        <f>N44</f>
        <v>3.4</v>
      </c>
      <c r="Q355" s="1050"/>
      <c r="R355" s="620">
        <v>4</v>
      </c>
      <c r="S355" s="620">
        <f>Q44</f>
        <v>1020</v>
      </c>
      <c r="T355" s="621" t="str">
        <f t="shared" ref="T355:V355" si="431">R44</f>
        <v>-</v>
      </c>
      <c r="U355" s="621" t="str">
        <f t="shared" si="431"/>
        <v>-</v>
      </c>
      <c r="V355" s="621">
        <f t="shared" si="431"/>
        <v>0</v>
      </c>
      <c r="W355" s="621">
        <f>U44</f>
        <v>0</v>
      </c>
      <c r="AE355" s="605"/>
    </row>
    <row r="356" spans="1:31" ht="13" x14ac:dyDescent="0.3">
      <c r="A356" s="1046"/>
      <c r="B356" s="620">
        <v>5</v>
      </c>
      <c r="C356" s="620">
        <f>C55</f>
        <v>40</v>
      </c>
      <c r="D356" s="620">
        <f t="shared" ref="D356:F356" si="432">D55</f>
        <v>0.3</v>
      </c>
      <c r="E356" s="620">
        <f t="shared" si="432"/>
        <v>0.7</v>
      </c>
      <c r="F356" s="620">
        <f t="shared" si="432"/>
        <v>-0.1</v>
      </c>
      <c r="G356" s="620">
        <f>G55</f>
        <v>0.39999999999999997</v>
      </c>
      <c r="I356" s="1046"/>
      <c r="J356" s="620">
        <v>5</v>
      </c>
      <c r="K356" s="620">
        <f>J55</f>
        <v>90</v>
      </c>
      <c r="L356" s="620">
        <f t="shared" ref="L356:N356" si="433">K55</f>
        <v>-5.4</v>
      </c>
      <c r="M356" s="620">
        <f t="shared" si="433"/>
        <v>-1.8</v>
      </c>
      <c r="N356" s="620">
        <f t="shared" si="433"/>
        <v>2.7</v>
      </c>
      <c r="O356" s="620">
        <f>N55</f>
        <v>4.0500000000000007</v>
      </c>
      <c r="Q356" s="1050"/>
      <c r="R356" s="620">
        <v>5</v>
      </c>
      <c r="S356" s="620">
        <f>Q55</f>
        <v>1020</v>
      </c>
      <c r="T356" s="621" t="str">
        <f t="shared" ref="T356:V356" si="434">R55</f>
        <v>-</v>
      </c>
      <c r="U356" s="621" t="str">
        <f t="shared" si="434"/>
        <v>-</v>
      </c>
      <c r="V356" s="621">
        <f t="shared" si="434"/>
        <v>0</v>
      </c>
      <c r="W356" s="621">
        <f>U55</f>
        <v>0</v>
      </c>
      <c r="AE356" s="605"/>
    </row>
    <row r="357" spans="1:31" ht="13" x14ac:dyDescent="0.3">
      <c r="A357" s="1046"/>
      <c r="B357" s="620">
        <v>6</v>
      </c>
      <c r="C357" s="620">
        <f>C66</f>
        <v>40</v>
      </c>
      <c r="D357" s="620">
        <f t="shared" ref="D357:F357" si="435">D66</f>
        <v>0.1</v>
      </c>
      <c r="E357" s="620">
        <f t="shared" si="435"/>
        <v>-1.4</v>
      </c>
      <c r="F357" s="620">
        <f t="shared" si="435"/>
        <v>0</v>
      </c>
      <c r="G357" s="620">
        <f>G66</f>
        <v>0.75</v>
      </c>
      <c r="I357" s="1046"/>
      <c r="J357" s="620">
        <v>6</v>
      </c>
      <c r="K357" s="620">
        <f>J66</f>
        <v>90</v>
      </c>
      <c r="L357" s="620">
        <f t="shared" ref="L357:N357" si="436">K66</f>
        <v>-5.2</v>
      </c>
      <c r="M357" s="620">
        <f t="shared" si="436"/>
        <v>0.7</v>
      </c>
      <c r="N357" s="620">
        <f t="shared" si="436"/>
        <v>0</v>
      </c>
      <c r="O357" s="620">
        <f>N66</f>
        <v>2.95</v>
      </c>
      <c r="Q357" s="1050"/>
      <c r="R357" s="620">
        <v>6</v>
      </c>
      <c r="S357" s="620">
        <f>Q66</f>
        <v>1020</v>
      </c>
      <c r="T357" s="621">
        <f t="shared" ref="T357:V357" si="437">R66</f>
        <v>0.9</v>
      </c>
      <c r="U357" s="621">
        <f t="shared" si="437"/>
        <v>9.9999999999999995E-7</v>
      </c>
      <c r="V357" s="621">
        <f t="shared" si="437"/>
        <v>0</v>
      </c>
      <c r="W357" s="621">
        <f>U66</f>
        <v>0.4499995</v>
      </c>
      <c r="AE357" s="605"/>
    </row>
    <row r="358" spans="1:31" ht="13" x14ac:dyDescent="0.3">
      <c r="A358" s="1046"/>
      <c r="B358" s="620">
        <v>7</v>
      </c>
      <c r="C358" s="620">
        <f>C77</f>
        <v>40</v>
      </c>
      <c r="D358" s="620">
        <f t="shared" ref="D358:F358" si="438">D77</f>
        <v>-0.5</v>
      </c>
      <c r="E358" s="620">
        <f t="shared" si="438"/>
        <v>0.1</v>
      </c>
      <c r="F358" s="620">
        <f t="shared" si="438"/>
        <v>-1.7</v>
      </c>
      <c r="G358" s="620">
        <f>G77</f>
        <v>0.9</v>
      </c>
      <c r="I358" s="1046"/>
      <c r="J358" s="620">
        <v>7</v>
      </c>
      <c r="K358" s="620">
        <f>J77</f>
        <v>90</v>
      </c>
      <c r="L358" s="620">
        <f t="shared" ref="L358:N358" si="439">K77</f>
        <v>-1.6</v>
      </c>
      <c r="M358" s="620">
        <f t="shared" si="439"/>
        <v>-3</v>
      </c>
      <c r="N358" s="620">
        <f t="shared" si="439"/>
        <v>1.8</v>
      </c>
      <c r="O358" s="620">
        <f>N77</f>
        <v>2.4</v>
      </c>
      <c r="Q358" s="1050"/>
      <c r="R358" s="620">
        <v>7</v>
      </c>
      <c r="S358" s="620">
        <f>Q77</f>
        <v>1020</v>
      </c>
      <c r="T358" s="621">
        <f t="shared" ref="T358:V358" si="440">R77</f>
        <v>0.3</v>
      </c>
      <c r="U358" s="621">
        <f t="shared" si="440"/>
        <v>-3.8</v>
      </c>
      <c r="V358" s="621">
        <f t="shared" si="440"/>
        <v>9.9999999999999995E-7</v>
      </c>
      <c r="W358" s="621">
        <f>U77</f>
        <v>2.0499999999999998</v>
      </c>
      <c r="AE358" s="605"/>
    </row>
    <row r="359" spans="1:31" ht="13" x14ac:dyDescent="0.3">
      <c r="A359" s="1046"/>
      <c r="B359" s="620">
        <v>8</v>
      </c>
      <c r="C359" s="620">
        <f>C88</f>
        <v>40</v>
      </c>
      <c r="D359" s="620">
        <f t="shared" ref="D359:F359" si="441">D88</f>
        <v>9.9999999999999995E-7</v>
      </c>
      <c r="E359" s="620">
        <f t="shared" si="441"/>
        <v>-0.4</v>
      </c>
      <c r="F359" s="620">
        <f t="shared" si="441"/>
        <v>0</v>
      </c>
      <c r="G359" s="620">
        <f>G88</f>
        <v>0.2000005</v>
      </c>
      <c r="I359" s="1046"/>
      <c r="J359" s="620">
        <v>8</v>
      </c>
      <c r="K359" s="620">
        <f>J88</f>
        <v>90</v>
      </c>
      <c r="L359" s="620">
        <f t="shared" ref="L359:N359" si="442">K88</f>
        <v>-4.9000000000000004</v>
      </c>
      <c r="M359" s="620">
        <f t="shared" si="442"/>
        <v>-1.3</v>
      </c>
      <c r="N359" s="620">
        <f t="shared" si="442"/>
        <v>0</v>
      </c>
      <c r="O359" s="620">
        <f>N88</f>
        <v>1.8000000000000003</v>
      </c>
      <c r="Q359" s="1050"/>
      <c r="R359" s="620">
        <v>8</v>
      </c>
      <c r="S359" s="620">
        <f>Q88</f>
        <v>1020</v>
      </c>
      <c r="T359" s="621">
        <f t="shared" ref="T359:V359" si="443">R88</f>
        <v>-3.4</v>
      </c>
      <c r="U359" s="621">
        <f t="shared" si="443"/>
        <v>9.9999999999999995E-7</v>
      </c>
      <c r="V359" s="621">
        <f t="shared" si="443"/>
        <v>0</v>
      </c>
      <c r="W359" s="621">
        <f>U88</f>
        <v>1.7000005</v>
      </c>
      <c r="AE359" s="605"/>
    </row>
    <row r="360" spans="1:31" ht="13" x14ac:dyDescent="0.3">
      <c r="A360" s="1046"/>
      <c r="B360" s="620">
        <v>9</v>
      </c>
      <c r="C360" s="620">
        <f>C99</f>
        <v>40</v>
      </c>
      <c r="D360" s="620">
        <f t="shared" ref="D360:F360" si="444">D99</f>
        <v>-0.4</v>
      </c>
      <c r="E360" s="620" t="str">
        <f t="shared" si="444"/>
        <v>-</v>
      </c>
      <c r="F360" s="620">
        <f t="shared" si="444"/>
        <v>0</v>
      </c>
      <c r="G360" s="620">
        <f>G99</f>
        <v>0</v>
      </c>
      <c r="I360" s="1046"/>
      <c r="J360" s="620">
        <v>9</v>
      </c>
      <c r="K360" s="620">
        <f>J99</f>
        <v>90</v>
      </c>
      <c r="L360" s="620">
        <f t="shared" ref="L360:N360" si="445">K99</f>
        <v>-0.2</v>
      </c>
      <c r="M360" s="620" t="str">
        <f t="shared" si="445"/>
        <v>-</v>
      </c>
      <c r="N360" s="620">
        <f t="shared" si="445"/>
        <v>0</v>
      </c>
      <c r="O360" s="620">
        <f>N99</f>
        <v>0</v>
      </c>
      <c r="Q360" s="1050"/>
      <c r="R360" s="620">
        <v>9</v>
      </c>
      <c r="S360" s="620">
        <f>Q99</f>
        <v>1020</v>
      </c>
      <c r="T360" s="621">
        <f t="shared" ref="T360:V360" si="446">R99</f>
        <v>9.9999999999999995E-7</v>
      </c>
      <c r="U360" s="621" t="str">
        <f t="shared" si="446"/>
        <v>-</v>
      </c>
      <c r="V360" s="621">
        <f t="shared" si="446"/>
        <v>0</v>
      </c>
      <c r="W360" s="621">
        <f>U99</f>
        <v>0</v>
      </c>
      <c r="AE360" s="605"/>
    </row>
    <row r="361" spans="1:31" ht="13" x14ac:dyDescent="0.3">
      <c r="A361" s="1046"/>
      <c r="B361" s="620">
        <v>10</v>
      </c>
      <c r="C361" s="620">
        <f>C110</f>
        <v>40</v>
      </c>
      <c r="D361" s="620">
        <f t="shared" ref="D361:F361" si="447">D110</f>
        <v>0.2</v>
      </c>
      <c r="E361" s="620">
        <f t="shared" si="447"/>
        <v>9.9999999999999995E-7</v>
      </c>
      <c r="F361" s="620">
        <f t="shared" si="447"/>
        <v>0</v>
      </c>
      <c r="G361" s="620">
        <f>G110</f>
        <v>9.9999500000000005E-2</v>
      </c>
      <c r="I361" s="1046"/>
      <c r="J361" s="620">
        <v>10</v>
      </c>
      <c r="K361" s="620">
        <f>J110</f>
        <v>90</v>
      </c>
      <c r="L361" s="620">
        <f t="shared" ref="L361:N361" si="448">K110</f>
        <v>5.4</v>
      </c>
      <c r="M361" s="620">
        <f t="shared" si="448"/>
        <v>9.9999999999999995E-7</v>
      </c>
      <c r="N361" s="620">
        <f t="shared" si="448"/>
        <v>0</v>
      </c>
      <c r="O361" s="620">
        <f>N110</f>
        <v>2.6999995000000001</v>
      </c>
      <c r="Q361" s="1050"/>
      <c r="R361" s="620">
        <v>10</v>
      </c>
      <c r="S361" s="620">
        <f>Q110</f>
        <v>1020</v>
      </c>
      <c r="T361" s="621" t="str">
        <f t="shared" ref="T361:V361" si="449">R110</f>
        <v>-</v>
      </c>
      <c r="U361" s="621" t="str">
        <f t="shared" si="449"/>
        <v>-</v>
      </c>
      <c r="V361" s="621">
        <f t="shared" si="449"/>
        <v>0</v>
      </c>
      <c r="W361" s="621">
        <f>U110</f>
        <v>0</v>
      </c>
      <c r="AE361" s="605"/>
    </row>
    <row r="362" spans="1:31" ht="13" x14ac:dyDescent="0.3">
      <c r="A362" s="1046"/>
      <c r="B362" s="620">
        <v>11</v>
      </c>
      <c r="C362" s="620">
        <f>C121</f>
        <v>40</v>
      </c>
      <c r="D362" s="620">
        <f t="shared" ref="D362:F362" si="450">D121</f>
        <v>0.5</v>
      </c>
      <c r="E362" s="620">
        <f t="shared" si="450"/>
        <v>9.9999999999999995E-7</v>
      </c>
      <c r="F362" s="620">
        <f t="shared" si="450"/>
        <v>0</v>
      </c>
      <c r="G362" s="620">
        <f>G121</f>
        <v>0.24999950000000001</v>
      </c>
      <c r="I362" s="1046"/>
      <c r="J362" s="620">
        <v>11</v>
      </c>
      <c r="K362" s="620">
        <f>J121</f>
        <v>90</v>
      </c>
      <c r="L362" s="620">
        <f t="shared" ref="L362:N362" si="451">K121</f>
        <v>1.3</v>
      </c>
      <c r="M362" s="620">
        <f t="shared" si="451"/>
        <v>9.9999999999999995E-7</v>
      </c>
      <c r="N362" s="620">
        <f t="shared" si="451"/>
        <v>0</v>
      </c>
      <c r="O362" s="620">
        <f>N121</f>
        <v>0.64999950000000006</v>
      </c>
      <c r="Q362" s="1050"/>
      <c r="R362" s="620">
        <v>11</v>
      </c>
      <c r="S362" s="620">
        <f>Q121</f>
        <v>1020</v>
      </c>
      <c r="T362" s="621" t="str">
        <f t="shared" ref="T362:V362" si="452">R121</f>
        <v>-</v>
      </c>
      <c r="U362" s="621" t="str">
        <f t="shared" si="452"/>
        <v>-</v>
      </c>
      <c r="V362" s="621">
        <f t="shared" si="452"/>
        <v>0</v>
      </c>
      <c r="W362" s="621">
        <f>U121</f>
        <v>0</v>
      </c>
      <c r="AE362" s="605"/>
    </row>
    <row r="363" spans="1:31" ht="13" x14ac:dyDescent="0.3">
      <c r="A363" s="1046"/>
      <c r="B363" s="620">
        <v>12</v>
      </c>
      <c r="C363" s="620">
        <f>C132</f>
        <v>40</v>
      </c>
      <c r="D363" s="620">
        <f t="shared" ref="D363:F363" si="453">D132</f>
        <v>-0.4</v>
      </c>
      <c r="E363" s="620" t="str">
        <f t="shared" si="453"/>
        <v>-</v>
      </c>
      <c r="F363" s="620">
        <f t="shared" si="453"/>
        <v>0</v>
      </c>
      <c r="G363" s="620">
        <f>G132</f>
        <v>0</v>
      </c>
      <c r="I363" s="1046"/>
      <c r="J363" s="620">
        <v>12</v>
      </c>
      <c r="K363" s="620">
        <f>J132</f>
        <v>90</v>
      </c>
      <c r="L363" s="620">
        <f t="shared" ref="L363:N363" si="454">K132</f>
        <v>-0.9</v>
      </c>
      <c r="M363" s="620" t="str">
        <f t="shared" si="454"/>
        <v>-</v>
      </c>
      <c r="N363" s="620">
        <f t="shared" si="454"/>
        <v>0</v>
      </c>
      <c r="O363" s="620">
        <f>N132</f>
        <v>0</v>
      </c>
      <c r="Q363" s="1050"/>
      <c r="R363" s="620">
        <v>12</v>
      </c>
      <c r="S363" s="620">
        <f>Q132</f>
        <v>1020</v>
      </c>
      <c r="T363" s="621">
        <f t="shared" ref="T363:V363" si="455">R132</f>
        <v>9.9999999999999995E-7</v>
      </c>
      <c r="U363" s="621" t="str">
        <f t="shared" si="455"/>
        <v>-</v>
      </c>
      <c r="V363" s="621">
        <f t="shared" si="455"/>
        <v>0</v>
      </c>
      <c r="W363" s="621">
        <f>U132</f>
        <v>0</v>
      </c>
      <c r="AE363" s="605"/>
    </row>
    <row r="364" spans="1:31" ht="13" x14ac:dyDescent="0.3">
      <c r="A364" s="1046"/>
      <c r="B364" s="620">
        <v>13</v>
      </c>
      <c r="C364" s="620">
        <f>C143</f>
        <v>40</v>
      </c>
      <c r="D364" s="620">
        <f t="shared" ref="D364:F364" si="456">D143</f>
        <v>-0.2</v>
      </c>
      <c r="E364" s="620">
        <f t="shared" si="456"/>
        <v>0.5</v>
      </c>
      <c r="F364" s="620" t="str">
        <f t="shared" si="456"/>
        <v>-</v>
      </c>
      <c r="G364" s="620">
        <f>G143</f>
        <v>0</v>
      </c>
      <c r="I364" s="1046"/>
      <c r="J364" s="620">
        <v>13</v>
      </c>
      <c r="K364" s="620">
        <f>J143</f>
        <v>90</v>
      </c>
      <c r="L364" s="620">
        <f t="shared" ref="L364:N364" si="457">K143</f>
        <v>-1</v>
      </c>
      <c r="M364" s="620">
        <f t="shared" si="457"/>
        <v>-3.2</v>
      </c>
      <c r="N364" s="620" t="str">
        <f t="shared" si="457"/>
        <v>-</v>
      </c>
      <c r="O364" s="620">
        <f>N143</f>
        <v>0</v>
      </c>
      <c r="Q364" s="1050"/>
      <c r="R364" s="620">
        <v>13</v>
      </c>
      <c r="S364" s="620">
        <f>Q143</f>
        <v>1010</v>
      </c>
      <c r="T364" s="621">
        <f t="shared" ref="T364:V364" si="458">R143</f>
        <v>3.5</v>
      </c>
      <c r="U364" s="621">
        <f t="shared" si="458"/>
        <v>1.1000000000000001</v>
      </c>
      <c r="V364" s="621" t="str">
        <f t="shared" si="458"/>
        <v>-</v>
      </c>
      <c r="W364" s="621">
        <f>U143</f>
        <v>0</v>
      </c>
      <c r="AE364" s="605"/>
    </row>
    <row r="365" spans="1:31" ht="13" x14ac:dyDescent="0.3">
      <c r="A365" s="1046"/>
      <c r="B365" s="620">
        <v>14</v>
      </c>
      <c r="C365" s="620">
        <f>C154</f>
        <v>40</v>
      </c>
      <c r="D365" s="620">
        <f t="shared" ref="D365:F365" si="459">D154</f>
        <v>-0.8</v>
      </c>
      <c r="E365" s="620">
        <f t="shared" si="459"/>
        <v>-1.1000000000000001</v>
      </c>
      <c r="F365" s="620" t="str">
        <f t="shared" si="459"/>
        <v>-</v>
      </c>
      <c r="G365" s="620">
        <f>G154</f>
        <v>0</v>
      </c>
      <c r="I365" s="1046"/>
      <c r="J365" s="620">
        <v>14</v>
      </c>
      <c r="K365" s="620">
        <f>J154</f>
        <v>90</v>
      </c>
      <c r="L365" s="620">
        <f t="shared" ref="L365:N365" si="460">K154</f>
        <v>1.5</v>
      </c>
      <c r="M365" s="620">
        <f t="shared" si="460"/>
        <v>-0.8</v>
      </c>
      <c r="N365" s="620" t="str">
        <f t="shared" si="460"/>
        <v>-</v>
      </c>
      <c r="O365" s="620">
        <f>N154</f>
        <v>0</v>
      </c>
      <c r="Q365" s="1050"/>
      <c r="R365" s="620">
        <v>14</v>
      </c>
      <c r="S365" s="620">
        <f>Q154</f>
        <v>1010</v>
      </c>
      <c r="T365" s="621">
        <f t="shared" ref="T365:V365" si="461">R154</f>
        <v>3.7</v>
      </c>
      <c r="U365" s="621">
        <f t="shared" si="461"/>
        <v>9.9999999999999995E-7</v>
      </c>
      <c r="V365" s="621" t="str">
        <f t="shared" si="461"/>
        <v>-</v>
      </c>
      <c r="W365" s="621">
        <f>U154</f>
        <v>0</v>
      </c>
      <c r="AE365" s="605"/>
    </row>
    <row r="366" spans="1:31" ht="13" x14ac:dyDescent="0.3">
      <c r="A366" s="1046"/>
      <c r="B366" s="620">
        <v>15</v>
      </c>
      <c r="C366" s="620">
        <f>C165</f>
        <v>40</v>
      </c>
      <c r="D366" s="620">
        <f t="shared" ref="D366:F366" si="462">D165</f>
        <v>1.4</v>
      </c>
      <c r="E366" s="620">
        <f t="shared" si="462"/>
        <v>9.9999999999999995E-7</v>
      </c>
      <c r="F366" s="620" t="str">
        <f t="shared" si="462"/>
        <v>-</v>
      </c>
      <c r="G366" s="620">
        <f>G165</f>
        <v>0</v>
      </c>
      <c r="I366" s="1046"/>
      <c r="J366" s="620">
        <v>15</v>
      </c>
      <c r="K366" s="620">
        <f>J165</f>
        <v>90</v>
      </c>
      <c r="L366" s="620">
        <f t="shared" ref="L366:N366" si="463">K165</f>
        <v>-0.1</v>
      </c>
      <c r="M366" s="620">
        <f t="shared" si="463"/>
        <v>-2</v>
      </c>
      <c r="N366" s="620" t="str">
        <f t="shared" si="463"/>
        <v>-</v>
      </c>
      <c r="O366" s="620">
        <f>N165</f>
        <v>0</v>
      </c>
      <c r="Q366" s="1050"/>
      <c r="R366" s="620">
        <v>15</v>
      </c>
      <c r="S366" s="620">
        <f>Q165</f>
        <v>1010</v>
      </c>
      <c r="T366" s="621">
        <f t="shared" ref="T366:V366" si="464">R165</f>
        <v>3.9</v>
      </c>
      <c r="U366" s="621">
        <f t="shared" si="464"/>
        <v>9.9999999999999995E-7</v>
      </c>
      <c r="V366" s="621" t="str">
        <f t="shared" si="464"/>
        <v>-</v>
      </c>
      <c r="W366" s="621">
        <f>U165</f>
        <v>0</v>
      </c>
      <c r="AE366" s="605"/>
    </row>
    <row r="367" spans="1:31" ht="13" x14ac:dyDescent="0.3">
      <c r="A367" s="1046"/>
      <c r="B367" s="620">
        <v>16</v>
      </c>
      <c r="C367" s="620">
        <f>C176</f>
        <v>40</v>
      </c>
      <c r="D367" s="620">
        <f t="shared" ref="D367:F367" si="465">D176</f>
        <v>0.6</v>
      </c>
      <c r="E367" s="620">
        <f t="shared" si="465"/>
        <v>9.9999999999999995E-7</v>
      </c>
      <c r="F367" s="620">
        <f t="shared" si="465"/>
        <v>0</v>
      </c>
      <c r="G367" s="620">
        <f>G176</f>
        <v>0.29999949999999997</v>
      </c>
      <c r="I367" s="1046"/>
      <c r="J367" s="620">
        <v>16</v>
      </c>
      <c r="K367" s="620">
        <f>J176</f>
        <v>90</v>
      </c>
      <c r="L367" s="620">
        <f t="shared" ref="L367:N367" si="466">K176</f>
        <v>-3.1</v>
      </c>
      <c r="M367" s="620">
        <f t="shared" si="466"/>
        <v>-3</v>
      </c>
      <c r="N367" s="620">
        <f t="shared" si="466"/>
        <v>0</v>
      </c>
      <c r="O367" s="620">
        <f>N176</f>
        <v>5.0000000000000044E-2</v>
      </c>
      <c r="Q367" s="1050"/>
      <c r="R367" s="620">
        <v>16</v>
      </c>
      <c r="S367" s="620">
        <f>Q176</f>
        <v>1010</v>
      </c>
      <c r="T367" s="621">
        <f t="shared" ref="T367:V367" si="467">R176</f>
        <v>4.3</v>
      </c>
      <c r="U367" s="621">
        <f t="shared" si="467"/>
        <v>9.9999999999999995E-7</v>
      </c>
      <c r="V367" s="621">
        <f t="shared" si="467"/>
        <v>0</v>
      </c>
      <c r="W367" s="621">
        <f>U176</f>
        <v>2.1499994999999998</v>
      </c>
      <c r="AE367" s="605"/>
    </row>
    <row r="368" spans="1:31" ht="13" x14ac:dyDescent="0.3">
      <c r="A368" s="1046"/>
      <c r="B368" s="620">
        <v>17</v>
      </c>
      <c r="C368" s="620">
        <f>C187</f>
        <v>40</v>
      </c>
      <c r="D368" s="620">
        <f t="shared" ref="D368:F368" si="468">D187</f>
        <v>0.7</v>
      </c>
      <c r="E368" s="620">
        <f t="shared" si="468"/>
        <v>-0.8</v>
      </c>
      <c r="F368" s="620">
        <f t="shared" si="468"/>
        <v>0</v>
      </c>
      <c r="G368" s="620">
        <f>G187</f>
        <v>0.75</v>
      </c>
      <c r="I368" s="1046"/>
      <c r="J368" s="620">
        <v>17</v>
      </c>
      <c r="K368" s="620">
        <f>J187</f>
        <v>90</v>
      </c>
      <c r="L368" s="620">
        <f t="shared" ref="L368:N368" si="469">K187</f>
        <v>-2.9</v>
      </c>
      <c r="M368" s="620">
        <f t="shared" si="469"/>
        <v>-1.4</v>
      </c>
      <c r="N368" s="620">
        <f t="shared" si="469"/>
        <v>0</v>
      </c>
      <c r="O368" s="620">
        <f>N187</f>
        <v>0.75</v>
      </c>
      <c r="Q368" s="1050"/>
      <c r="R368" s="620">
        <v>17</v>
      </c>
      <c r="S368" s="620">
        <f>Q187</f>
        <v>1020</v>
      </c>
      <c r="T368" s="621">
        <f t="shared" ref="T368:V368" si="470">R187</f>
        <v>4.5</v>
      </c>
      <c r="U368" s="621">
        <f t="shared" si="470"/>
        <v>9.9999999999999995E-7</v>
      </c>
      <c r="V368" s="621">
        <f t="shared" si="470"/>
        <v>0</v>
      </c>
      <c r="W368" s="621">
        <f>U187</f>
        <v>2.2499994999999999</v>
      </c>
      <c r="AE368" s="605"/>
    </row>
    <row r="369" spans="1:36" ht="13" x14ac:dyDescent="0.3">
      <c r="A369" s="1046"/>
      <c r="B369" s="620">
        <v>18</v>
      </c>
      <c r="C369" s="620">
        <f>C198</f>
        <v>40</v>
      </c>
      <c r="D369" s="620">
        <f t="shared" ref="D369:F369" si="471">D198</f>
        <v>0.5</v>
      </c>
      <c r="E369" s="620">
        <f t="shared" si="471"/>
        <v>-0.4</v>
      </c>
      <c r="F369" s="620">
        <f t="shared" si="471"/>
        <v>0</v>
      </c>
      <c r="G369" s="620">
        <f>G198</f>
        <v>0.45</v>
      </c>
      <c r="I369" s="1046"/>
      <c r="J369" s="620">
        <v>18</v>
      </c>
      <c r="K369" s="620">
        <f>J198</f>
        <v>90</v>
      </c>
      <c r="L369" s="620">
        <f t="shared" ref="L369:N369" si="472">K198</f>
        <v>-3</v>
      </c>
      <c r="M369" s="620">
        <f t="shared" si="472"/>
        <v>-0.8</v>
      </c>
      <c r="N369" s="620">
        <f t="shared" si="472"/>
        <v>0</v>
      </c>
      <c r="O369" s="620">
        <f>N198</f>
        <v>1.1000000000000001</v>
      </c>
      <c r="Q369" s="1050"/>
      <c r="R369" s="620">
        <v>18</v>
      </c>
      <c r="S369" s="620">
        <f>Q198</f>
        <v>1010</v>
      </c>
      <c r="T369" s="621">
        <f t="shared" ref="T369:V369" si="473">R198</f>
        <v>4.4000000000000004</v>
      </c>
      <c r="U369" s="621">
        <f t="shared" si="473"/>
        <v>9.9999999999999995E-7</v>
      </c>
      <c r="V369" s="621">
        <f t="shared" si="473"/>
        <v>0</v>
      </c>
      <c r="W369" s="621">
        <f>U198</f>
        <v>2.1999995000000001</v>
      </c>
      <c r="AE369" s="605"/>
    </row>
    <row r="370" spans="1:36" ht="13" x14ac:dyDescent="0.3">
      <c r="A370" s="1046"/>
      <c r="B370" s="620">
        <v>19</v>
      </c>
      <c r="C370" s="620">
        <f>C209</f>
        <v>40</v>
      </c>
      <c r="D370" s="620">
        <f t="shared" ref="D370:F370" si="474">D209</f>
        <v>0.2</v>
      </c>
      <c r="E370" s="620" t="str">
        <f t="shared" si="474"/>
        <v>-</v>
      </c>
      <c r="F370" s="620">
        <f t="shared" si="474"/>
        <v>0</v>
      </c>
      <c r="G370" s="620">
        <f>G209</f>
        <v>0</v>
      </c>
      <c r="I370" s="1046"/>
      <c r="J370" s="620">
        <v>19</v>
      </c>
      <c r="K370" s="620">
        <f>J209</f>
        <v>90</v>
      </c>
      <c r="L370" s="620">
        <f t="shared" ref="L370:N370" si="475">K209</f>
        <v>-0.6</v>
      </c>
      <c r="M370" s="620" t="str">
        <f t="shared" si="475"/>
        <v>-</v>
      </c>
      <c r="N370" s="620">
        <f t="shared" si="475"/>
        <v>0</v>
      </c>
      <c r="O370" s="620">
        <f>N209</f>
        <v>0</v>
      </c>
      <c r="Q370" s="1050"/>
      <c r="R370" s="620">
        <v>19</v>
      </c>
      <c r="S370" s="620">
        <f>Q209</f>
        <v>1020</v>
      </c>
      <c r="T370" s="621">
        <f t="shared" ref="T370:V370" si="476">R209</f>
        <v>2.2999999999999998</v>
      </c>
      <c r="U370" s="621" t="str">
        <f t="shared" si="476"/>
        <v>-</v>
      </c>
      <c r="V370" s="621">
        <f t="shared" si="476"/>
        <v>0</v>
      </c>
      <c r="W370" s="621">
        <f>U209</f>
        <v>0</v>
      </c>
      <c r="AE370" s="605"/>
    </row>
    <row r="371" spans="1:36" ht="13.5" thickBot="1" x14ac:dyDescent="0.35">
      <c r="A371" s="1046"/>
      <c r="B371" s="620">
        <v>20</v>
      </c>
      <c r="C371" s="620">
        <f>C220</f>
        <v>40</v>
      </c>
      <c r="D371" s="620">
        <f t="shared" ref="D371:F371" si="477">D220</f>
        <v>9.9999999999999995E-7</v>
      </c>
      <c r="E371" s="620" t="str">
        <f t="shared" si="477"/>
        <v>-</v>
      </c>
      <c r="F371" s="620">
        <f t="shared" si="477"/>
        <v>9.9999999999999995E-7</v>
      </c>
      <c r="G371" s="620">
        <f>G220</f>
        <v>0</v>
      </c>
      <c r="I371" s="1046"/>
      <c r="J371" s="620">
        <v>20</v>
      </c>
      <c r="K371" s="620">
        <f>J220</f>
        <v>90</v>
      </c>
      <c r="L371" s="620">
        <f t="shared" ref="L371:N371" si="478">K220</f>
        <v>9.9999999999999995E-7</v>
      </c>
      <c r="M371" s="620" t="str">
        <f t="shared" si="478"/>
        <v>-</v>
      </c>
      <c r="N371" s="620">
        <f t="shared" si="478"/>
        <v>0</v>
      </c>
      <c r="O371" s="620">
        <f>N220</f>
        <v>0</v>
      </c>
      <c r="Q371" s="1051"/>
      <c r="R371" s="629">
        <v>20</v>
      </c>
      <c r="S371" s="629">
        <f>Q220</f>
        <v>1020</v>
      </c>
      <c r="T371" s="643" t="str">
        <f t="shared" ref="T371:V371" si="479">R220</f>
        <v>-</v>
      </c>
      <c r="U371" s="643" t="str">
        <f t="shared" si="479"/>
        <v>-</v>
      </c>
      <c r="V371" s="643">
        <f t="shared" si="479"/>
        <v>0</v>
      </c>
      <c r="W371" s="643">
        <f>U220</f>
        <v>0</v>
      </c>
      <c r="AE371" s="633"/>
    </row>
    <row r="372" spans="1:36" ht="13.5" thickBot="1" x14ac:dyDescent="0.35">
      <c r="A372" s="648"/>
      <c r="B372" s="649"/>
      <c r="C372" s="637"/>
      <c r="D372" s="637"/>
      <c r="E372" s="637"/>
      <c r="F372" s="637"/>
      <c r="G372" s="637"/>
      <c r="H372" s="605"/>
      <c r="I372" s="632"/>
      <c r="J372" s="649"/>
      <c r="K372" s="637"/>
      <c r="L372" s="637"/>
      <c r="M372" s="637"/>
      <c r="N372" s="637"/>
      <c r="O372" s="637"/>
      <c r="P372" s="605"/>
    </row>
    <row r="373" spans="1:36" ht="29.25" customHeight="1" x14ac:dyDescent="0.25">
      <c r="A373" s="675">
        <f>A410</f>
        <v>19</v>
      </c>
      <c r="B373" s="1053" t="str">
        <f>A389</f>
        <v>Thermohygrobarometer, Merek : EXTECH, Model : SD700, SN : A.100615</v>
      </c>
      <c r="C373" s="1053"/>
      <c r="D373" s="1053"/>
      <c r="E373" s="1053"/>
      <c r="G373" s="675">
        <f>A373</f>
        <v>19</v>
      </c>
      <c r="H373" s="1053" t="str">
        <f>B373</f>
        <v>Thermohygrobarometer, Merek : EXTECH, Model : SD700, SN : A.100615</v>
      </c>
      <c r="I373" s="1053"/>
      <c r="J373" s="1053"/>
      <c r="K373" s="1053"/>
      <c r="M373" s="675">
        <f>G373</f>
        <v>19</v>
      </c>
      <c r="N373" s="1053" t="str">
        <f>H373</f>
        <v>Thermohygrobarometer, Merek : EXTECH, Model : SD700, SN : A.100615</v>
      </c>
      <c r="O373" s="1053"/>
      <c r="P373" s="1053"/>
      <c r="Q373" s="1053"/>
      <c r="S373" s="675">
        <f>A373</f>
        <v>19</v>
      </c>
      <c r="T373" s="1054" t="str">
        <f>H373</f>
        <v>Thermohygrobarometer, Merek : EXTECH, Model : SD700, SN : A.100615</v>
      </c>
      <c r="U373" s="1054"/>
      <c r="V373" s="1054"/>
      <c r="W373" s="1054"/>
      <c r="Z373" s="676"/>
      <c r="AE373" s="611"/>
    </row>
    <row r="374" spans="1:36" ht="13.5" x14ac:dyDescent="0.3">
      <c r="A374" s="650" t="s">
        <v>325</v>
      </c>
      <c r="B374" s="1055" t="s">
        <v>244</v>
      </c>
      <c r="C374" s="1055"/>
      <c r="D374" s="1055"/>
      <c r="E374" s="1055" t="s">
        <v>239</v>
      </c>
      <c r="G374" s="650" t="s">
        <v>326</v>
      </c>
      <c r="H374" s="1055" t="s">
        <v>244</v>
      </c>
      <c r="I374" s="1055"/>
      <c r="J374" s="1055"/>
      <c r="K374" s="1055" t="s">
        <v>239</v>
      </c>
      <c r="M374" s="650" t="s">
        <v>327</v>
      </c>
      <c r="N374" s="1055" t="s">
        <v>244</v>
      </c>
      <c r="O374" s="1055"/>
      <c r="P374" s="1055"/>
      <c r="Q374" s="1055" t="s">
        <v>239</v>
      </c>
      <c r="S374" s="1060"/>
      <c r="T374" s="1060" t="s">
        <v>351</v>
      </c>
      <c r="U374" s="1060" t="s">
        <v>352</v>
      </c>
      <c r="V374" s="1060" t="s">
        <v>172</v>
      </c>
      <c r="W374" s="1061" t="s">
        <v>251</v>
      </c>
      <c r="Z374" s="637"/>
    </row>
    <row r="375" spans="1:36" ht="14" x14ac:dyDescent="0.3">
      <c r="A375" s="677" t="s">
        <v>350</v>
      </c>
      <c r="B375" s="650">
        <f>VLOOKUP(B373,A390:L409,9,FALSE)</f>
        <v>2021</v>
      </c>
      <c r="C375" s="650" t="str">
        <f>VLOOKUP(B373,A390:L409,10,FALSE)</f>
        <v>-</v>
      </c>
      <c r="D375" s="650">
        <f>VLOOKUP(B373,A390:L409,11,FALSE)</f>
        <v>2016</v>
      </c>
      <c r="E375" s="1055"/>
      <c r="G375" s="678" t="s">
        <v>41</v>
      </c>
      <c r="H375" s="650">
        <f>B375</f>
        <v>2021</v>
      </c>
      <c r="I375" s="650" t="str">
        <f>C375</f>
        <v>-</v>
      </c>
      <c r="J375" s="650">
        <f>D375</f>
        <v>2016</v>
      </c>
      <c r="K375" s="1055"/>
      <c r="M375" s="678" t="s">
        <v>329</v>
      </c>
      <c r="N375" s="650">
        <f>H375</f>
        <v>2021</v>
      </c>
      <c r="O375" s="650" t="str">
        <f>I375</f>
        <v>-</v>
      </c>
      <c r="P375" s="650">
        <f>J375</f>
        <v>2016</v>
      </c>
      <c r="Q375" s="1055"/>
      <c r="S375" s="1060"/>
      <c r="T375" s="1060"/>
      <c r="U375" s="1060"/>
      <c r="V375" s="1060"/>
      <c r="W375" s="1061"/>
      <c r="Z375" s="637"/>
    </row>
    <row r="376" spans="1:36" ht="13" x14ac:dyDescent="0.3">
      <c r="A376" s="510">
        <f>VLOOKUP($A$373,$B$226:$G$245,2,FALSE)</f>
        <v>15</v>
      </c>
      <c r="B376" s="510">
        <f>VLOOKUP($A$373,$B$226:$G$245,3,FALSE)</f>
        <v>9.9999999999999995E-7</v>
      </c>
      <c r="C376" s="510" t="str">
        <f>VLOOKUP($A$373,$B$226:$G$245,4,FALSE)</f>
        <v>-</v>
      </c>
      <c r="D376" s="510">
        <f>VLOOKUP($A$373,$B$226:$G$245,5,FALSE)</f>
        <v>0</v>
      </c>
      <c r="E376" s="510">
        <f>VLOOKUP($A$373,$B$226:$G$245,6,FALSE)</f>
        <v>0</v>
      </c>
      <c r="G376" s="510">
        <f>VLOOKUP($G$373,$J$226:$O$245,2,FALSE)</f>
        <v>30</v>
      </c>
      <c r="H376" s="510">
        <f>VLOOKUP($G$373,$J$226:$O$245,3,FALSE)</f>
        <v>-1.5</v>
      </c>
      <c r="I376" s="510" t="str">
        <f>VLOOKUP($G$373,$J$226:$O$245,4,FALSE)</f>
        <v>-</v>
      </c>
      <c r="J376" s="510">
        <f>VLOOKUP($G$373,$J$226:$O$245,5,FALSE)</f>
        <v>0</v>
      </c>
      <c r="K376" s="510">
        <f>VLOOKUP($G$373,$J$226:$O$245,6,FALSE)</f>
        <v>0</v>
      </c>
      <c r="M376" s="510">
        <f>VLOOKUP($M$373,$R$226:$W$245,2,FALSE)</f>
        <v>750</v>
      </c>
      <c r="N376" s="510">
        <f>VLOOKUP($M$373,$R$226:$W$245,3,FALSE)</f>
        <v>2.5</v>
      </c>
      <c r="O376" s="510" t="str">
        <f>VLOOKUP($M$373,$R$226:$W$245,4,FALSE)</f>
        <v>-</v>
      </c>
      <c r="P376" s="510">
        <f>VLOOKUP($M$373,$R$226:$W$245,5,FALSE)</f>
        <v>0</v>
      </c>
      <c r="Q376" s="510">
        <f>VLOOKUP($M$373,$R$226:$W$245,6,FALSE)</f>
        <v>0</v>
      </c>
      <c r="S376" s="1060"/>
      <c r="T376" s="1060"/>
      <c r="U376" s="1060"/>
      <c r="V376" s="1060"/>
      <c r="W376" s="1061"/>
      <c r="Z376" s="637"/>
    </row>
    <row r="377" spans="1:36" ht="13" x14ac:dyDescent="0.3">
      <c r="A377" s="510">
        <f>VLOOKUP($A$373,$B$247:$G$266,2,FALSE)</f>
        <v>20</v>
      </c>
      <c r="B377" s="510">
        <f>VLOOKUP($A$373,$B$247:$G$266,3,FALSE)</f>
        <v>0.1</v>
      </c>
      <c r="C377" s="510" t="str">
        <f>VLOOKUP($A$373,$B$247:$G$266,4,FALSE)</f>
        <v>-</v>
      </c>
      <c r="D377" s="510">
        <f>VLOOKUP($A$373,$B$247:$G$266,5,FALSE)</f>
        <v>0</v>
      </c>
      <c r="E377" s="510">
        <f>VLOOKUP($A$373,$B$247:$G$266,6,FALSE)</f>
        <v>0</v>
      </c>
      <c r="G377" s="510">
        <f>VLOOKUP($G$373,$J$247:$O$266,2,FALSE)</f>
        <v>40</v>
      </c>
      <c r="H377" s="510">
        <f>VLOOKUP($G$373,$J$247:$O$266,3,FALSE)</f>
        <v>-0.8</v>
      </c>
      <c r="I377" s="510" t="str">
        <f>VLOOKUP($G$373,$J$247:$O$266,4,FALSE)</f>
        <v>-</v>
      </c>
      <c r="J377" s="510">
        <f>VLOOKUP($G$373,$J$247:$O$266,5,FALSE)</f>
        <v>0</v>
      </c>
      <c r="K377" s="510">
        <f>VLOOKUP($G$373,$J$247:$O$266,6,FALSE)</f>
        <v>0</v>
      </c>
      <c r="M377" s="510">
        <f>VLOOKUP($M$373,$R$247:$W$266,2,FALSE)</f>
        <v>800</v>
      </c>
      <c r="N377" s="510">
        <f>VLOOKUP($M$373,$R$247:$W$266,3,FALSE)</f>
        <v>2.5</v>
      </c>
      <c r="O377" s="510" t="str">
        <f>VLOOKUP($M$373,$R$247:$W$266,4,FALSE)</f>
        <v>-</v>
      </c>
      <c r="P377" s="510">
        <f>VLOOKUP($M$373,$R$247:$W$266,5,FALSE)</f>
        <v>0</v>
      </c>
      <c r="Q377" s="510">
        <f>VLOOKUP($M$373,$R$247:$W$266,6,FALSE)</f>
        <v>0</v>
      </c>
      <c r="S377" s="441" t="s">
        <v>325</v>
      </c>
      <c r="T377" s="651">
        <f>AVERAGE(ID!E15:F15)</f>
        <v>22.55</v>
      </c>
      <c r="U377" s="441">
        <f>T377+S386</f>
        <v>22.594782542175363</v>
      </c>
      <c r="V377" s="651">
        <f>STDEV(ID!E15:F15)</f>
        <v>7.0710678118655765E-2</v>
      </c>
      <c r="W377" s="679">
        <f>VLOOKUP(S373,Y225:Z244,2,(FALSE))</f>
        <v>0.1</v>
      </c>
      <c r="Z377" s="637"/>
    </row>
    <row r="378" spans="1:36" ht="13" x14ac:dyDescent="0.3">
      <c r="A378" s="510">
        <f>VLOOKUP($A$373,$B$268:$G$287,2,FALSE)</f>
        <v>25</v>
      </c>
      <c r="B378" s="510">
        <f>VLOOKUP($A$373,$B$268:$G$287,3,FALSE)</f>
        <v>0.2</v>
      </c>
      <c r="C378" s="510">
        <f>VLOOKUP($A$373,$B$268:$G$287,4,FALSE)</f>
        <v>-0.2</v>
      </c>
      <c r="D378" s="510">
        <f>VLOOKUP($A$373,$B$268:$G$287,5,FALSE)</f>
        <v>0</v>
      </c>
      <c r="E378" s="510">
        <f>VLOOKUP($A$373,$B$268:$G$287,6,FALSE)</f>
        <v>0.2</v>
      </c>
      <c r="G378" s="510">
        <f>VLOOKUP($G$373,$J$268:$O$287,2,FALSE)</f>
        <v>50</v>
      </c>
      <c r="H378" s="510">
        <f>VLOOKUP($G$373,$J$268:$O$287,3,FALSE)</f>
        <v>-0.2</v>
      </c>
      <c r="I378" s="510" t="str">
        <f>VLOOKUP($G$373,$J$268:$O$287,4,FALSE)</f>
        <v>-</v>
      </c>
      <c r="J378" s="510">
        <f>VLOOKUP($G$373,$J$268:$O$287,5,FALSE)</f>
        <v>0</v>
      </c>
      <c r="K378" s="510">
        <f>VLOOKUP($G$373,$J$268:$O$287,6,FALSE)</f>
        <v>0</v>
      </c>
      <c r="M378" s="510">
        <f>VLOOKUP($M$373,$R$268:$W$287,2,FALSE)</f>
        <v>850</v>
      </c>
      <c r="N378" s="510">
        <f>VLOOKUP($M$373,$R$268:$W$287,3,FALSE)</f>
        <v>2.4</v>
      </c>
      <c r="O378" s="510" t="str">
        <f>VLOOKUP($M$373,$R$268:$W$287,4,FALSE)</f>
        <v>-</v>
      </c>
      <c r="P378" s="510">
        <f>VLOOKUP($M$373,$R$268:$W$287,5,FALSE)</f>
        <v>0</v>
      </c>
      <c r="Q378" s="510">
        <f>VLOOKUP($M$373,$R$268:$W$287,6,FALSE)</f>
        <v>0</v>
      </c>
      <c r="S378" s="441" t="s">
        <v>41</v>
      </c>
      <c r="T378" s="651">
        <f>AVERAGE(ID!E16:F16)</f>
        <v>52.25</v>
      </c>
      <c r="U378" s="441">
        <f>T378+T386</f>
        <v>51.580357142857146</v>
      </c>
      <c r="V378" s="651">
        <f>STDEV(ID!E16:F16)</f>
        <v>7.0710678118650741E-2</v>
      </c>
      <c r="W378" s="679">
        <f>VLOOKUP(S373,Y249:Z268,2,(FALSE))</f>
        <v>1.5</v>
      </c>
      <c r="Z378" s="637"/>
    </row>
    <row r="379" spans="1:36" ht="13" x14ac:dyDescent="0.3">
      <c r="A379" s="510">
        <f>VLOOKUP($A$373,$B$289:$G$308,2,FALSE)</f>
        <v>30</v>
      </c>
      <c r="B379" s="510">
        <f>VLOOKUP($A$373,$B$289:$G$308,3,FALSE)</f>
        <v>-0.1</v>
      </c>
      <c r="C379" s="510" t="str">
        <f>VLOOKUP($A$373,$B$289:$G$308,4,FALSE)</f>
        <v>-</v>
      </c>
      <c r="D379" s="510">
        <f>VLOOKUP($A$373,$B$289:$G$308,5,FALSE)</f>
        <v>0</v>
      </c>
      <c r="E379" s="510">
        <f>VLOOKUP($A$373,$B$289:$G$308,6,FALSE)</f>
        <v>0</v>
      </c>
      <c r="G379" s="510">
        <f>VLOOKUP($G$373,$J$289:$O$308,2,FALSE)</f>
        <v>60</v>
      </c>
      <c r="H379" s="510">
        <f>VLOOKUP($G$373,$J$289:$O$308,3,FALSE)</f>
        <v>0.4</v>
      </c>
      <c r="I379" s="510" t="str">
        <f>VLOOKUP($G$373,$J$289:$O$308,4,FALSE)</f>
        <v>-</v>
      </c>
      <c r="J379" s="510">
        <f>VLOOKUP($G$373,$J$289:$O$308,5,FALSE)</f>
        <v>0</v>
      </c>
      <c r="K379" s="510">
        <f>VLOOKUP($G$373,$J$289:$O$308,6,FALSE)</f>
        <v>0</v>
      </c>
      <c r="M379" s="510">
        <f>VLOOKUP($M$373,$R$289:$W$308,2,FALSE)</f>
        <v>900</v>
      </c>
      <c r="N379" s="510">
        <f>VLOOKUP($M$373,$R$289:$W$308,3,FALSE)</f>
        <v>2.2999999999999998</v>
      </c>
      <c r="O379" s="510" t="str">
        <f>VLOOKUP($M$373,$R$289:$W$308,4,FALSE)</f>
        <v>-</v>
      </c>
      <c r="P379" s="510">
        <f>VLOOKUP($M$373,$R$289:$W$308,5,FALSE)</f>
        <v>0</v>
      </c>
      <c r="Q379" s="510">
        <f>VLOOKUP($M$373,$R$289:$W$308,6,FALSE)</f>
        <v>0</v>
      </c>
      <c r="S379" s="66" t="s">
        <v>329</v>
      </c>
      <c r="T379" s="588">
        <v>1000</v>
      </c>
      <c r="U379" s="486">
        <f>T379+U386</f>
        <v>1002.2378795572256</v>
      </c>
      <c r="V379" s="588" t="s">
        <v>16</v>
      </c>
      <c r="W379" s="679">
        <f>VLOOKUP(S373,Y273:Z292,2,(FALSE))</f>
        <v>0.4</v>
      </c>
      <c r="Z379" s="637"/>
      <c r="AE379" s="680"/>
    </row>
    <row r="380" spans="1:36" ht="13.5" thickBot="1" x14ac:dyDescent="0.35">
      <c r="A380" s="510">
        <f>VLOOKUP($A$373,$B$310:$G$329,2,FALSE)</f>
        <v>35</v>
      </c>
      <c r="B380" s="510">
        <f>VLOOKUP($A$373,$B$310:$G$329,3,FALSE)</f>
        <v>-0.1</v>
      </c>
      <c r="C380" s="510" t="str">
        <f>VLOOKUP($A$373,$B$310:$G$329,4,FALSE)</f>
        <v>-</v>
      </c>
      <c r="D380" s="510">
        <f>VLOOKUP($A$373,$B$310:$G$329,5,FALSE)</f>
        <v>0</v>
      </c>
      <c r="E380" s="510">
        <f>VLOOKUP($A$373,$B$310:$G$329,6,FALSE)</f>
        <v>0</v>
      </c>
      <c r="G380" s="510">
        <f>VLOOKUP($G$373,$J$310:$O$329,2,FALSE)</f>
        <v>70</v>
      </c>
      <c r="H380" s="510">
        <f>VLOOKUP($G$373,$J$310:$O$329,3,FALSE)</f>
        <v>-0.7</v>
      </c>
      <c r="I380" s="510" t="str">
        <f>VLOOKUP($G$373,$J$310:$O$329,4,FALSE)</f>
        <v>-</v>
      </c>
      <c r="J380" s="510">
        <f>VLOOKUP($G$373,$J$310:$O$329,5,FALSE)</f>
        <v>0</v>
      </c>
      <c r="K380" s="510">
        <f>VLOOKUP($G$373,$J$310:$O$329,6,FALSE)</f>
        <v>0</v>
      </c>
      <c r="M380" s="510">
        <f>VLOOKUP($M$373,$R$310:$W$329,2,FALSE)</f>
        <v>1000</v>
      </c>
      <c r="N380" s="510">
        <f>VLOOKUP($M$373,$R$310:$W$329,3,FALSE)</f>
        <v>2.2000000000000002</v>
      </c>
      <c r="O380" s="510" t="str">
        <f>VLOOKUP($M$373,$R$310:$W$329,4,FALSE)</f>
        <v>-</v>
      </c>
      <c r="P380" s="510">
        <f>VLOOKUP($M$373,$R$310:$W$329,5,FALSE)</f>
        <v>0</v>
      </c>
      <c r="Q380" s="510">
        <f>VLOOKUP($M$373,$R$310:$W$329,6,FALSE)</f>
        <v>0</v>
      </c>
      <c r="Z380" s="637"/>
      <c r="AE380" s="681"/>
    </row>
    <row r="381" spans="1:36" ht="14" x14ac:dyDescent="0.3">
      <c r="A381" s="510">
        <f>VLOOKUP($A$373,$B$331:$G$350,2,FALSE)</f>
        <v>37</v>
      </c>
      <c r="B381" s="510">
        <f>VLOOKUP($A$373,$B$331:$G$350,3,FALSE)</f>
        <v>9.9999999999999995E-7</v>
      </c>
      <c r="C381" s="510" t="str">
        <f>VLOOKUP($A$373,$B$331:$G$350,4,FALSE)</f>
        <v>-</v>
      </c>
      <c r="D381" s="510">
        <f>VLOOKUP($A$373,$B$331:$G$350,5,FALSE)</f>
        <v>0</v>
      </c>
      <c r="E381" s="510">
        <f>VLOOKUP($A$373,$B$331:$G$350,6,FALSE)</f>
        <v>0</v>
      </c>
      <c r="G381" s="510">
        <f>VLOOKUP($G$373,$J$331:$O$350,2,FALSE)</f>
        <v>80</v>
      </c>
      <c r="H381" s="510">
        <f>VLOOKUP($G$373,$J$331:$O$350,3,FALSE)</f>
        <v>-0.9</v>
      </c>
      <c r="I381" s="510" t="str">
        <f>VLOOKUP($G$373,$J$331:$O$350,4,FALSE)</f>
        <v>-</v>
      </c>
      <c r="J381" s="510">
        <f>VLOOKUP($G$373,$J$331:$O$350,5,FALSE)</f>
        <v>0</v>
      </c>
      <c r="K381" s="510">
        <f>VLOOKUP($G$373,$J$331:$O$350,6,FALSE)</f>
        <v>0</v>
      </c>
      <c r="M381" s="510">
        <f>VLOOKUP($M$373,$R$331:$W$350,2,FALSE)</f>
        <v>1005</v>
      </c>
      <c r="N381" s="510">
        <f>VLOOKUP($M$373,$R$331:$W$350,3,FALSE)</f>
        <v>2.2000000000000002</v>
      </c>
      <c r="O381" s="510" t="str">
        <f>VLOOKUP($M$373,$R$331:$W$350,4,FALSE)</f>
        <v>-</v>
      </c>
      <c r="P381" s="510">
        <f>VLOOKUP($M$373,$R$331:$W$350,5,FALSE)</f>
        <v>0</v>
      </c>
      <c r="Q381" s="510">
        <f>VLOOKUP($M$373,$R$331:$W$350,6,FALSE)</f>
        <v>0</v>
      </c>
      <c r="S381" s="1062" t="s">
        <v>353</v>
      </c>
      <c r="T381" s="652" t="str">
        <f>N393&amp;N390&amp;O393&amp;O390&amp;P393&amp;P390</f>
        <v>( 22.6 ± 0.1 ) °C</v>
      </c>
      <c r="U381" s="653"/>
      <c r="Z381" s="637"/>
      <c r="AE381" s="682"/>
    </row>
    <row r="382" spans="1:36" ht="14" x14ac:dyDescent="0.3">
      <c r="A382" s="510">
        <f>VLOOKUP($A$373,$B$352:$G$371,2,FALSE)</f>
        <v>40</v>
      </c>
      <c r="B382" s="510">
        <f>VLOOKUP($A$373,$B$352:$G$371,3,FALSE)</f>
        <v>0.2</v>
      </c>
      <c r="C382" s="510" t="str">
        <f>VLOOKUP($A$373,$B$352:$G$371,4,FALSE)</f>
        <v>-</v>
      </c>
      <c r="D382" s="510">
        <f>VLOOKUP($A$373,$B$352:$G$371,5,FALSE)</f>
        <v>0</v>
      </c>
      <c r="E382" s="510">
        <f>VLOOKUP($A$373,$B$352:$G$371,6,FALSE)</f>
        <v>0</v>
      </c>
      <c r="G382" s="510">
        <f>VLOOKUP($G$373,$J$352:$O$371,2,FALSE)</f>
        <v>90</v>
      </c>
      <c r="H382" s="510">
        <f>VLOOKUP($G$373,$J$352:$O$371,3,FALSE)</f>
        <v>-0.6</v>
      </c>
      <c r="I382" s="510" t="str">
        <f>VLOOKUP($G$373,$J$352:$O$371,4,FALSE)</f>
        <v>-</v>
      </c>
      <c r="J382" s="510">
        <f>VLOOKUP($G$373,$J$352:$O$371,5,FALSE)</f>
        <v>0</v>
      </c>
      <c r="K382" s="510">
        <f>VLOOKUP($G$373,$J$352:$O$371,6,FALSE)</f>
        <v>0</v>
      </c>
      <c r="M382" s="510">
        <f>VLOOKUP($M$373,$R$352:$W$371,2,FALSE)</f>
        <v>1020</v>
      </c>
      <c r="N382" s="510">
        <f>VLOOKUP($M$373,$R$352:$W$371,3,FALSE)</f>
        <v>2.2999999999999998</v>
      </c>
      <c r="O382" s="510" t="str">
        <f>VLOOKUP($M$373,$R$352:$W$371,4,FALSE)</f>
        <v>-</v>
      </c>
      <c r="P382" s="510">
        <f>VLOOKUP($M$373,$R$352:$W$371,5,FALSE)</f>
        <v>0</v>
      </c>
      <c r="Q382" s="510">
        <f>VLOOKUP($M$373,$R$352:$W$371,6,FALSE)</f>
        <v>0</v>
      </c>
      <c r="S382" s="1063"/>
      <c r="T382" s="598" t="str">
        <f>N393&amp;N391&amp;O393&amp;O391&amp;P393&amp;P391</f>
        <v>( 51.6 ± 1.5 ) %RH</v>
      </c>
      <c r="U382" s="654"/>
      <c r="Z382" s="637"/>
      <c r="AE382" s="682"/>
    </row>
    <row r="383" spans="1:36" ht="14.5" thickBot="1" x14ac:dyDescent="0.35">
      <c r="A383" s="655"/>
      <c r="B383" s="637"/>
      <c r="C383" s="637"/>
      <c r="D383" s="637"/>
      <c r="E383" s="637"/>
      <c r="G383" s="637"/>
      <c r="H383" s="637"/>
      <c r="I383" s="637"/>
      <c r="J383" s="637"/>
      <c r="M383" s="637"/>
      <c r="N383" s="637"/>
      <c r="O383" s="637"/>
      <c r="P383" s="637"/>
      <c r="S383" s="1064"/>
      <c r="T383" s="656" t="str">
        <f>N393&amp;N392&amp;O393&amp;O392&amp;P393&amp;P392</f>
        <v>( 1002.2 ± 0.4 ) hPa</v>
      </c>
      <c r="U383" s="657"/>
      <c r="Z383" s="637"/>
      <c r="AE383" s="682"/>
    </row>
    <row r="384" spans="1:36" ht="14" x14ac:dyDescent="0.3">
      <c r="D384" s="658"/>
      <c r="E384" s="683"/>
      <c r="G384" s="658"/>
      <c r="H384" s="658"/>
      <c r="I384" s="658"/>
      <c r="J384" s="658"/>
      <c r="M384" s="658"/>
      <c r="N384" s="658"/>
      <c r="O384" s="658"/>
      <c r="P384" s="658"/>
      <c r="Z384" s="637"/>
      <c r="AE384" s="682"/>
      <c r="AF384" s="684"/>
      <c r="AJ384" s="494"/>
    </row>
    <row r="385" spans="1:36" ht="31.5" x14ac:dyDescent="0.3">
      <c r="D385" s="659"/>
      <c r="E385" s="660"/>
      <c r="G385" s="521"/>
      <c r="H385" s="659"/>
      <c r="I385" s="659"/>
      <c r="J385" s="659"/>
      <c r="M385" s="521"/>
      <c r="N385" s="659"/>
      <c r="O385" s="659"/>
      <c r="P385" s="659"/>
      <c r="S385" s="520" t="s">
        <v>354</v>
      </c>
      <c r="T385" s="520" t="s">
        <v>355</v>
      </c>
      <c r="U385" s="520" t="s">
        <v>356</v>
      </c>
      <c r="Z385" s="637"/>
      <c r="AE385" s="637"/>
      <c r="AJ385" s="494"/>
    </row>
    <row r="386" spans="1:36" ht="13.5" x14ac:dyDescent="0.3">
      <c r="A386" s="521"/>
      <c r="B386" s="659"/>
      <c r="C386" s="659"/>
      <c r="D386" s="659"/>
      <c r="E386" s="660"/>
      <c r="G386" s="521"/>
      <c r="H386" s="659"/>
      <c r="I386" s="659"/>
      <c r="J386" s="659"/>
      <c r="M386" s="521"/>
      <c r="N386" s="659"/>
      <c r="O386" s="659"/>
      <c r="P386" s="659"/>
      <c r="S386" s="661">
        <f>FORECAST(T377,B376:B382,A376:A382)</f>
        <v>4.4782542175360707E-2</v>
      </c>
      <c r="T386" s="662">
        <f>FORECAST(T378,H376:H382,G376:G382)</f>
        <v>-0.66964285714285698</v>
      </c>
      <c r="U386" s="662">
        <f>FORECAST(T379,N376:N382,M376:M382)</f>
        <v>2.2378795572255505</v>
      </c>
      <c r="Z386" s="637"/>
      <c r="AE386" s="637"/>
      <c r="AJ386" s="494"/>
    </row>
    <row r="387" spans="1:36" ht="13.5" thickBot="1" x14ac:dyDescent="0.35">
      <c r="A387" s="521"/>
      <c r="B387" s="659"/>
      <c r="C387" s="659"/>
      <c r="D387" s="659"/>
      <c r="E387" s="663"/>
      <c r="G387" s="521"/>
      <c r="H387" s="659"/>
      <c r="I387" s="659"/>
      <c r="J387" s="659"/>
      <c r="M387" s="521"/>
      <c r="N387" s="659"/>
      <c r="O387" s="659"/>
      <c r="P387" s="659"/>
      <c r="Z387" s="685"/>
      <c r="AE387" s="685"/>
      <c r="AF387" s="686"/>
      <c r="AG387" s="687"/>
      <c r="AH387" s="687"/>
      <c r="AI387" s="687"/>
      <c r="AJ387" s="688"/>
    </row>
    <row r="388" spans="1:36" ht="13" thickBot="1" x14ac:dyDescent="0.3"/>
    <row r="389" spans="1:36" ht="13" x14ac:dyDescent="0.25">
      <c r="A389" s="1056" t="str">
        <f>ID!B82</f>
        <v>Thermohygrobarometer, Merek : EXTECH, Model : SD700, SN : A.100615</v>
      </c>
      <c r="B389" s="1056"/>
      <c r="C389" s="1056"/>
      <c r="D389" s="1056"/>
      <c r="E389" s="1056"/>
      <c r="F389" s="1056"/>
      <c r="G389" s="1056"/>
      <c r="H389" s="1056"/>
      <c r="I389" s="1056"/>
      <c r="J389" s="1056"/>
      <c r="K389" s="1056"/>
      <c r="L389" s="1056"/>
      <c r="N389" s="1057" t="s">
        <v>304</v>
      </c>
      <c r="O389" s="1058"/>
      <c r="P389" s="1059"/>
    </row>
    <row r="390" spans="1:36" ht="15.5" x14ac:dyDescent="0.25">
      <c r="A390" s="664" t="s">
        <v>357</v>
      </c>
      <c r="B390" s="620"/>
      <c r="C390" s="620"/>
      <c r="D390" s="664"/>
      <c r="E390" s="664"/>
      <c r="F390" s="664"/>
      <c r="G390" s="664"/>
      <c r="H390" s="664"/>
      <c r="I390" s="620">
        <f>D4</f>
        <v>2020</v>
      </c>
      <c r="J390" s="620">
        <f t="shared" ref="J390:K390" si="480">E4</f>
        <v>2017</v>
      </c>
      <c r="K390" s="620">
        <f t="shared" si="480"/>
        <v>2016</v>
      </c>
      <c r="L390" s="620">
        <v>1</v>
      </c>
      <c r="N390" s="689" t="str">
        <f>TEXT(U377,"0.0")</f>
        <v>22.6</v>
      </c>
      <c r="O390" s="690" t="str">
        <f>TEXT(W377,"0.0")</f>
        <v>0.1</v>
      </c>
      <c r="P390" s="538" t="s">
        <v>305</v>
      </c>
    </row>
    <row r="391" spans="1:36" ht="15.5" x14ac:dyDescent="0.25">
      <c r="A391" s="664" t="s">
        <v>358</v>
      </c>
      <c r="B391" s="620"/>
      <c r="C391" s="620"/>
      <c r="D391" s="664"/>
      <c r="E391" s="664"/>
      <c r="F391" s="664"/>
      <c r="G391" s="664"/>
      <c r="H391" s="664"/>
      <c r="I391" s="620">
        <f>D15</f>
        <v>2023</v>
      </c>
      <c r="J391" s="620">
        <f t="shared" ref="J391:K391" si="481">E15</f>
        <v>2021</v>
      </c>
      <c r="K391" s="620">
        <f t="shared" si="481"/>
        <v>2018</v>
      </c>
      <c r="L391" s="620">
        <v>2</v>
      </c>
      <c r="N391" s="689" t="str">
        <f>TEXT(U378,"0.0")</f>
        <v>51.6</v>
      </c>
      <c r="O391" s="690" t="str">
        <f>TEXT(W378,"0.0")</f>
        <v>1.5</v>
      </c>
      <c r="P391" s="538" t="s">
        <v>307</v>
      </c>
    </row>
    <row r="392" spans="1:36" ht="15.5" x14ac:dyDescent="0.25">
      <c r="A392" s="664" t="s">
        <v>359</v>
      </c>
      <c r="B392" s="620"/>
      <c r="C392" s="620"/>
      <c r="D392" s="664"/>
      <c r="E392" s="664"/>
      <c r="F392" s="664"/>
      <c r="G392" s="664"/>
      <c r="H392" s="664"/>
      <c r="I392" s="620">
        <f>D26</f>
        <v>2023</v>
      </c>
      <c r="J392" s="620">
        <f t="shared" ref="J392:K392" si="482">E26</f>
        <v>2021</v>
      </c>
      <c r="K392" s="620">
        <f t="shared" si="482"/>
        <v>2018</v>
      </c>
      <c r="L392" s="620">
        <v>3</v>
      </c>
      <c r="N392" s="689" t="str">
        <f>TEXT(U379,"0.0")</f>
        <v>1002.2</v>
      </c>
      <c r="O392" s="690" t="str">
        <f>TEXT(W379,"0.0")</f>
        <v>0.4</v>
      </c>
      <c r="P392" s="665" t="s">
        <v>360</v>
      </c>
    </row>
    <row r="393" spans="1:36" ht="16" thickBot="1" x14ac:dyDescent="0.35">
      <c r="A393" s="664" t="s">
        <v>361</v>
      </c>
      <c r="B393" s="620"/>
      <c r="C393" s="620"/>
      <c r="D393" s="664"/>
      <c r="E393" s="664"/>
      <c r="F393" s="664"/>
      <c r="G393" s="664"/>
      <c r="H393" s="664"/>
      <c r="I393" s="620">
        <f>D37</f>
        <v>2019</v>
      </c>
      <c r="J393" s="620">
        <f t="shared" ref="J393:K393" si="483">E37</f>
        <v>2017</v>
      </c>
      <c r="K393" s="620">
        <f t="shared" si="483"/>
        <v>2016</v>
      </c>
      <c r="L393" s="620">
        <v>4</v>
      </c>
      <c r="N393" s="541" t="s">
        <v>308</v>
      </c>
      <c r="O393" s="542" t="s">
        <v>309</v>
      </c>
      <c r="P393" s="543" t="s">
        <v>310</v>
      </c>
    </row>
    <row r="394" spans="1:36" ht="13" x14ac:dyDescent="0.25">
      <c r="A394" s="664" t="s">
        <v>362</v>
      </c>
      <c r="B394" s="620"/>
      <c r="C394" s="620"/>
      <c r="D394" s="664"/>
      <c r="E394" s="664"/>
      <c r="F394" s="664"/>
      <c r="G394" s="664"/>
      <c r="H394" s="664"/>
      <c r="I394" s="620">
        <f>D48</f>
        <v>2023</v>
      </c>
      <c r="J394" s="620">
        <f t="shared" ref="J394:K394" si="484">E48</f>
        <v>2020</v>
      </c>
      <c r="K394" s="620">
        <f t="shared" si="484"/>
        <v>2017</v>
      </c>
      <c r="L394" s="620">
        <v>5</v>
      </c>
    </row>
    <row r="395" spans="1:36" ht="13" x14ac:dyDescent="0.25">
      <c r="A395" s="664" t="s">
        <v>363</v>
      </c>
      <c r="B395" s="620"/>
      <c r="C395" s="620"/>
      <c r="D395" s="664"/>
      <c r="E395" s="664"/>
      <c r="F395" s="664"/>
      <c r="G395" s="664"/>
      <c r="H395" s="664"/>
      <c r="I395" s="620">
        <f>D59</f>
        <v>2019</v>
      </c>
      <c r="J395" s="620">
        <f t="shared" ref="J395:K395" si="485">E59</f>
        <v>2018</v>
      </c>
      <c r="K395" s="620">
        <f t="shared" si="485"/>
        <v>2016</v>
      </c>
      <c r="L395" s="620">
        <v>6</v>
      </c>
    </row>
    <row r="396" spans="1:36" ht="13" x14ac:dyDescent="0.25">
      <c r="A396" s="664" t="s">
        <v>364</v>
      </c>
      <c r="B396" s="620"/>
      <c r="C396" s="620"/>
      <c r="D396" s="664"/>
      <c r="E396" s="664"/>
      <c r="F396" s="664"/>
      <c r="G396" s="664"/>
      <c r="H396" s="664"/>
      <c r="I396" s="620">
        <f>D70</f>
        <v>2023</v>
      </c>
      <c r="J396" s="620">
        <f t="shared" ref="J396:K396" si="486">E70</f>
        <v>2021</v>
      </c>
      <c r="K396" s="620">
        <f t="shared" si="486"/>
        <v>2018</v>
      </c>
      <c r="L396" s="620">
        <v>7</v>
      </c>
    </row>
    <row r="397" spans="1:36" ht="13" x14ac:dyDescent="0.25">
      <c r="A397" s="664" t="s">
        <v>365</v>
      </c>
      <c r="B397" s="620"/>
      <c r="C397" s="620"/>
      <c r="D397" s="664"/>
      <c r="E397" s="664"/>
      <c r="F397" s="664"/>
      <c r="G397" s="664"/>
      <c r="H397" s="664"/>
      <c r="I397" s="620">
        <f>D81</f>
        <v>2021</v>
      </c>
      <c r="J397" s="620">
        <f t="shared" ref="J397:K397" si="487">E81</f>
        <v>2019</v>
      </c>
      <c r="K397" s="620">
        <f t="shared" si="487"/>
        <v>2016</v>
      </c>
      <c r="L397" s="620">
        <v>8</v>
      </c>
    </row>
    <row r="398" spans="1:36" ht="13" x14ac:dyDescent="0.25">
      <c r="A398" s="664" t="s">
        <v>366</v>
      </c>
      <c r="B398" s="620"/>
      <c r="C398" s="620"/>
      <c r="D398" s="664"/>
      <c r="E398" s="664"/>
      <c r="F398" s="664"/>
      <c r="G398" s="664"/>
      <c r="H398" s="664"/>
      <c r="I398" s="620">
        <f>D92</f>
        <v>2019</v>
      </c>
      <c r="J398" s="620" t="str">
        <f t="shared" ref="J398:K398" si="488">E92</f>
        <v>-</v>
      </c>
      <c r="K398" s="620">
        <f t="shared" si="488"/>
        <v>2016</v>
      </c>
      <c r="L398" s="620">
        <v>9</v>
      </c>
    </row>
    <row r="399" spans="1:36" ht="13" x14ac:dyDescent="0.25">
      <c r="A399" s="664" t="s">
        <v>367</v>
      </c>
      <c r="B399" s="620"/>
      <c r="C399" s="620"/>
      <c r="D399" s="664"/>
      <c r="E399" s="664"/>
      <c r="F399" s="664"/>
      <c r="G399" s="664"/>
      <c r="H399" s="664"/>
      <c r="I399" s="620">
        <f>D103</f>
        <v>2019</v>
      </c>
      <c r="J399" s="620">
        <f t="shared" ref="J399:K399" si="489">E103</f>
        <v>2016</v>
      </c>
      <c r="K399" s="620">
        <f t="shared" si="489"/>
        <v>2016</v>
      </c>
      <c r="L399" s="620">
        <v>10</v>
      </c>
    </row>
    <row r="400" spans="1:36" ht="13" x14ac:dyDescent="0.25">
      <c r="A400" s="664" t="s">
        <v>368</v>
      </c>
      <c r="B400" s="620"/>
      <c r="C400" s="620"/>
      <c r="D400" s="664"/>
      <c r="E400" s="664"/>
      <c r="F400" s="664"/>
      <c r="G400" s="664"/>
      <c r="H400" s="664"/>
      <c r="I400" s="620">
        <f>D114</f>
        <v>2020</v>
      </c>
      <c r="J400" s="620">
        <f t="shared" ref="J400:K400" si="490">E114</f>
        <v>2016</v>
      </c>
      <c r="K400" s="620">
        <f t="shared" si="490"/>
        <v>2016</v>
      </c>
      <c r="L400" s="620">
        <v>11</v>
      </c>
    </row>
    <row r="401" spans="1:12" ht="13" x14ac:dyDescent="0.25">
      <c r="A401" s="664" t="s">
        <v>369</v>
      </c>
      <c r="B401" s="620"/>
      <c r="C401" s="620"/>
      <c r="D401" s="664"/>
      <c r="E401" s="664"/>
      <c r="F401" s="664"/>
      <c r="G401" s="664"/>
      <c r="H401" s="664"/>
      <c r="I401" s="620">
        <f>D125</f>
        <v>2020</v>
      </c>
      <c r="J401" s="620" t="str">
        <f t="shared" ref="J401:K401" si="491">E125</f>
        <v>-</v>
      </c>
      <c r="K401" s="620">
        <f t="shared" si="491"/>
        <v>2016</v>
      </c>
      <c r="L401" s="620">
        <v>12</v>
      </c>
    </row>
    <row r="402" spans="1:12" ht="13" x14ac:dyDescent="0.25">
      <c r="A402" s="664" t="s">
        <v>370</v>
      </c>
      <c r="B402" s="620"/>
      <c r="C402" s="620"/>
      <c r="D402" s="664"/>
      <c r="E402" s="664"/>
      <c r="F402" s="664"/>
      <c r="G402" s="664"/>
      <c r="H402" s="664"/>
      <c r="I402" s="620">
        <f>D136</f>
        <v>2022</v>
      </c>
      <c r="J402" s="620">
        <f t="shared" ref="J402:K402" si="492">E136</f>
        <v>2020</v>
      </c>
      <c r="K402" s="620" t="str">
        <f t="shared" si="492"/>
        <v>-</v>
      </c>
      <c r="L402" s="620">
        <v>13</v>
      </c>
    </row>
    <row r="403" spans="1:12" ht="13" x14ac:dyDescent="0.25">
      <c r="A403" s="664" t="s">
        <v>371</v>
      </c>
      <c r="B403" s="620"/>
      <c r="C403" s="620"/>
      <c r="D403" s="664"/>
      <c r="E403" s="664"/>
      <c r="F403" s="664"/>
      <c r="G403" s="664"/>
      <c r="H403" s="664"/>
      <c r="I403" s="620">
        <f>D147</f>
        <v>2022</v>
      </c>
      <c r="J403" s="620">
        <f t="shared" ref="J403:K403" si="493">E147</f>
        <v>2020</v>
      </c>
      <c r="K403" s="620" t="str">
        <f t="shared" si="493"/>
        <v>-</v>
      </c>
      <c r="L403" s="620">
        <v>14</v>
      </c>
    </row>
    <row r="404" spans="1:12" ht="13" x14ac:dyDescent="0.25">
      <c r="A404" s="664" t="s">
        <v>372</v>
      </c>
      <c r="B404" s="620"/>
      <c r="C404" s="620"/>
      <c r="D404" s="664"/>
      <c r="E404" s="664"/>
      <c r="F404" s="664"/>
      <c r="G404" s="664"/>
      <c r="H404" s="664"/>
      <c r="I404" s="620">
        <f>D158</f>
        <v>2022</v>
      </c>
      <c r="J404" s="620">
        <f t="shared" ref="J404:K404" si="494">E158</f>
        <v>2020</v>
      </c>
      <c r="K404" s="620" t="str">
        <f t="shared" si="494"/>
        <v>-</v>
      </c>
      <c r="L404" s="620">
        <v>15</v>
      </c>
    </row>
    <row r="405" spans="1:12" ht="13" x14ac:dyDescent="0.25">
      <c r="A405" s="664" t="s">
        <v>373</v>
      </c>
      <c r="B405" s="620"/>
      <c r="C405" s="620"/>
      <c r="D405" s="664"/>
      <c r="E405" s="664"/>
      <c r="F405" s="664"/>
      <c r="G405" s="664"/>
      <c r="H405" s="664"/>
      <c r="I405" s="620">
        <f>D169</f>
        <v>2023</v>
      </c>
      <c r="J405" s="620">
        <f t="shared" ref="J405:K405" si="495">E169</f>
        <v>2020</v>
      </c>
      <c r="K405" s="620">
        <f t="shared" si="495"/>
        <v>2016</v>
      </c>
      <c r="L405" s="620">
        <v>16</v>
      </c>
    </row>
    <row r="406" spans="1:12" ht="13" x14ac:dyDescent="0.25">
      <c r="A406" s="664" t="s">
        <v>374</v>
      </c>
      <c r="B406" s="620"/>
      <c r="C406" s="620"/>
      <c r="D406" s="664"/>
      <c r="E406" s="664"/>
      <c r="F406" s="664"/>
      <c r="G406" s="664"/>
      <c r="H406" s="664"/>
      <c r="I406" s="620">
        <f>D180</f>
        <v>2023</v>
      </c>
      <c r="J406" s="620">
        <f t="shared" ref="J406:K406" si="496">E180</f>
        <v>2020</v>
      </c>
      <c r="K406" s="620">
        <f t="shared" si="496"/>
        <v>2016</v>
      </c>
      <c r="L406" s="620">
        <v>17</v>
      </c>
    </row>
    <row r="407" spans="1:12" ht="13" x14ac:dyDescent="0.25">
      <c r="A407" s="664" t="s">
        <v>375</v>
      </c>
      <c r="B407" s="620"/>
      <c r="C407" s="620"/>
      <c r="D407" s="664"/>
      <c r="E407" s="664"/>
      <c r="F407" s="664"/>
      <c r="G407" s="664"/>
      <c r="H407" s="664"/>
      <c r="I407" s="620">
        <f>D191</f>
        <v>2023</v>
      </c>
      <c r="J407" s="620">
        <f t="shared" ref="J407:K407" si="497">E191</f>
        <v>2020</v>
      </c>
      <c r="K407" s="620">
        <f t="shared" si="497"/>
        <v>2016</v>
      </c>
      <c r="L407" s="620">
        <v>18</v>
      </c>
    </row>
    <row r="408" spans="1:12" ht="13" x14ac:dyDescent="0.25">
      <c r="A408" s="664" t="s">
        <v>190</v>
      </c>
      <c r="B408" s="620"/>
      <c r="C408" s="620"/>
      <c r="D408" s="664"/>
      <c r="E408" s="664"/>
      <c r="F408" s="664"/>
      <c r="G408" s="664"/>
      <c r="H408" s="664"/>
      <c r="I408" s="620">
        <f>D202</f>
        <v>2021</v>
      </c>
      <c r="J408" s="620" t="str">
        <f t="shared" ref="J408:K408" si="498">E202</f>
        <v>-</v>
      </c>
      <c r="K408" s="620">
        <f t="shared" si="498"/>
        <v>2016</v>
      </c>
      <c r="L408" s="620">
        <v>19</v>
      </c>
    </row>
    <row r="409" spans="1:12" ht="13" x14ac:dyDescent="0.25">
      <c r="A409" s="666">
        <v>20</v>
      </c>
      <c r="B409" s="620"/>
      <c r="C409" s="620"/>
      <c r="D409" s="664"/>
      <c r="E409" s="664"/>
      <c r="F409" s="664"/>
      <c r="G409" s="664"/>
      <c r="H409" s="664"/>
      <c r="I409" s="620">
        <f>D213</f>
        <v>2017</v>
      </c>
      <c r="J409" s="620" t="str">
        <f t="shared" ref="J409:K409" si="499">E213</f>
        <v>-</v>
      </c>
      <c r="K409" s="620">
        <f t="shared" si="499"/>
        <v>2016</v>
      </c>
      <c r="L409" s="620">
        <v>20</v>
      </c>
    </row>
    <row r="410" spans="1:12" ht="13" x14ac:dyDescent="0.25">
      <c r="A410" s="1030">
        <f>VLOOKUP(A389,A390:L409,12,(FALSE))</f>
        <v>19</v>
      </c>
      <c r="B410" s="1030"/>
      <c r="C410" s="1030"/>
      <c r="D410" s="1030"/>
      <c r="E410" s="1030"/>
      <c r="F410" s="1030"/>
      <c r="G410" s="1030"/>
      <c r="H410" s="1030"/>
      <c r="I410" s="1030"/>
      <c r="J410" s="1030"/>
      <c r="K410" s="1030"/>
      <c r="L410" s="1030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K104"/>
  <sheetViews>
    <sheetView workbookViewId="0">
      <selection activeCell="C40" sqref="A40:XFD54"/>
    </sheetView>
  </sheetViews>
  <sheetFormatPr defaultRowHeight="12.5" x14ac:dyDescent="0.25"/>
  <cols>
    <col min="1" max="1" width="19.6328125" customWidth="1"/>
    <col min="2" max="2" width="10.81640625" customWidth="1"/>
    <col min="3" max="3" width="11" customWidth="1"/>
    <col min="5" max="5" width="13.26953125" customWidth="1"/>
    <col min="7" max="7" width="20.54296875" customWidth="1"/>
  </cols>
  <sheetData>
    <row r="1" spans="1:11" x14ac:dyDescent="0.25">
      <c r="A1" s="1065" t="s">
        <v>428</v>
      </c>
      <c r="B1" s="1065"/>
      <c r="C1" s="1065"/>
      <c r="D1" s="1065"/>
      <c r="E1" s="1065"/>
    </row>
    <row r="2" spans="1:11" x14ac:dyDescent="0.25">
      <c r="A2" s="1065"/>
      <c r="B2" s="1065"/>
      <c r="C2" s="1065"/>
      <c r="D2" s="1065"/>
      <c r="E2" s="1065"/>
    </row>
    <row r="3" spans="1:11" x14ac:dyDescent="0.25">
      <c r="A3" s="1065"/>
      <c r="B3" s="1065"/>
      <c r="C3" s="1065"/>
      <c r="D3" s="1065"/>
      <c r="E3" s="1065"/>
    </row>
    <row r="4" spans="1:11" ht="15.75" customHeight="1" x14ac:dyDescent="0.25">
      <c r="A4" s="165"/>
      <c r="B4" s="165"/>
      <c r="C4" s="165"/>
      <c r="D4" s="165"/>
      <c r="E4" s="165"/>
    </row>
    <row r="5" spans="1:11" ht="35.5" thickBot="1" x14ac:dyDescent="0.75">
      <c r="A5" s="219">
        <v>31488</v>
      </c>
      <c r="E5" s="291">
        <v>5.4999999999999997E-3</v>
      </c>
      <c r="G5" s="788">
        <v>31487</v>
      </c>
      <c r="K5" s="291">
        <v>5.4999999999999997E-3</v>
      </c>
    </row>
    <row r="6" spans="1:11" ht="15.75" customHeight="1" thickBot="1" x14ac:dyDescent="0.35">
      <c r="A6" s="174" t="s">
        <v>429</v>
      </c>
      <c r="B6" s="175"/>
      <c r="C6" s="176"/>
      <c r="D6" s="1069" t="s">
        <v>239</v>
      </c>
      <c r="E6" s="1066" t="s">
        <v>240</v>
      </c>
      <c r="G6" s="174" t="s">
        <v>429</v>
      </c>
      <c r="H6" s="175"/>
      <c r="I6" s="176"/>
      <c r="J6" s="1069" t="s">
        <v>239</v>
      </c>
      <c r="K6" s="1066" t="s">
        <v>240</v>
      </c>
    </row>
    <row r="7" spans="1:11" ht="13" x14ac:dyDescent="0.25">
      <c r="A7" s="104" t="s">
        <v>430</v>
      </c>
      <c r="B7" s="789" t="s">
        <v>244</v>
      </c>
      <c r="C7" s="173"/>
      <c r="D7" s="1070"/>
      <c r="E7" s="1067"/>
      <c r="G7" s="104" t="s">
        <v>430</v>
      </c>
      <c r="H7" s="260" t="s">
        <v>244</v>
      </c>
      <c r="I7" s="173"/>
      <c r="J7" s="1070"/>
      <c r="K7" s="1067"/>
    </row>
    <row r="8" spans="1:11" ht="14" x14ac:dyDescent="0.25">
      <c r="A8" s="162" t="s">
        <v>481</v>
      </c>
      <c r="B8" s="105">
        <v>2015</v>
      </c>
      <c r="C8" s="105">
        <v>2017</v>
      </c>
      <c r="D8" s="1071"/>
      <c r="E8" s="1068"/>
      <c r="G8" s="162" t="s">
        <v>481</v>
      </c>
      <c r="H8" s="105">
        <v>2015</v>
      </c>
      <c r="I8" s="105">
        <v>2017</v>
      </c>
      <c r="J8" s="1071"/>
      <c r="K8" s="1068"/>
    </row>
    <row r="9" spans="1:11" x14ac:dyDescent="0.25">
      <c r="A9" s="106">
        <v>0</v>
      </c>
      <c r="B9" s="58">
        <v>0</v>
      </c>
      <c r="C9" s="66">
        <v>0</v>
      </c>
      <c r="D9" s="60">
        <f>0.5*(MAX(B9:C9)-MIN(B9:C9))</f>
        <v>0</v>
      </c>
      <c r="E9" s="290">
        <f t="shared" ref="E9:E15" si="0">A9*$E$5</f>
        <v>0</v>
      </c>
      <c r="G9" s="106">
        <v>0</v>
      </c>
      <c r="H9" s="58">
        <v>0</v>
      </c>
      <c r="I9" s="66">
        <v>0</v>
      </c>
      <c r="J9" s="60">
        <f>0.5*(MAX(H9:I9)-MIN(H9:I9))</f>
        <v>0</v>
      </c>
      <c r="K9" s="220">
        <f t="shared" ref="K9:K14" si="1">G9*$K$5</f>
        <v>0</v>
      </c>
    </row>
    <row r="10" spans="1:11" x14ac:dyDescent="0.25">
      <c r="A10" s="106">
        <v>0.1</v>
      </c>
      <c r="B10" s="58">
        <v>0</v>
      </c>
      <c r="C10" s="66">
        <v>0</v>
      </c>
      <c r="D10" s="60">
        <f t="shared" ref="D10:D15" si="2">0.5*(MAX(B10:C10)-MIN(B10:C10))</f>
        <v>0</v>
      </c>
      <c r="E10" s="289">
        <f t="shared" si="0"/>
        <v>5.5000000000000003E-4</v>
      </c>
      <c r="G10" s="106">
        <v>0.1</v>
      </c>
      <c r="H10" s="58">
        <v>0</v>
      </c>
      <c r="I10" s="66">
        <v>0</v>
      </c>
      <c r="J10" s="60">
        <f t="shared" ref="J10:J14" si="3">0.5*(MAX(H10:I10)-MIN(H10:I10))</f>
        <v>0</v>
      </c>
      <c r="K10" s="78">
        <f t="shared" si="1"/>
        <v>5.5000000000000003E-4</v>
      </c>
    </row>
    <row r="11" spans="1:11" x14ac:dyDescent="0.25">
      <c r="A11" s="106">
        <v>2</v>
      </c>
      <c r="B11" s="58">
        <v>0</v>
      </c>
      <c r="C11" s="66">
        <v>0</v>
      </c>
      <c r="D11" s="60">
        <f t="shared" si="2"/>
        <v>0</v>
      </c>
      <c r="E11" s="290">
        <f t="shared" si="0"/>
        <v>1.0999999999999999E-2</v>
      </c>
      <c r="G11" s="106">
        <v>2</v>
      </c>
      <c r="H11" s="58">
        <v>0</v>
      </c>
      <c r="I11" s="66">
        <v>0</v>
      </c>
      <c r="J11" s="60">
        <f t="shared" si="3"/>
        <v>0</v>
      </c>
      <c r="K11" s="66">
        <f t="shared" si="1"/>
        <v>1.0999999999999999E-2</v>
      </c>
    </row>
    <row r="12" spans="1:11" x14ac:dyDescent="0.25">
      <c r="A12" s="177">
        <v>5</v>
      </c>
      <c r="B12" s="58">
        <v>0</v>
      </c>
      <c r="C12" s="261">
        <v>0</v>
      </c>
      <c r="D12" s="60">
        <f t="shared" si="2"/>
        <v>0</v>
      </c>
      <c r="E12" s="290">
        <f t="shared" si="0"/>
        <v>2.7499999999999997E-2</v>
      </c>
      <c r="G12" s="177">
        <v>5</v>
      </c>
      <c r="H12" s="58">
        <v>0</v>
      </c>
      <c r="I12" s="261">
        <v>0</v>
      </c>
      <c r="J12" s="60">
        <f t="shared" si="3"/>
        <v>0</v>
      </c>
      <c r="K12" s="66">
        <f t="shared" si="1"/>
        <v>2.7499999999999997E-2</v>
      </c>
    </row>
    <row r="13" spans="1:11" x14ac:dyDescent="0.25">
      <c r="A13" s="177">
        <v>50</v>
      </c>
      <c r="B13" s="58">
        <v>0</v>
      </c>
      <c r="C13" s="66">
        <v>0</v>
      </c>
      <c r="D13" s="60">
        <f t="shared" si="2"/>
        <v>0</v>
      </c>
      <c r="E13" s="290">
        <f t="shared" si="0"/>
        <v>0.27499999999999997</v>
      </c>
      <c r="G13" s="177">
        <v>50</v>
      </c>
      <c r="H13" s="58">
        <v>0</v>
      </c>
      <c r="I13" s="66">
        <v>0</v>
      </c>
      <c r="J13" s="60">
        <f t="shared" si="3"/>
        <v>0</v>
      </c>
      <c r="K13" s="66">
        <f t="shared" si="1"/>
        <v>0.27499999999999997</v>
      </c>
    </row>
    <row r="14" spans="1:11" ht="13" thickBot="1" x14ac:dyDescent="0.3">
      <c r="A14" s="177">
        <v>60</v>
      </c>
      <c r="B14" s="58">
        <v>0</v>
      </c>
      <c r="C14" s="66">
        <v>0</v>
      </c>
      <c r="D14" s="60">
        <f t="shared" si="2"/>
        <v>0</v>
      </c>
      <c r="E14" s="290">
        <f t="shared" si="0"/>
        <v>0.32999999999999996</v>
      </c>
      <c r="G14" s="177">
        <v>60</v>
      </c>
      <c r="H14" s="58">
        <v>0</v>
      </c>
      <c r="I14" s="66">
        <v>0</v>
      </c>
      <c r="J14" s="60">
        <f t="shared" si="3"/>
        <v>0</v>
      </c>
      <c r="K14" s="66">
        <f t="shared" si="1"/>
        <v>0.32999999999999996</v>
      </c>
    </row>
    <row r="15" spans="1:11" ht="13.5" thickBot="1" x14ac:dyDescent="0.3">
      <c r="A15" s="259">
        <v>70</v>
      </c>
      <c r="B15" s="58">
        <v>0</v>
      </c>
      <c r="C15" s="66">
        <v>0</v>
      </c>
      <c r="D15" s="60">
        <f t="shared" si="2"/>
        <v>0</v>
      </c>
      <c r="E15" s="66">
        <f t="shared" si="0"/>
        <v>0.38499999999999995</v>
      </c>
      <c r="G15" s="104" t="s">
        <v>430</v>
      </c>
      <c r="H15" s="789" t="s">
        <v>244</v>
      </c>
      <c r="I15" s="179"/>
      <c r="J15" s="166" t="s">
        <v>239</v>
      </c>
      <c r="K15" s="170"/>
    </row>
    <row r="16" spans="1:11" ht="13" x14ac:dyDescent="0.3">
      <c r="A16" s="262" t="s">
        <v>482</v>
      </c>
      <c r="B16" s="105">
        <v>2015</v>
      </c>
      <c r="C16" s="105">
        <v>2017</v>
      </c>
      <c r="D16" s="166" t="s">
        <v>239</v>
      </c>
      <c r="E16" s="170"/>
      <c r="G16" s="262" t="s">
        <v>482</v>
      </c>
      <c r="H16" s="105">
        <v>2015</v>
      </c>
      <c r="I16" s="105">
        <v>2017</v>
      </c>
      <c r="J16" s="180"/>
      <c r="K16" s="170"/>
    </row>
    <row r="17" spans="1:11" ht="13" x14ac:dyDescent="0.25">
      <c r="A17" s="106">
        <v>0</v>
      </c>
      <c r="B17" s="58">
        <v>0</v>
      </c>
      <c r="C17" s="66">
        <v>0</v>
      </c>
      <c r="D17" s="60">
        <f>0.5*(MAX(B17:C17)-MIN(B17:C17))</f>
        <v>0</v>
      </c>
      <c r="E17" s="170"/>
      <c r="G17" s="106">
        <v>0</v>
      </c>
      <c r="H17" s="58">
        <v>0</v>
      </c>
      <c r="I17" s="66">
        <v>0</v>
      </c>
      <c r="J17" s="60">
        <f>0.5*(MAX(H17:I17)-MIN(H17:I17))</f>
        <v>0</v>
      </c>
      <c r="K17" s="170"/>
    </row>
    <row r="18" spans="1:11" ht="13" x14ac:dyDescent="0.25">
      <c r="A18" s="106">
        <v>0.1</v>
      </c>
      <c r="B18" s="58">
        <v>0</v>
      </c>
      <c r="C18" s="66">
        <v>0</v>
      </c>
      <c r="D18" s="60">
        <f t="shared" ref="D18:D22" si="4">0.5*(MAX(B18:C18)-MIN(B18:C18))</f>
        <v>0</v>
      </c>
      <c r="E18" s="170"/>
      <c r="G18" s="106">
        <v>0.1</v>
      </c>
      <c r="H18" s="58">
        <v>0</v>
      </c>
      <c r="I18" s="66">
        <v>0</v>
      </c>
      <c r="J18" s="60">
        <f t="shared" ref="J18:J22" si="5">0.5*(MAX(H18:I18)-MIN(H18:I18))</f>
        <v>0</v>
      </c>
      <c r="K18" s="170"/>
    </row>
    <row r="19" spans="1:11" ht="13" x14ac:dyDescent="0.25">
      <c r="A19" s="106">
        <v>2</v>
      </c>
      <c r="B19" s="58">
        <v>0</v>
      </c>
      <c r="C19" s="66">
        <v>0</v>
      </c>
      <c r="D19" s="60">
        <f t="shared" si="4"/>
        <v>0</v>
      </c>
      <c r="E19" s="170"/>
      <c r="G19" s="106">
        <v>2</v>
      </c>
      <c r="H19" s="58">
        <v>0</v>
      </c>
      <c r="I19" s="66">
        <v>0</v>
      </c>
      <c r="J19" s="60">
        <f t="shared" si="5"/>
        <v>0</v>
      </c>
      <c r="K19" s="170"/>
    </row>
    <row r="20" spans="1:11" ht="13" x14ac:dyDescent="0.25">
      <c r="A20" s="177">
        <v>5</v>
      </c>
      <c r="B20" s="58">
        <v>0</v>
      </c>
      <c r="C20" s="261">
        <v>0</v>
      </c>
      <c r="D20" s="60">
        <f t="shared" si="4"/>
        <v>0</v>
      </c>
      <c r="E20" s="170"/>
      <c r="G20" s="177">
        <v>5</v>
      </c>
      <c r="H20" s="58">
        <v>0</v>
      </c>
      <c r="I20" s="261">
        <v>0</v>
      </c>
      <c r="J20" s="60">
        <f t="shared" si="5"/>
        <v>0</v>
      </c>
      <c r="K20" s="170"/>
    </row>
    <row r="21" spans="1:11" ht="13" x14ac:dyDescent="0.25">
      <c r="A21" s="177">
        <v>50</v>
      </c>
      <c r="B21" s="58">
        <v>0</v>
      </c>
      <c r="C21" s="66">
        <v>0</v>
      </c>
      <c r="D21" s="60">
        <f t="shared" si="4"/>
        <v>0</v>
      </c>
      <c r="E21" s="170"/>
      <c r="G21" s="177">
        <v>50</v>
      </c>
      <c r="H21" s="58">
        <v>0</v>
      </c>
      <c r="I21" s="66">
        <v>0</v>
      </c>
      <c r="J21" s="60">
        <f t="shared" si="5"/>
        <v>0</v>
      </c>
      <c r="K21" s="170"/>
    </row>
    <row r="22" spans="1:11" ht="13.5" thickBot="1" x14ac:dyDescent="0.3">
      <c r="A22" s="177">
        <v>60</v>
      </c>
      <c r="B22" s="58">
        <v>0</v>
      </c>
      <c r="C22" s="66">
        <v>-0.01</v>
      </c>
      <c r="D22" s="60">
        <f t="shared" si="4"/>
        <v>5.0000000000000001E-3</v>
      </c>
      <c r="E22" s="170"/>
      <c r="G22" s="177">
        <v>60</v>
      </c>
      <c r="H22" s="58">
        <v>0</v>
      </c>
      <c r="I22" s="66">
        <v>0</v>
      </c>
      <c r="J22" s="60">
        <f t="shared" si="5"/>
        <v>0</v>
      </c>
      <c r="K22" s="170"/>
    </row>
    <row r="23" spans="1:11" ht="13" x14ac:dyDescent="0.25">
      <c r="A23" s="104" t="s">
        <v>430</v>
      </c>
      <c r="B23" s="789" t="s">
        <v>244</v>
      </c>
      <c r="C23" s="179"/>
      <c r="D23" s="166" t="s">
        <v>239</v>
      </c>
      <c r="E23" s="170"/>
      <c r="G23" s="104" t="s">
        <v>430</v>
      </c>
      <c r="H23" s="789" t="s">
        <v>244</v>
      </c>
      <c r="I23" s="179"/>
      <c r="J23" s="166" t="s">
        <v>239</v>
      </c>
      <c r="K23" s="170"/>
    </row>
    <row r="24" spans="1:11" ht="13" x14ac:dyDescent="0.25">
      <c r="A24" s="263" t="s">
        <v>483</v>
      </c>
      <c r="B24" s="105">
        <v>2016</v>
      </c>
      <c r="C24" s="105">
        <v>2018</v>
      </c>
      <c r="D24" s="180"/>
      <c r="E24" s="170"/>
      <c r="G24" s="263" t="s">
        <v>483</v>
      </c>
      <c r="H24" s="105">
        <v>2016</v>
      </c>
      <c r="I24" s="105">
        <v>2018</v>
      </c>
      <c r="J24" s="180"/>
      <c r="K24" s="170"/>
    </row>
    <row r="25" spans="1:11" ht="13" x14ac:dyDescent="0.25">
      <c r="A25" s="106">
        <v>0</v>
      </c>
      <c r="B25" s="58">
        <v>0</v>
      </c>
      <c r="C25" s="66">
        <v>0</v>
      </c>
      <c r="D25" s="60">
        <f>0.5*(MAX(B25:C25)-MIN(B25:C25))</f>
        <v>0</v>
      </c>
      <c r="E25" s="170"/>
      <c r="G25" s="106">
        <v>0</v>
      </c>
      <c r="H25" s="58">
        <v>0</v>
      </c>
      <c r="I25" s="66">
        <v>0</v>
      </c>
      <c r="J25" s="60">
        <f>0.5*(MAX(H25:I25)-MIN(H25:I25))</f>
        <v>0</v>
      </c>
      <c r="K25" s="170"/>
    </row>
    <row r="26" spans="1:11" ht="13" x14ac:dyDescent="0.25">
      <c r="A26" s="106">
        <v>0.1</v>
      </c>
      <c r="B26" s="58">
        <v>0</v>
      </c>
      <c r="C26" s="66">
        <v>0</v>
      </c>
      <c r="D26" s="60">
        <f t="shared" ref="D26:D30" si="6">0.5*(MAX(B26:C26)-MIN(B26:C26))</f>
        <v>0</v>
      </c>
      <c r="E26" s="170"/>
      <c r="G26" s="106">
        <v>0.1</v>
      </c>
      <c r="H26" s="58">
        <v>0</v>
      </c>
      <c r="I26" s="66">
        <v>0</v>
      </c>
      <c r="J26" s="60">
        <f t="shared" ref="J26:J30" si="7">0.5*(MAX(H26:I26)-MIN(H26:I26))</f>
        <v>0</v>
      </c>
      <c r="K26" s="170"/>
    </row>
    <row r="27" spans="1:11" ht="13" x14ac:dyDescent="0.25">
      <c r="A27" s="106">
        <v>2</v>
      </c>
      <c r="B27" s="58">
        <v>0</v>
      </c>
      <c r="C27" s="66">
        <v>0</v>
      </c>
      <c r="D27" s="60">
        <f t="shared" si="6"/>
        <v>0</v>
      </c>
      <c r="E27" s="170"/>
      <c r="G27" s="106">
        <v>2</v>
      </c>
      <c r="H27" s="58">
        <v>0</v>
      </c>
      <c r="I27" s="66">
        <v>0</v>
      </c>
      <c r="J27" s="60">
        <f t="shared" si="7"/>
        <v>0</v>
      </c>
      <c r="K27" s="170"/>
    </row>
    <row r="28" spans="1:11" ht="13" x14ac:dyDescent="0.25">
      <c r="A28" s="177">
        <v>5</v>
      </c>
      <c r="B28" s="58">
        <v>0</v>
      </c>
      <c r="C28" s="261">
        <v>0</v>
      </c>
      <c r="D28" s="60">
        <f t="shared" si="6"/>
        <v>0</v>
      </c>
      <c r="E28" s="170"/>
      <c r="G28" s="177">
        <v>5</v>
      </c>
      <c r="H28" s="58">
        <v>0</v>
      </c>
      <c r="I28" s="261">
        <v>0</v>
      </c>
      <c r="J28" s="60">
        <f t="shared" si="7"/>
        <v>0</v>
      </c>
      <c r="K28" s="170"/>
    </row>
    <row r="29" spans="1:11" ht="13" x14ac:dyDescent="0.25">
      <c r="A29" s="177">
        <v>50</v>
      </c>
      <c r="B29" s="58">
        <v>0</v>
      </c>
      <c r="C29" s="66">
        <v>0</v>
      </c>
      <c r="D29" s="60">
        <f t="shared" si="6"/>
        <v>0</v>
      </c>
      <c r="E29" s="170"/>
      <c r="F29" s="65"/>
      <c r="G29" s="177">
        <v>50</v>
      </c>
      <c r="H29" s="58">
        <v>0</v>
      </c>
      <c r="I29" s="66">
        <v>0</v>
      </c>
      <c r="J29" s="60">
        <f t="shared" si="7"/>
        <v>0</v>
      </c>
      <c r="K29" s="170"/>
    </row>
    <row r="30" spans="1:11" ht="13" x14ac:dyDescent="0.25">
      <c r="A30" s="177">
        <v>60</v>
      </c>
      <c r="B30" s="266">
        <v>0</v>
      </c>
      <c r="C30" s="261">
        <v>0</v>
      </c>
      <c r="D30" s="178">
        <f t="shared" si="6"/>
        <v>0</v>
      </c>
      <c r="E30" s="170"/>
      <c r="F30" s="65"/>
      <c r="G30" s="177">
        <v>60</v>
      </c>
      <c r="H30" s="266">
        <v>0</v>
      </c>
      <c r="I30" s="261">
        <v>0</v>
      </c>
      <c r="J30" s="178">
        <f t="shared" si="7"/>
        <v>0</v>
      </c>
      <c r="K30" s="170"/>
    </row>
    <row r="31" spans="1:11" ht="26" x14ac:dyDescent="0.25">
      <c r="A31" s="267" t="s">
        <v>431</v>
      </c>
      <c r="B31" s="102" t="s">
        <v>244</v>
      </c>
      <c r="C31" s="268"/>
      <c r="D31" s="268" t="s">
        <v>239</v>
      </c>
      <c r="E31" s="269" t="s">
        <v>240</v>
      </c>
      <c r="G31" s="267" t="s">
        <v>431</v>
      </c>
      <c r="H31" s="102" t="s">
        <v>244</v>
      </c>
      <c r="I31" s="268"/>
      <c r="J31" s="268" t="s">
        <v>239</v>
      </c>
      <c r="K31" s="269" t="s">
        <v>240</v>
      </c>
    </row>
    <row r="32" spans="1:11" ht="13" x14ac:dyDescent="0.25">
      <c r="A32" s="267" t="s">
        <v>432</v>
      </c>
      <c r="B32" s="102">
        <v>2016</v>
      </c>
      <c r="C32" s="102">
        <v>2018</v>
      </c>
      <c r="D32" s="270"/>
      <c r="E32" s="269"/>
      <c r="G32" s="267" t="s">
        <v>432</v>
      </c>
      <c r="H32" s="102">
        <v>2016</v>
      </c>
      <c r="I32" s="102">
        <v>2018</v>
      </c>
      <c r="J32" s="270"/>
      <c r="K32" s="269"/>
    </row>
    <row r="33" spans="1:11" ht="13" x14ac:dyDescent="0.25">
      <c r="A33" s="267">
        <v>0</v>
      </c>
      <c r="B33" s="58">
        <v>0</v>
      </c>
      <c r="C33" s="58">
        <v>0</v>
      </c>
      <c r="D33" s="60">
        <f>0.5*(MAX(B33:C33)-MIN(B33:C33))</f>
        <v>0</v>
      </c>
      <c r="E33" s="271">
        <v>5.0000000000000002E-5</v>
      </c>
      <c r="G33" s="267">
        <v>0</v>
      </c>
      <c r="H33" s="58">
        <v>0</v>
      </c>
      <c r="I33" s="58">
        <v>0</v>
      </c>
      <c r="J33" s="60">
        <f>0.5*(MAX(H33:I33)-MIN(H33:I33))</f>
        <v>0</v>
      </c>
      <c r="K33" s="271">
        <v>5.0000000000000002E-5</v>
      </c>
    </row>
    <row r="34" spans="1:11" ht="13" x14ac:dyDescent="0.25">
      <c r="A34" s="267">
        <v>10</v>
      </c>
      <c r="B34" s="58">
        <v>0</v>
      </c>
      <c r="C34" s="58">
        <v>0</v>
      </c>
      <c r="D34" s="60">
        <f>0.5*(MAX(B34:C34)-MIN(B34:C34))</f>
        <v>0</v>
      </c>
      <c r="E34" s="271">
        <v>5.0000000000000002E-5</v>
      </c>
      <c r="G34" s="267">
        <v>10</v>
      </c>
      <c r="H34" s="58">
        <v>0</v>
      </c>
      <c r="I34" s="58">
        <v>0</v>
      </c>
      <c r="J34" s="60">
        <f>0.5*(MAX(H34:I34)-MIN(H34:I34))</f>
        <v>0</v>
      </c>
      <c r="K34" s="271">
        <v>5.0000000000000002E-5</v>
      </c>
    </row>
    <row r="35" spans="1:11" ht="13" x14ac:dyDescent="0.25">
      <c r="A35" s="267">
        <v>30</v>
      </c>
      <c r="B35" s="58">
        <v>0</v>
      </c>
      <c r="C35" s="58">
        <v>0</v>
      </c>
      <c r="D35" s="60">
        <f>0.5*(MAX(B35:C35)-MIN(B35:C35))</f>
        <v>0</v>
      </c>
      <c r="E35" s="271">
        <v>5.0000000000000002E-5</v>
      </c>
      <c r="G35" s="267">
        <v>30</v>
      </c>
      <c r="H35" s="58">
        <v>0</v>
      </c>
      <c r="I35" s="58">
        <v>0</v>
      </c>
      <c r="J35" s="60">
        <f>0.5*(MAX(H35:I35)-MIN(H35:I35))</f>
        <v>0</v>
      </c>
      <c r="K35" s="271">
        <v>5.0000000000000002E-5</v>
      </c>
    </row>
    <row r="36" spans="1:11" ht="13" x14ac:dyDescent="0.25">
      <c r="A36" s="267">
        <v>50</v>
      </c>
      <c r="B36" s="58">
        <v>0</v>
      </c>
      <c r="C36" s="58">
        <v>0</v>
      </c>
      <c r="D36" s="60">
        <f t="shared" ref="D36:D37" si="8">0.5*(MAX(B36:C36)-MIN(B36:C36))</f>
        <v>0</v>
      </c>
      <c r="E36" s="271">
        <v>5.0000000000000002E-5</v>
      </c>
      <c r="G36" s="267">
        <v>50</v>
      </c>
      <c r="H36" s="58">
        <v>0</v>
      </c>
      <c r="I36" s="58">
        <v>0</v>
      </c>
      <c r="J36" s="60">
        <f t="shared" ref="J36:J37" si="9">0.5*(MAX(H36:I36)-MIN(H36:I36))</f>
        <v>0</v>
      </c>
      <c r="K36" s="271">
        <v>5.0000000000000002E-5</v>
      </c>
    </row>
    <row r="37" spans="1:11" ht="13" x14ac:dyDescent="0.25">
      <c r="A37" s="267">
        <v>100</v>
      </c>
      <c r="B37" s="58">
        <v>0</v>
      </c>
      <c r="C37" s="58">
        <v>0</v>
      </c>
      <c r="D37" s="60">
        <f t="shared" si="8"/>
        <v>0</v>
      </c>
      <c r="E37" s="271">
        <v>5.0000000000000002E-5</v>
      </c>
      <c r="G37" s="267">
        <v>100</v>
      </c>
      <c r="H37" s="58">
        <v>0</v>
      </c>
      <c r="I37" s="58">
        <v>0</v>
      </c>
      <c r="J37" s="60">
        <f t="shared" si="9"/>
        <v>0</v>
      </c>
      <c r="K37" s="271">
        <v>5.0000000000000002E-5</v>
      </c>
    </row>
    <row r="38" spans="1:11" ht="13" x14ac:dyDescent="0.25">
      <c r="A38" s="267">
        <v>500</v>
      </c>
      <c r="B38" s="58">
        <v>0</v>
      </c>
      <c r="C38" s="58">
        <v>0</v>
      </c>
      <c r="D38" s="60">
        <f>0.5*(MAX(B38:C38)-MIN(B38:C38))</f>
        <v>0</v>
      </c>
      <c r="E38" s="271">
        <v>5.0000000000000002E-5</v>
      </c>
      <c r="G38" s="267">
        <v>500</v>
      </c>
      <c r="H38" s="58">
        <v>0</v>
      </c>
      <c r="I38" s="58">
        <v>0</v>
      </c>
      <c r="J38" s="60">
        <f>0.5*(MAX(H38:I38)-MIN(H38:I38))</f>
        <v>0</v>
      </c>
      <c r="K38" s="271">
        <v>5.0000000000000002E-5</v>
      </c>
    </row>
    <row r="39" spans="1:11" ht="13" x14ac:dyDescent="0.25">
      <c r="A39" s="264"/>
      <c r="B39" s="232"/>
      <c r="C39" s="232"/>
      <c r="D39" s="265"/>
      <c r="E39" s="196"/>
    </row>
    <row r="47" spans="1:11" ht="12.75" customHeight="1" x14ac:dyDescent="0.25"/>
    <row r="64" ht="12.75" customHeight="1" x14ac:dyDescent="0.25"/>
    <row r="76" ht="12.75" customHeight="1" x14ac:dyDescent="0.25"/>
    <row r="92" ht="12.75" customHeight="1" x14ac:dyDescent="0.25"/>
    <row r="104" ht="12.75" customHeight="1" x14ac:dyDescent="0.25"/>
  </sheetData>
  <mergeCells count="5">
    <mergeCell ref="A1:E3"/>
    <mergeCell ref="K6:K8"/>
    <mergeCell ref="J6:J8"/>
    <mergeCell ref="E6:E8"/>
    <mergeCell ref="D6:D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Riwayat Revisi</vt:lpstr>
      <vt:lpstr>LK</vt:lpstr>
      <vt:lpstr>ID</vt:lpstr>
      <vt:lpstr>PENYELIA</vt:lpstr>
      <vt:lpstr>LH</vt:lpstr>
      <vt:lpstr>SERTIFIKAT</vt:lpstr>
      <vt:lpstr>LAPORAN</vt:lpstr>
      <vt:lpstr>DB SUHU</vt:lpstr>
      <vt:lpstr>Input Data EEG Sim</vt:lpstr>
      <vt:lpstr>DB ESA</vt:lpstr>
      <vt:lpstr>DB EEG</vt:lpstr>
      <vt:lpstr>UB Amplitudo</vt:lpstr>
      <vt:lpstr>UB Hz</vt:lpstr>
      <vt:lpstr>Input Data Caliper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Amplitudo'!Print_Area</vt:lpstr>
      <vt:lpstr>'UB Hz'!Print_Area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MyBook PRO K5</cp:lastModifiedBy>
  <cp:revision/>
  <dcterms:created xsi:type="dcterms:W3CDTF">2004-07-20T06:55:09Z</dcterms:created>
  <dcterms:modified xsi:type="dcterms:W3CDTF">2023-09-29T03:39:16Z</dcterms:modified>
  <cp:category/>
  <cp:contentStatus/>
</cp:coreProperties>
</file>