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updateLinks="always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A7B45566-6FB2-468A-9364-AB56D3778BFA}" xr6:coauthVersionLast="45" xr6:coauthVersionMax="45" xr10:uidLastSave="{00000000-0000-0000-0000-000000000000}"/>
  <bookViews>
    <workbookView xWindow="5050" yWindow="2720" windowWidth="7510" windowHeight="7360" firstSheet="6" activeTab="6" xr2:uid="{00000000-000D-0000-FFFF-FFFF00000000}"/>
  </bookViews>
  <sheets>
    <sheet name="SERTIFIKAT" sheetId="34" r:id="rId1"/>
    <sheet name="Riwayat Revisi" sheetId="27" r:id="rId2"/>
    <sheet name="LK" sheetId="25" r:id="rId3"/>
    <sheet name="ID" sheetId="2" r:id="rId4"/>
    <sheet name="Kata-kata" sheetId="33" state="hidden" r:id="rId5"/>
    <sheet name="BUDGET" sheetId="3" r:id="rId6"/>
    <sheet name="Penyelia Kalibrasi" sheetId="4" r:id="rId7"/>
    <sheet name="LH" sheetId="15" r:id="rId8"/>
    <sheet name="Penyelia Pengujian" sheetId="30" r:id="rId9"/>
    <sheet name="LHP" sheetId="31" r:id="rId10"/>
    <sheet name="DB Thermohygro " sheetId="23" r:id="rId11"/>
    <sheet name="Input Data Sertifikat ESU" sheetId="6" r:id="rId12"/>
    <sheet name="DB Kelistrikan " sheetId="32" r:id="rId13"/>
  </sheets>
  <externalReferences>
    <externalReference r:id="rId14"/>
    <externalReference r:id="rId15"/>
  </externalReferences>
  <definedNames>
    <definedName name="_xlnm.Print_Area" localSheetId="5">BUDGET!$A$1:$W$92</definedName>
    <definedName name="_xlnm.Print_Area" localSheetId="12">'DB Kelistrikan '!$AA$184:$AN$219</definedName>
    <definedName name="_xlnm.Print_Area" localSheetId="10">'DB Thermohygro '!$A$1:$O$199,'DB Thermohygro '!$A$337:$O$351</definedName>
    <definedName name="_xlnm.Print_Area" localSheetId="3">ID!$A$1:$O$87</definedName>
    <definedName name="_xlnm.Print_Area" localSheetId="7">LH!$A$1:$L$100</definedName>
    <definedName name="_xlnm.Print_Area" localSheetId="9">LHP!$A$1:$L$87</definedName>
    <definedName name="_xlnm.Print_Area" localSheetId="2">LK!$A$1:$P$66</definedName>
    <definedName name="_xlnm.Print_Area" localSheetId="6">'Penyelia Kalibrasi'!$A$1:$L$125</definedName>
    <definedName name="_xlnm.Print_Area" localSheetId="8">'Penyelia Pengujian'!$A$1:$K$74</definedName>
    <definedName name="_xlnm.Print_Area" localSheetId="0">SERTIFIKAT!$A$1:$F$33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6" l="1"/>
  <c r="E31" i="6"/>
  <c r="E30" i="6"/>
  <c r="E29" i="6"/>
  <c r="E28" i="6"/>
  <c r="E27" i="6"/>
  <c r="E26" i="6"/>
  <c r="E25" i="6"/>
  <c r="L25" i="6"/>
  <c r="S25" i="6"/>
  <c r="S32" i="6"/>
  <c r="S31" i="6"/>
  <c r="S30" i="6"/>
  <c r="S29" i="6"/>
  <c r="S28" i="6"/>
  <c r="S27" i="6"/>
  <c r="S26" i="6"/>
  <c r="S65" i="6"/>
  <c r="S64" i="6"/>
  <c r="S63" i="6"/>
  <c r="S62" i="6"/>
  <c r="S61" i="6"/>
  <c r="S60" i="6"/>
  <c r="S59" i="6"/>
  <c r="S58" i="6"/>
  <c r="L65" i="6"/>
  <c r="L64" i="6"/>
  <c r="L63" i="6"/>
  <c r="L62" i="6"/>
  <c r="L61" i="6"/>
  <c r="L60" i="6"/>
  <c r="L59" i="6"/>
  <c r="L58" i="6"/>
  <c r="E65" i="6"/>
  <c r="E59" i="6"/>
  <c r="E60" i="6"/>
  <c r="E61" i="6"/>
  <c r="E62" i="6"/>
  <c r="E63" i="6"/>
  <c r="E64" i="6"/>
  <c r="E58" i="6"/>
  <c r="D17" i="3"/>
  <c r="D6" i="3"/>
  <c r="O45" i="2"/>
  <c r="O59" i="2"/>
  <c r="O58" i="2"/>
  <c r="O57" i="2"/>
  <c r="O56" i="2"/>
  <c r="O55" i="2"/>
  <c r="O48" i="2"/>
  <c r="O46" i="2"/>
  <c r="O47" i="2"/>
  <c r="O44" i="2"/>
  <c r="M45" i="2"/>
  <c r="M46" i="2"/>
  <c r="M47" i="2"/>
  <c r="M48" i="2"/>
  <c r="M49" i="2"/>
  <c r="M50" i="2"/>
  <c r="M51" i="2"/>
  <c r="M44" i="2"/>
  <c r="B50" i="34" l="1"/>
  <c r="A21" i="34" s="1"/>
  <c r="B45" i="34"/>
  <c r="B46" i="34" s="1"/>
  <c r="B43" i="34"/>
  <c r="E26" i="34"/>
  <c r="D23" i="34"/>
  <c r="D21" i="34"/>
  <c r="D20" i="34"/>
  <c r="A20" i="34"/>
  <c r="D19" i="34"/>
  <c r="B54" i="34" s="1"/>
  <c r="B55" i="34" s="1"/>
  <c r="D18" i="34"/>
  <c r="D17" i="34"/>
  <c r="A17" i="34"/>
  <c r="F11" i="34"/>
  <c r="D11" i="34"/>
  <c r="D10" i="34"/>
  <c r="D9" i="34"/>
  <c r="D8" i="34"/>
  <c r="D4" i="34"/>
  <c r="A3" i="34"/>
  <c r="F6" i="34" s="1"/>
  <c r="B59" i="34" l="1"/>
  <c r="B57" i="34" s="1"/>
  <c r="B58" i="34"/>
  <c r="A22" i="34"/>
  <c r="A19" i="34"/>
  <c r="J20" i="33" l="1"/>
  <c r="J19" i="33"/>
  <c r="A2" i="30" l="1"/>
  <c r="B70" i="30" s="1"/>
  <c r="L26" i="15" l="1"/>
  <c r="L27" i="15"/>
  <c r="L28" i="15"/>
  <c r="L25" i="15"/>
  <c r="C48" i="30"/>
  <c r="C44" i="15"/>
  <c r="E21" i="15"/>
  <c r="E21" i="31" s="1"/>
  <c r="E20" i="15"/>
  <c r="E20" i="31" s="1"/>
  <c r="E12" i="15"/>
  <c r="E12" i="31" s="1"/>
  <c r="E5" i="15"/>
  <c r="E5" i="31" s="1"/>
  <c r="E6" i="15"/>
  <c r="E6" i="31" s="1"/>
  <c r="E7" i="15"/>
  <c r="E7" i="31" s="1"/>
  <c r="E8" i="15"/>
  <c r="E8" i="31" s="1"/>
  <c r="E10" i="15"/>
  <c r="E10" i="31" s="1"/>
  <c r="E11" i="15"/>
  <c r="E11" i="31" s="1"/>
  <c r="E4" i="15"/>
  <c r="E4" i="31" s="1"/>
  <c r="R27" i="4" l="1"/>
  <c r="M142" i="32" s="1"/>
  <c r="M140" i="32"/>
  <c r="M141" i="32"/>
  <c r="H143" i="32" s="1"/>
  <c r="M139" i="32"/>
  <c r="H139" i="32" s="1"/>
  <c r="M138" i="32"/>
  <c r="M137" i="32"/>
  <c r="H135" i="32" s="1"/>
  <c r="N26" i="2"/>
  <c r="N20" i="4"/>
  <c r="N21" i="4"/>
  <c r="D4" i="4"/>
  <c r="D43" i="4"/>
  <c r="D44" i="4"/>
  <c r="D34" i="4"/>
  <c r="D35" i="4"/>
  <c r="B60" i="4"/>
  <c r="B61" i="15" s="1"/>
  <c r="I25" i="33"/>
  <c r="I24" i="33"/>
  <c r="I106" i="6"/>
  <c r="I107" i="6"/>
  <c r="I108" i="6"/>
  <c r="I109" i="6"/>
  <c r="I110" i="6"/>
  <c r="I111" i="6"/>
  <c r="J111" i="6"/>
  <c r="J110" i="6"/>
  <c r="J109" i="6"/>
  <c r="J108" i="6"/>
  <c r="J107" i="6"/>
  <c r="J106" i="6"/>
  <c r="A105" i="6"/>
  <c r="A111" i="6"/>
  <c r="A110" i="6"/>
  <c r="A109" i="6"/>
  <c r="A108" i="6"/>
  <c r="A107" i="6"/>
  <c r="A106" i="6"/>
  <c r="A165" i="32"/>
  <c r="A154" i="32" s="1"/>
  <c r="J177" i="32"/>
  <c r="I177" i="32"/>
  <c r="J176" i="32"/>
  <c r="I176" i="32"/>
  <c r="J175" i="32"/>
  <c r="I175" i="32"/>
  <c r="J174" i="32"/>
  <c r="I174" i="32"/>
  <c r="J173" i="32"/>
  <c r="I173" i="32"/>
  <c r="J172" i="32"/>
  <c r="I172" i="32"/>
  <c r="J171" i="32"/>
  <c r="I171" i="32"/>
  <c r="J170" i="32"/>
  <c r="I170" i="32"/>
  <c r="J169" i="32"/>
  <c r="I169" i="32"/>
  <c r="J168" i="32"/>
  <c r="I168" i="32"/>
  <c r="J167" i="32"/>
  <c r="I167" i="32"/>
  <c r="J166" i="32"/>
  <c r="I166" i="32"/>
  <c r="V124" i="32"/>
  <c r="N124" i="32"/>
  <c r="F124" i="32"/>
  <c r="V123" i="32"/>
  <c r="N123" i="32"/>
  <c r="F123" i="32"/>
  <c r="V122" i="32"/>
  <c r="N122" i="32"/>
  <c r="F122" i="32"/>
  <c r="V121" i="32"/>
  <c r="N121" i="32"/>
  <c r="F121" i="32"/>
  <c r="U120" i="32"/>
  <c r="T120" i="32"/>
  <c r="S120" i="32"/>
  <c r="M120" i="32"/>
  <c r="L120" i="32"/>
  <c r="K120" i="32"/>
  <c r="E120" i="32"/>
  <c r="D120" i="32"/>
  <c r="C120" i="32"/>
  <c r="R119" i="32"/>
  <c r="V118" i="32"/>
  <c r="N118" i="32"/>
  <c r="F118" i="32"/>
  <c r="V117" i="32"/>
  <c r="N117" i="32"/>
  <c r="F117" i="32"/>
  <c r="V116" i="32"/>
  <c r="N116" i="32"/>
  <c r="F116" i="32"/>
  <c r="V115" i="32"/>
  <c r="N115" i="32"/>
  <c r="F115" i="32"/>
  <c r="U114" i="32"/>
  <c r="T114" i="32"/>
  <c r="S114" i="32"/>
  <c r="M114" i="32"/>
  <c r="L114" i="32"/>
  <c r="K114" i="32"/>
  <c r="V112" i="32"/>
  <c r="N112" i="32"/>
  <c r="F112" i="32"/>
  <c r="V111" i="32"/>
  <c r="N111" i="32"/>
  <c r="F111" i="32"/>
  <c r="V110" i="32"/>
  <c r="N110" i="32"/>
  <c r="F110" i="32"/>
  <c r="V109" i="32"/>
  <c r="N109" i="32"/>
  <c r="F109" i="32"/>
  <c r="V108" i="32"/>
  <c r="N108" i="32"/>
  <c r="F108" i="32"/>
  <c r="V107" i="32"/>
  <c r="N107" i="32"/>
  <c r="F107" i="32"/>
  <c r="U106" i="32"/>
  <c r="T106" i="32"/>
  <c r="S106" i="32"/>
  <c r="M106" i="32"/>
  <c r="L106" i="32"/>
  <c r="K106" i="32"/>
  <c r="E106" i="32"/>
  <c r="D106" i="32"/>
  <c r="C106" i="32"/>
  <c r="V104" i="32"/>
  <c r="N104" i="32"/>
  <c r="F104" i="32"/>
  <c r="V103" i="32"/>
  <c r="N103" i="32"/>
  <c r="F103" i="32"/>
  <c r="V102" i="32"/>
  <c r="N102" i="32"/>
  <c r="F102" i="32"/>
  <c r="V101" i="32"/>
  <c r="N101" i="32"/>
  <c r="F101" i="32"/>
  <c r="V100" i="32"/>
  <c r="N100" i="32"/>
  <c r="F100" i="32"/>
  <c r="V99" i="32"/>
  <c r="N99" i="32"/>
  <c r="F99" i="32"/>
  <c r="V93" i="32"/>
  <c r="N93" i="32"/>
  <c r="F93" i="32"/>
  <c r="V92" i="32"/>
  <c r="N92" i="32"/>
  <c r="F92" i="32"/>
  <c r="V91" i="32"/>
  <c r="N91" i="32"/>
  <c r="F91" i="32"/>
  <c r="X90" i="32"/>
  <c r="W92" i="32" s="1"/>
  <c r="V90" i="32"/>
  <c r="P90" i="32"/>
  <c r="O93" i="32" s="1"/>
  <c r="N90" i="32"/>
  <c r="H90" i="32"/>
  <c r="G93" i="32" s="1"/>
  <c r="F90" i="32"/>
  <c r="U89" i="32"/>
  <c r="T89" i="32"/>
  <c r="S89" i="32"/>
  <c r="M89" i="32"/>
  <c r="L89" i="32"/>
  <c r="K89" i="32"/>
  <c r="E89" i="32"/>
  <c r="D89" i="32"/>
  <c r="C89" i="32"/>
  <c r="R88" i="32"/>
  <c r="V87" i="32"/>
  <c r="N87" i="32"/>
  <c r="F87" i="32"/>
  <c r="V86" i="32"/>
  <c r="N86" i="32"/>
  <c r="F86" i="32"/>
  <c r="V85" i="32"/>
  <c r="N85" i="32"/>
  <c r="F85" i="32"/>
  <c r="V84" i="32"/>
  <c r="N84" i="32"/>
  <c r="H84" i="32"/>
  <c r="G87" i="32" s="1"/>
  <c r="F84" i="32"/>
  <c r="U83" i="32"/>
  <c r="T83" i="32"/>
  <c r="S83" i="32"/>
  <c r="M83" i="32"/>
  <c r="L83" i="32"/>
  <c r="K83" i="32"/>
  <c r="R82" i="32"/>
  <c r="V81" i="32"/>
  <c r="N81" i="32"/>
  <c r="F81" i="32"/>
  <c r="V80" i="32"/>
  <c r="N80" i="32"/>
  <c r="F80" i="32"/>
  <c r="V79" i="32"/>
  <c r="N79" i="32"/>
  <c r="F79" i="32"/>
  <c r="V78" i="32"/>
  <c r="N78" i="32"/>
  <c r="F78" i="32"/>
  <c r="V77" i="32"/>
  <c r="N77" i="32"/>
  <c r="F77" i="32"/>
  <c r="X76" i="32"/>
  <c r="W81" i="32" s="1"/>
  <c r="V76" i="32"/>
  <c r="P76" i="32"/>
  <c r="O80" i="32" s="1"/>
  <c r="N76" i="32"/>
  <c r="H76" i="32"/>
  <c r="G81" i="32" s="1"/>
  <c r="F76" i="32"/>
  <c r="U75" i="32"/>
  <c r="T75" i="32"/>
  <c r="S75" i="32"/>
  <c r="M75" i="32"/>
  <c r="L75" i="32"/>
  <c r="K75" i="32"/>
  <c r="E75" i="32"/>
  <c r="D75" i="32"/>
  <c r="C75" i="32"/>
  <c r="V73" i="32"/>
  <c r="N73" i="32"/>
  <c r="F73" i="32"/>
  <c r="V72" i="32"/>
  <c r="N72" i="32"/>
  <c r="F72" i="32"/>
  <c r="V71" i="32"/>
  <c r="N71" i="32"/>
  <c r="F71" i="32"/>
  <c r="V70" i="32"/>
  <c r="N70" i="32"/>
  <c r="F70" i="32"/>
  <c r="V69" i="32"/>
  <c r="N69" i="32"/>
  <c r="F69" i="32"/>
  <c r="X68" i="32"/>
  <c r="W72" i="32" s="1"/>
  <c r="V68" i="32"/>
  <c r="P68" i="32"/>
  <c r="O73" i="32" s="1"/>
  <c r="N68" i="32"/>
  <c r="H68" i="32"/>
  <c r="G71" i="32" s="1"/>
  <c r="F68" i="32"/>
  <c r="V62" i="32"/>
  <c r="N62" i="32"/>
  <c r="F62" i="32"/>
  <c r="V61" i="32"/>
  <c r="N61" i="32"/>
  <c r="F61" i="32"/>
  <c r="V60" i="32"/>
  <c r="N60" i="32"/>
  <c r="F60" i="32"/>
  <c r="X59" i="32"/>
  <c r="W61" i="32" s="1"/>
  <c r="V59" i="32"/>
  <c r="P59" i="32"/>
  <c r="N59" i="32"/>
  <c r="H59" i="32"/>
  <c r="G61" i="32" s="1"/>
  <c r="F59" i="32"/>
  <c r="U58" i="32"/>
  <c r="T58" i="32"/>
  <c r="S58" i="32"/>
  <c r="M58" i="32"/>
  <c r="L58" i="32"/>
  <c r="K58" i="32"/>
  <c r="E58" i="32"/>
  <c r="D58" i="32"/>
  <c r="C58" i="32"/>
  <c r="B57" i="32"/>
  <c r="J57" i="32" s="1"/>
  <c r="R57" i="32" s="1"/>
  <c r="V56" i="32"/>
  <c r="N56" i="32"/>
  <c r="F56" i="32"/>
  <c r="V55" i="32"/>
  <c r="N55" i="32"/>
  <c r="F55" i="32"/>
  <c r="V54" i="32"/>
  <c r="N54" i="32"/>
  <c r="F54" i="32"/>
  <c r="X53" i="32"/>
  <c r="V53" i="32"/>
  <c r="P53" i="32"/>
  <c r="O56" i="32" s="1"/>
  <c r="N53" i="32"/>
  <c r="H53" i="32"/>
  <c r="G54" i="32" s="1"/>
  <c r="F53" i="32"/>
  <c r="U52" i="32"/>
  <c r="T52" i="32"/>
  <c r="S52" i="32"/>
  <c r="M52" i="32"/>
  <c r="L52" i="32"/>
  <c r="K52" i="32"/>
  <c r="E52" i="32"/>
  <c r="D52" i="32"/>
  <c r="C52" i="32"/>
  <c r="B51" i="32"/>
  <c r="J51" i="32" s="1"/>
  <c r="R51" i="32" s="1"/>
  <c r="V50" i="32"/>
  <c r="N50" i="32"/>
  <c r="F50" i="32"/>
  <c r="V49" i="32"/>
  <c r="N49" i="32"/>
  <c r="F49" i="32"/>
  <c r="V48" i="32"/>
  <c r="N48" i="32"/>
  <c r="F48" i="32"/>
  <c r="V47" i="32"/>
  <c r="N47" i="32"/>
  <c r="F47" i="32"/>
  <c r="V46" i="32"/>
  <c r="N46" i="32"/>
  <c r="F46" i="32"/>
  <c r="X45" i="32"/>
  <c r="W50" i="32" s="1"/>
  <c r="V45" i="32"/>
  <c r="P45" i="32"/>
  <c r="N45" i="32"/>
  <c r="H45" i="32"/>
  <c r="G50" i="32" s="1"/>
  <c r="F45" i="32"/>
  <c r="U44" i="32"/>
  <c r="T44" i="32"/>
  <c r="S44" i="32"/>
  <c r="M44" i="32"/>
  <c r="L44" i="32"/>
  <c r="K44" i="32"/>
  <c r="E44" i="32"/>
  <c r="D44" i="32"/>
  <c r="C44" i="32"/>
  <c r="V42" i="32"/>
  <c r="N42" i="32"/>
  <c r="F42" i="32"/>
  <c r="V41" i="32"/>
  <c r="N41" i="32"/>
  <c r="F41" i="32"/>
  <c r="V40" i="32"/>
  <c r="N40" i="32"/>
  <c r="F40" i="32"/>
  <c r="V39" i="32"/>
  <c r="N39" i="32"/>
  <c r="F39" i="32"/>
  <c r="V38" i="32"/>
  <c r="N38" i="32"/>
  <c r="F38" i="32"/>
  <c r="X37" i="32"/>
  <c r="W37" i="32" s="1"/>
  <c r="V37" i="32"/>
  <c r="P37" i="32"/>
  <c r="O37" i="32" s="1"/>
  <c r="N37" i="32"/>
  <c r="H37" i="32"/>
  <c r="G37" i="32" s="1"/>
  <c r="F37" i="32"/>
  <c r="V31" i="32"/>
  <c r="N31" i="32"/>
  <c r="F31" i="32"/>
  <c r="V30" i="32"/>
  <c r="N30" i="32"/>
  <c r="F30" i="32"/>
  <c r="V29" i="32"/>
  <c r="N29" i="32"/>
  <c r="F29" i="32"/>
  <c r="X28" i="32"/>
  <c r="W30" i="32" s="1"/>
  <c r="V28" i="32"/>
  <c r="P28" i="32"/>
  <c r="O31" i="32" s="1"/>
  <c r="N28" i="32"/>
  <c r="H28" i="32"/>
  <c r="G28" i="32" s="1"/>
  <c r="F28" i="32"/>
  <c r="U27" i="32"/>
  <c r="T27" i="32"/>
  <c r="S27" i="32"/>
  <c r="M27" i="32"/>
  <c r="L27" i="32"/>
  <c r="K27" i="32"/>
  <c r="E27" i="32"/>
  <c r="D27" i="32"/>
  <c r="C27" i="32"/>
  <c r="R26" i="32"/>
  <c r="J26" i="32"/>
  <c r="V25" i="32"/>
  <c r="N25" i="32"/>
  <c r="F25" i="32"/>
  <c r="V24" i="32"/>
  <c r="N24" i="32"/>
  <c r="F24" i="32"/>
  <c r="V23" i="32"/>
  <c r="N23" i="32"/>
  <c r="F23" i="32"/>
  <c r="X22" i="32"/>
  <c r="W25" i="32" s="1"/>
  <c r="V22" i="32"/>
  <c r="P22" i="32"/>
  <c r="O24" i="32" s="1"/>
  <c r="N22" i="32"/>
  <c r="F22" i="32"/>
  <c r="U21" i="32"/>
  <c r="T21" i="32"/>
  <c r="S21" i="32"/>
  <c r="M21" i="32"/>
  <c r="L21" i="32"/>
  <c r="K21" i="32"/>
  <c r="R20" i="32"/>
  <c r="J20" i="32"/>
  <c r="V19" i="32"/>
  <c r="N19" i="32"/>
  <c r="F19" i="32"/>
  <c r="V18" i="32"/>
  <c r="N18" i="32"/>
  <c r="F18" i="32"/>
  <c r="V17" i="32"/>
  <c r="N17" i="32"/>
  <c r="F17" i="32"/>
  <c r="V16" i="32"/>
  <c r="N16" i="32"/>
  <c r="F16" i="32"/>
  <c r="V15" i="32"/>
  <c r="N15" i="32"/>
  <c r="F15" i="32"/>
  <c r="X14" i="32"/>
  <c r="W18" i="32" s="1"/>
  <c r="V14" i="32"/>
  <c r="P14" i="32"/>
  <c r="O19" i="32" s="1"/>
  <c r="N14" i="32"/>
  <c r="H14" i="32"/>
  <c r="G14" i="32" s="1"/>
  <c r="F14" i="32"/>
  <c r="U13" i="32"/>
  <c r="T13" i="32"/>
  <c r="S13" i="32"/>
  <c r="M13" i="32"/>
  <c r="L13" i="32"/>
  <c r="K13" i="32"/>
  <c r="E13" i="32"/>
  <c r="D13" i="32"/>
  <c r="C13" i="32"/>
  <c r="V11" i="32"/>
  <c r="N11" i="32"/>
  <c r="F11" i="32"/>
  <c r="V10" i="32"/>
  <c r="N10" i="32"/>
  <c r="F10" i="32"/>
  <c r="V9" i="32"/>
  <c r="N9" i="32"/>
  <c r="F9" i="32"/>
  <c r="V8" i="32"/>
  <c r="N8" i="32"/>
  <c r="F8" i="32"/>
  <c r="V7" i="32"/>
  <c r="N7" i="32"/>
  <c r="F7" i="32"/>
  <c r="X6" i="32"/>
  <c r="W10" i="32" s="1"/>
  <c r="V6" i="32"/>
  <c r="P6" i="32"/>
  <c r="O11" i="32" s="1"/>
  <c r="N6" i="32"/>
  <c r="H6" i="32"/>
  <c r="G6" i="32" s="1"/>
  <c r="F6" i="32"/>
  <c r="G69" i="32" l="1"/>
  <c r="B15" i="33"/>
  <c r="B67" i="2"/>
  <c r="B60" i="30"/>
  <c r="H145" i="32"/>
  <c r="A112" i="6"/>
  <c r="E79" i="6"/>
  <c r="F79" i="6"/>
  <c r="A69" i="6"/>
  <c r="A88" i="6"/>
  <c r="A76" i="6"/>
  <c r="C97" i="6"/>
  <c r="D92" i="6"/>
  <c r="F87" i="6"/>
  <c r="D85" i="6"/>
  <c r="F83" i="6"/>
  <c r="B81" i="6"/>
  <c r="C75" i="6"/>
  <c r="B71" i="6"/>
  <c r="A72" i="6"/>
  <c r="A99" i="6"/>
  <c r="A95" i="6"/>
  <c r="A91" i="6"/>
  <c r="A87" i="6"/>
  <c r="A83" i="6"/>
  <c r="A79" i="6"/>
  <c r="A75" i="6"/>
  <c r="C72" i="6"/>
  <c r="D99" i="6"/>
  <c r="F97" i="6"/>
  <c r="B97" i="6"/>
  <c r="C96" i="6"/>
  <c r="D95" i="6"/>
  <c r="F93" i="6"/>
  <c r="B93" i="6"/>
  <c r="C92" i="6"/>
  <c r="B91" i="6"/>
  <c r="D88" i="6"/>
  <c r="F86" i="6"/>
  <c r="B86" i="6"/>
  <c r="C85" i="6"/>
  <c r="D84" i="6"/>
  <c r="F82" i="6"/>
  <c r="B82" i="6"/>
  <c r="B80" i="6"/>
  <c r="C78" i="6"/>
  <c r="D77" i="6"/>
  <c r="F75" i="6"/>
  <c r="B75" i="6"/>
  <c r="C74" i="6"/>
  <c r="F70" i="6"/>
  <c r="E89" i="6"/>
  <c r="A96" i="6"/>
  <c r="A80" i="6"/>
  <c r="F98" i="6"/>
  <c r="D96" i="6"/>
  <c r="B94" i="6"/>
  <c r="B87" i="6"/>
  <c r="C82" i="6"/>
  <c r="B76" i="6"/>
  <c r="A71" i="6"/>
  <c r="A98" i="6"/>
  <c r="A94" i="6"/>
  <c r="A90" i="6"/>
  <c r="A86" i="6"/>
  <c r="A82" i="6"/>
  <c r="A78" i="6"/>
  <c r="A74" i="6"/>
  <c r="B72" i="6"/>
  <c r="C99" i="6"/>
  <c r="D98" i="6"/>
  <c r="F96" i="6"/>
  <c r="B96" i="6"/>
  <c r="C95" i="6"/>
  <c r="D94" i="6"/>
  <c r="F92" i="6"/>
  <c r="B92" i="6"/>
  <c r="B90" i="6"/>
  <c r="C88" i="6"/>
  <c r="D87" i="6"/>
  <c r="F85" i="6"/>
  <c r="B85" i="6"/>
  <c r="C84" i="6"/>
  <c r="D83" i="6"/>
  <c r="D81" i="6"/>
  <c r="F78" i="6"/>
  <c r="B78" i="6"/>
  <c r="C77" i="6"/>
  <c r="D76" i="6"/>
  <c r="F74" i="6"/>
  <c r="B74" i="6"/>
  <c r="C73" i="6"/>
  <c r="E70" i="6"/>
  <c r="F89" i="6"/>
  <c r="A92" i="6"/>
  <c r="A84" i="6"/>
  <c r="D72" i="6"/>
  <c r="B98" i="6"/>
  <c r="F94" i="6"/>
  <c r="C93" i="6"/>
  <c r="C91" i="6"/>
  <c r="C86" i="6"/>
  <c r="B83" i="6"/>
  <c r="D78" i="6"/>
  <c r="F76" i="6"/>
  <c r="A70" i="6"/>
  <c r="A97" i="6"/>
  <c r="A93" i="6"/>
  <c r="A89" i="6"/>
  <c r="A85" i="6"/>
  <c r="A81" i="6"/>
  <c r="A77" i="6"/>
  <c r="A73" i="6"/>
  <c r="F99" i="6"/>
  <c r="B99" i="6"/>
  <c r="C98" i="6"/>
  <c r="D97" i="6"/>
  <c r="F95" i="6"/>
  <c r="B95" i="6"/>
  <c r="C94" i="6"/>
  <c r="D93" i="6"/>
  <c r="D91" i="6"/>
  <c r="F88" i="6"/>
  <c r="B88" i="6"/>
  <c r="C87" i="6"/>
  <c r="D86" i="6"/>
  <c r="F84" i="6"/>
  <c r="B84" i="6"/>
  <c r="C83" i="6"/>
  <c r="D82" i="6"/>
  <c r="C81" i="6"/>
  <c r="F77" i="6"/>
  <c r="B77" i="6"/>
  <c r="C76" i="6"/>
  <c r="F73" i="6"/>
  <c r="B73" i="6"/>
  <c r="E146" i="32"/>
  <c r="E152" i="32"/>
  <c r="F149" i="32"/>
  <c r="E141" i="32"/>
  <c r="E154" i="32"/>
  <c r="C157" i="32"/>
  <c r="E139" i="32"/>
  <c r="D136" i="32"/>
  <c r="A146" i="32"/>
  <c r="C161" i="32"/>
  <c r="W45" i="32"/>
  <c r="O90" i="32"/>
  <c r="O69" i="32"/>
  <c r="O70" i="32"/>
  <c r="O53" i="32"/>
  <c r="G73" i="32"/>
  <c r="O91" i="32"/>
  <c r="O92" i="32"/>
  <c r="O68" i="32"/>
  <c r="E155" i="32"/>
  <c r="G91" i="32"/>
  <c r="B140" i="32"/>
  <c r="D147" i="32"/>
  <c r="C158" i="32"/>
  <c r="O30" i="32"/>
  <c r="G59" i="32"/>
  <c r="W76" i="32"/>
  <c r="F144" i="32" s="1"/>
  <c r="B138" i="32"/>
  <c r="C144" i="32"/>
  <c r="A151" i="32"/>
  <c r="C160" i="32"/>
  <c r="W6" i="32"/>
  <c r="O8" i="32"/>
  <c r="O10" i="32"/>
  <c r="W14" i="32"/>
  <c r="O16" i="32"/>
  <c r="O18" i="32"/>
  <c r="O28" i="32"/>
  <c r="W29" i="32"/>
  <c r="W31" i="32"/>
  <c r="W46" i="32"/>
  <c r="W69" i="32"/>
  <c r="O71" i="32"/>
  <c r="W77" i="32"/>
  <c r="W91" i="32"/>
  <c r="A134" i="32"/>
  <c r="C143" i="32"/>
  <c r="D148" i="32"/>
  <c r="A152" i="32"/>
  <c r="A155" i="32"/>
  <c r="C159" i="32"/>
  <c r="W23" i="32"/>
  <c r="W7" i="32"/>
  <c r="W9" i="32"/>
  <c r="W11" i="32"/>
  <c r="W15" i="32"/>
  <c r="W17" i="32"/>
  <c r="W19" i="32"/>
  <c r="W59" i="32"/>
  <c r="O72" i="32"/>
  <c r="G84" i="32"/>
  <c r="B135" i="32"/>
  <c r="C137" i="32"/>
  <c r="A139" i="32"/>
  <c r="A141" i="32"/>
  <c r="C145" i="32"/>
  <c r="B149" i="32"/>
  <c r="C153" i="32"/>
  <c r="W22" i="32"/>
  <c r="O29" i="32"/>
  <c r="G45" i="32"/>
  <c r="O54" i="32"/>
  <c r="O55" i="32"/>
  <c r="W71" i="32"/>
  <c r="G76" i="32"/>
  <c r="W93" i="32"/>
  <c r="G9" i="32"/>
  <c r="G11" i="32"/>
  <c r="G17" i="32"/>
  <c r="G19" i="32"/>
  <c r="O25" i="32"/>
  <c r="G31" i="32"/>
  <c r="W24" i="32"/>
  <c r="W28" i="32"/>
  <c r="W42" i="32"/>
  <c r="F141" i="32" s="1"/>
  <c r="W40" i="32"/>
  <c r="F139" i="32" s="1"/>
  <c r="W38" i="32"/>
  <c r="F137" i="32" s="1"/>
  <c r="W41" i="32"/>
  <c r="F140" i="32" s="1"/>
  <c r="W39" i="32"/>
  <c r="G68" i="32"/>
  <c r="G72" i="32"/>
  <c r="G70" i="32"/>
  <c r="G90" i="32"/>
  <c r="G92" i="32"/>
  <c r="G15" i="32"/>
  <c r="W53" i="32"/>
  <c r="W56" i="32"/>
  <c r="W54" i="32"/>
  <c r="F153" i="32" s="1"/>
  <c r="O6" i="32"/>
  <c r="O7" i="32"/>
  <c r="G8" i="32"/>
  <c r="W8" i="32"/>
  <c r="O9" i="32"/>
  <c r="G10" i="32"/>
  <c r="O14" i="32"/>
  <c r="O15" i="32"/>
  <c r="G16" i="32"/>
  <c r="W16" i="32"/>
  <c r="O17" i="32"/>
  <c r="G18" i="32"/>
  <c r="O23" i="32"/>
  <c r="G30" i="32"/>
  <c r="O41" i="32"/>
  <c r="O39" i="32"/>
  <c r="O42" i="32"/>
  <c r="O40" i="32"/>
  <c r="O38" i="32"/>
  <c r="H141" i="32"/>
  <c r="G7" i="32"/>
  <c r="G29" i="32"/>
  <c r="H137" i="32"/>
  <c r="O22" i="32"/>
  <c r="G42" i="32"/>
  <c r="G40" i="32"/>
  <c r="G41" i="32"/>
  <c r="G39" i="32"/>
  <c r="G38" i="32"/>
  <c r="O49" i="32"/>
  <c r="O47" i="32"/>
  <c r="O50" i="32"/>
  <c r="O48" i="32"/>
  <c r="O46" i="32"/>
  <c r="O45" i="32"/>
  <c r="G56" i="32"/>
  <c r="G53" i="32"/>
  <c r="G55" i="32"/>
  <c r="W55" i="32"/>
  <c r="O62" i="32"/>
  <c r="O60" i="32"/>
  <c r="O59" i="32"/>
  <c r="O61" i="32"/>
  <c r="B161" i="32"/>
  <c r="F160" i="32"/>
  <c r="B160" i="32"/>
  <c r="B159" i="32"/>
  <c r="B158" i="32"/>
  <c r="B157" i="32"/>
  <c r="F156" i="32"/>
  <c r="D155" i="32"/>
  <c r="D154" i="32"/>
  <c r="B153" i="32"/>
  <c r="D152" i="32"/>
  <c r="J137" i="32" s="1"/>
  <c r="N138" i="32" s="1"/>
  <c r="D151" i="32"/>
  <c r="F150" i="32"/>
  <c r="E149" i="32"/>
  <c r="A149" i="32"/>
  <c r="C148" i="32"/>
  <c r="C147" i="32"/>
  <c r="D146" i="32"/>
  <c r="F145" i="32"/>
  <c r="B145" i="32"/>
  <c r="B144" i="32"/>
  <c r="B143" i="32"/>
  <c r="F142" i="32"/>
  <c r="D141" i="32"/>
  <c r="E140" i="32"/>
  <c r="A140" i="32"/>
  <c r="D139" i="32"/>
  <c r="E138" i="32"/>
  <c r="A138" i="32"/>
  <c r="B137" i="32"/>
  <c r="C136" i="32"/>
  <c r="A135" i="32"/>
  <c r="A133" i="32"/>
  <c r="A178" i="32"/>
  <c r="E161" i="32"/>
  <c r="A161" i="32"/>
  <c r="E160" i="32"/>
  <c r="A160" i="32"/>
  <c r="E159" i="32"/>
  <c r="A159" i="32"/>
  <c r="E158" i="32"/>
  <c r="A158" i="32"/>
  <c r="A157" i="32"/>
  <c r="E156" i="32"/>
  <c r="C155" i="32"/>
  <c r="C154" i="32"/>
  <c r="E153" i="32"/>
  <c r="A153" i="32"/>
  <c r="C152" i="32"/>
  <c r="C151" i="32"/>
  <c r="E150" i="32"/>
  <c r="D149" i="32"/>
  <c r="B148" i="32"/>
  <c r="B147" i="32"/>
  <c r="C146" i="32"/>
  <c r="E145" i="32"/>
  <c r="A145" i="32"/>
  <c r="E144" i="32"/>
  <c r="A144" i="32"/>
  <c r="A143" i="32"/>
  <c r="E142" i="32"/>
  <c r="C141" i="32"/>
  <c r="D140" i="32"/>
  <c r="C139" i="32"/>
  <c r="D138" i="32"/>
  <c r="E137" i="32"/>
  <c r="A137" i="32"/>
  <c r="B136" i="32"/>
  <c r="D135" i="32"/>
  <c r="F134" i="32"/>
  <c r="A132" i="32"/>
  <c r="D161" i="32"/>
  <c r="D160" i="32"/>
  <c r="D159" i="32"/>
  <c r="D158" i="32"/>
  <c r="J139" i="32" s="1"/>
  <c r="N139" i="32" s="1"/>
  <c r="D157" i="32"/>
  <c r="A156" i="32"/>
  <c r="F155" i="32"/>
  <c r="B155" i="32"/>
  <c r="F154" i="32"/>
  <c r="B154" i="32"/>
  <c r="D153" i="32"/>
  <c r="F152" i="32"/>
  <c r="B152" i="32"/>
  <c r="B151" i="32"/>
  <c r="A150" i="32"/>
  <c r="C149" i="32"/>
  <c r="E148" i="32"/>
  <c r="A148" i="32"/>
  <c r="E147" i="32"/>
  <c r="A147" i="32"/>
  <c r="B146" i="32"/>
  <c r="D145" i="32"/>
  <c r="D144" i="32"/>
  <c r="D143" i="32"/>
  <c r="A142" i="32"/>
  <c r="B141" i="32"/>
  <c r="C140" i="32"/>
  <c r="B139" i="32"/>
  <c r="C138" i="32"/>
  <c r="D137" i="32"/>
  <c r="E136" i="32"/>
  <c r="A136" i="32"/>
  <c r="C135" i="32"/>
  <c r="E134" i="32"/>
  <c r="G47" i="32"/>
  <c r="W47" i="32"/>
  <c r="G49" i="32"/>
  <c r="W49" i="32"/>
  <c r="F148" i="32" s="1"/>
  <c r="G60" i="32"/>
  <c r="W60" i="32"/>
  <c r="F159" i="32" s="1"/>
  <c r="G62" i="32"/>
  <c r="W62" i="32"/>
  <c r="F161" i="32" s="1"/>
  <c r="W68" i="32"/>
  <c r="F136" i="32" s="1"/>
  <c r="O76" i="32"/>
  <c r="O77" i="32"/>
  <c r="G78" i="32"/>
  <c r="W78" i="32"/>
  <c r="O79" i="32"/>
  <c r="G80" i="32"/>
  <c r="W80" i="32"/>
  <c r="O81" i="32"/>
  <c r="G85" i="32"/>
  <c r="G86" i="32"/>
  <c r="W90" i="32"/>
  <c r="W70" i="32"/>
  <c r="G46" i="32"/>
  <c r="G48" i="32"/>
  <c r="W48" i="32"/>
  <c r="F147" i="32" s="1"/>
  <c r="G77" i="32"/>
  <c r="O78" i="32"/>
  <c r="G79" i="32"/>
  <c r="W79" i="32"/>
  <c r="N165" i="32" l="1"/>
  <c r="N178" i="32" s="1"/>
  <c r="B64" i="2" s="1"/>
  <c r="J135" i="32"/>
  <c r="N137" i="32" s="1"/>
  <c r="O137" i="32" s="1"/>
  <c r="P137" i="32" s="1"/>
  <c r="E17" i="15" s="1"/>
  <c r="J145" i="32"/>
  <c r="N142" i="32" s="1"/>
  <c r="J143" i="32"/>
  <c r="N141" i="32" s="1"/>
  <c r="O141" i="32" s="1"/>
  <c r="H28" i="4" s="1"/>
  <c r="J141" i="32"/>
  <c r="N140" i="32" s="1"/>
  <c r="F158" i="32"/>
  <c r="F146" i="32"/>
  <c r="F138" i="32"/>
  <c r="O139" i="32"/>
  <c r="H26" i="4" s="1"/>
  <c r="M143" i="32" l="1"/>
  <c r="N143" i="32" s="1"/>
  <c r="P143" i="32" s="1"/>
  <c r="F17" i="15" s="1"/>
  <c r="O140" i="32"/>
  <c r="H27" i="4" s="1"/>
  <c r="O138" i="32"/>
  <c r="H25" i="4" s="1"/>
  <c r="O142" i="32"/>
  <c r="M144" i="32" l="1"/>
  <c r="D17" i="4" s="1"/>
  <c r="S27" i="4"/>
  <c r="N147" i="32"/>
  <c r="M147" i="32" l="1"/>
  <c r="O147" i="32" s="1"/>
  <c r="B73" i="31" l="1"/>
  <c r="G32" i="31"/>
  <c r="A9" i="31"/>
  <c r="A10" i="31"/>
  <c r="I78" i="31" l="1"/>
  <c r="I79" i="31"/>
  <c r="I84" i="31"/>
  <c r="I85" i="31"/>
  <c r="I77" i="31"/>
  <c r="F46" i="30"/>
  <c r="G46" i="31" s="1"/>
  <c r="A1" i="31"/>
  <c r="A69" i="30"/>
  <c r="A69" i="31" s="1"/>
  <c r="B69" i="30"/>
  <c r="B69" i="31" s="1"/>
  <c r="A73" i="30"/>
  <c r="A73" i="31" s="1"/>
  <c r="B51" i="30"/>
  <c r="B51" i="31" s="1"/>
  <c r="B52" i="30"/>
  <c r="B52" i="31" s="1"/>
  <c r="B53" i="30"/>
  <c r="B53" i="31" s="1"/>
  <c r="B54" i="30"/>
  <c r="B54" i="31" s="1"/>
  <c r="C54" i="30"/>
  <c r="G54" i="30"/>
  <c r="B55" i="30"/>
  <c r="B55" i="31" s="1"/>
  <c r="C55" i="30"/>
  <c r="G55" i="30"/>
  <c r="A57" i="30"/>
  <c r="A57" i="31" s="1"/>
  <c r="B57" i="30"/>
  <c r="B57" i="31" s="1"/>
  <c r="A65" i="30"/>
  <c r="A65" i="31" s="1"/>
  <c r="B65" i="30"/>
  <c r="B65" i="31" s="1"/>
  <c r="B32" i="30"/>
  <c r="B32" i="31" s="1"/>
  <c r="C32" i="30"/>
  <c r="C32" i="31" s="1"/>
  <c r="D32" i="30"/>
  <c r="E32" i="31" s="1"/>
  <c r="E32" i="30"/>
  <c r="F32" i="31" s="1"/>
  <c r="G32" i="30"/>
  <c r="H32" i="31" s="1"/>
  <c r="H32" i="30"/>
  <c r="I32" i="31" s="1"/>
  <c r="B34" i="30"/>
  <c r="B34" i="31" s="1"/>
  <c r="G34" i="30"/>
  <c r="H34" i="31" s="1"/>
  <c r="B35" i="30"/>
  <c r="B35" i="31" s="1"/>
  <c r="B36" i="30"/>
  <c r="B36" i="31" s="1"/>
  <c r="B37" i="30"/>
  <c r="B37" i="31" s="1"/>
  <c r="B38" i="30"/>
  <c r="B38" i="31" s="1"/>
  <c r="B39" i="30"/>
  <c r="B39" i="31" s="1"/>
  <c r="C39" i="30"/>
  <c r="B40" i="30"/>
  <c r="B40" i="31" s="1"/>
  <c r="C40" i="30"/>
  <c r="B41" i="30"/>
  <c r="B41" i="31" s="1"/>
  <c r="C41" i="30"/>
  <c r="B42" i="30"/>
  <c r="C42" i="30"/>
  <c r="D42" i="30"/>
  <c r="E42" i="30"/>
  <c r="F42" i="30"/>
  <c r="G42" i="30"/>
  <c r="H42" i="30"/>
  <c r="I42" i="30"/>
  <c r="B43" i="30"/>
  <c r="C43" i="30"/>
  <c r="D43" i="30"/>
  <c r="E43" i="30"/>
  <c r="F43" i="30"/>
  <c r="G43" i="30"/>
  <c r="H43" i="30"/>
  <c r="I43" i="30"/>
  <c r="B46" i="30"/>
  <c r="B46" i="31" s="1"/>
  <c r="C46" i="30"/>
  <c r="C46" i="31" s="1"/>
  <c r="D46" i="30"/>
  <c r="E46" i="31" s="1"/>
  <c r="E46" i="30"/>
  <c r="F46" i="31" s="1"/>
  <c r="H46" i="30"/>
  <c r="I46" i="31" s="1"/>
  <c r="B48" i="30"/>
  <c r="B48" i="31" s="1"/>
  <c r="C48" i="31"/>
  <c r="G48" i="30"/>
  <c r="H48" i="31" s="1"/>
  <c r="B49" i="30"/>
  <c r="B49" i="31" s="1"/>
  <c r="B50" i="30"/>
  <c r="B50" i="31" s="1"/>
  <c r="A11" i="30"/>
  <c r="A11" i="31" s="1"/>
  <c r="A12" i="30"/>
  <c r="A12" i="31" s="1"/>
  <c r="A14" i="30"/>
  <c r="A14" i="31" s="1"/>
  <c r="B14" i="30"/>
  <c r="B14" i="31" s="1"/>
  <c r="B15" i="30"/>
  <c r="B15" i="31" s="1"/>
  <c r="B16" i="30"/>
  <c r="B16" i="31" s="1"/>
  <c r="B17" i="30"/>
  <c r="B17" i="31" s="1"/>
  <c r="A19" i="30"/>
  <c r="A19" i="31" s="1"/>
  <c r="B19" i="30"/>
  <c r="B19" i="31" s="1"/>
  <c r="B20" i="30"/>
  <c r="B20" i="31" s="1"/>
  <c r="B21" i="30"/>
  <c r="B21" i="31" s="1"/>
  <c r="A23" i="30"/>
  <c r="A23" i="31" s="1"/>
  <c r="B23" i="30"/>
  <c r="B23" i="31" s="1"/>
  <c r="B24" i="30"/>
  <c r="B24" i="31" s="1"/>
  <c r="C24" i="30"/>
  <c r="C24" i="31" s="1"/>
  <c r="H24" i="30"/>
  <c r="I24" i="31" s="1"/>
  <c r="J24" i="30"/>
  <c r="K24" i="31" s="1"/>
  <c r="B25" i="30"/>
  <c r="B25" i="31" s="1"/>
  <c r="C25" i="30"/>
  <c r="C25" i="31" s="1"/>
  <c r="K25" i="30"/>
  <c r="L25" i="31" s="1"/>
  <c r="B26" i="30"/>
  <c r="B26" i="31" s="1"/>
  <c r="K26" i="30"/>
  <c r="L26" i="31" s="1"/>
  <c r="B27" i="30"/>
  <c r="B27" i="31" s="1"/>
  <c r="K27" i="30"/>
  <c r="L27" i="31" s="1"/>
  <c r="B28" i="30"/>
  <c r="B28" i="31" s="1"/>
  <c r="C28" i="30"/>
  <c r="C28" i="31" s="1"/>
  <c r="K28" i="30"/>
  <c r="L28" i="31" s="1"/>
  <c r="A30" i="30"/>
  <c r="A30" i="31" s="1"/>
  <c r="B69" i="2" l="1"/>
  <c r="B56" i="4" s="1"/>
  <c r="B62" i="30" s="1"/>
  <c r="E9" i="15"/>
  <c r="E9" i="31" s="1"/>
  <c r="B57" i="15" l="1"/>
  <c r="B62" i="31"/>
  <c r="B68" i="2"/>
  <c r="B55" i="4" s="1"/>
  <c r="B61" i="30" s="1"/>
  <c r="B56" i="15" l="1"/>
  <c r="B61" i="31"/>
  <c r="B66" i="30"/>
  <c r="B66" i="31" s="1"/>
  <c r="B61" i="4"/>
  <c r="B67" i="30" s="1"/>
  <c r="B67" i="31" s="1"/>
  <c r="O76" i="6" l="1"/>
  <c r="Q76" i="6" s="1"/>
  <c r="N44" i="2" s="1"/>
  <c r="M55" i="2"/>
  <c r="O86" i="6" s="1"/>
  <c r="M59" i="2"/>
  <c r="O90" i="6" s="1"/>
  <c r="M58" i="2"/>
  <c r="O89" i="6" s="1"/>
  <c r="S89" i="6" l="1"/>
  <c r="W89" i="6"/>
  <c r="Y89" i="6" s="1"/>
  <c r="Q89" i="6"/>
  <c r="W90" i="6"/>
  <c r="Y90" i="6" s="1"/>
  <c r="S90" i="6"/>
  <c r="Q90" i="6"/>
  <c r="W76" i="6"/>
  <c r="Y76" i="6" s="1"/>
  <c r="D7" i="3" s="1"/>
  <c r="S76" i="6"/>
  <c r="S86" i="6"/>
  <c r="W86" i="6"/>
  <c r="Y86" i="6" s="1"/>
  <c r="Q86" i="6"/>
  <c r="H25" i="30"/>
  <c r="I25" i="31" s="1"/>
  <c r="I26" i="4" l="1"/>
  <c r="H26" i="30"/>
  <c r="I26" i="31" s="1"/>
  <c r="D17" i="30"/>
  <c r="I26" i="30" l="1"/>
  <c r="J26" i="31" s="1"/>
  <c r="J26" i="15"/>
  <c r="I28" i="4"/>
  <c r="H28" i="30"/>
  <c r="I28" i="31" s="1"/>
  <c r="I27" i="4"/>
  <c r="H27" i="30"/>
  <c r="I27" i="31" s="1"/>
  <c r="I28" i="30" l="1"/>
  <c r="J28" i="31" s="1"/>
  <c r="J28" i="15"/>
  <c r="I27" i="30"/>
  <c r="J27" i="31" s="1"/>
  <c r="J27" i="15"/>
  <c r="B65" i="2"/>
  <c r="B66" i="2"/>
  <c r="D8" i="4" l="1"/>
  <c r="A8" i="4"/>
  <c r="A8" i="15" l="1"/>
  <c r="A8" i="30"/>
  <c r="A8" i="31" s="1"/>
  <c r="D8" i="30"/>
  <c r="E92" i="6"/>
  <c r="E54" i="6"/>
  <c r="E53" i="6"/>
  <c r="E52" i="6"/>
  <c r="E51" i="6"/>
  <c r="E50" i="6"/>
  <c r="E49" i="6"/>
  <c r="E48" i="6"/>
  <c r="E44" i="6"/>
  <c r="E43" i="6"/>
  <c r="E42" i="6"/>
  <c r="E41" i="6"/>
  <c r="E40" i="6"/>
  <c r="E39" i="6"/>
  <c r="D6" i="4" l="1"/>
  <c r="D6" i="30" s="1"/>
  <c r="A356" i="23" l="1"/>
  <c r="A375" i="23" s="1"/>
  <c r="A337" i="23" s="1"/>
  <c r="N342" i="23"/>
  <c r="N341" i="23"/>
  <c r="L342" i="23"/>
  <c r="F350" i="23" s="1"/>
  <c r="L341" i="23"/>
  <c r="A350" i="23" s="1"/>
  <c r="J374" i="23"/>
  <c r="I374" i="23"/>
  <c r="J373" i="23"/>
  <c r="I373" i="23"/>
  <c r="J372" i="23"/>
  <c r="I372" i="23"/>
  <c r="J371" i="23"/>
  <c r="I371" i="23"/>
  <c r="J370" i="23"/>
  <c r="I370" i="23"/>
  <c r="J369" i="23"/>
  <c r="I369" i="23"/>
  <c r="J368" i="23"/>
  <c r="I368" i="23"/>
  <c r="J367" i="23"/>
  <c r="I367" i="23"/>
  <c r="J366" i="23"/>
  <c r="I366" i="23"/>
  <c r="J365" i="23"/>
  <c r="I365" i="23"/>
  <c r="J364" i="23"/>
  <c r="I364" i="23"/>
  <c r="J363" i="23"/>
  <c r="I363" i="23"/>
  <c r="J362" i="23"/>
  <c r="I362" i="23"/>
  <c r="J361" i="23"/>
  <c r="I361" i="23"/>
  <c r="J360" i="23"/>
  <c r="I360" i="23"/>
  <c r="J359" i="23"/>
  <c r="I359" i="23"/>
  <c r="J358" i="23"/>
  <c r="I358" i="23"/>
  <c r="J357" i="23"/>
  <c r="I357" i="23"/>
  <c r="L335" i="23"/>
  <c r="K335" i="23"/>
  <c r="J335" i="23"/>
  <c r="E335" i="23"/>
  <c r="D335" i="23"/>
  <c r="C335" i="23"/>
  <c r="L334" i="23"/>
  <c r="K334" i="23"/>
  <c r="J334" i="23"/>
  <c r="E334" i="23"/>
  <c r="D334" i="23"/>
  <c r="C334" i="23"/>
  <c r="L333" i="23"/>
  <c r="K333" i="23"/>
  <c r="J333" i="23"/>
  <c r="E333" i="23"/>
  <c r="D333" i="23"/>
  <c r="C333" i="23"/>
  <c r="L332" i="23"/>
  <c r="K332" i="23"/>
  <c r="J332" i="23"/>
  <c r="E332" i="23"/>
  <c r="D332" i="23"/>
  <c r="C332" i="23"/>
  <c r="L331" i="23"/>
  <c r="K331" i="23"/>
  <c r="J331" i="23"/>
  <c r="E331" i="23"/>
  <c r="D331" i="23"/>
  <c r="C331" i="23"/>
  <c r="L330" i="23"/>
  <c r="K330" i="23"/>
  <c r="J330" i="23"/>
  <c r="E330" i="23"/>
  <c r="D330" i="23"/>
  <c r="C330" i="23"/>
  <c r="L329" i="23"/>
  <c r="K329" i="23"/>
  <c r="J329" i="23"/>
  <c r="E329" i="23"/>
  <c r="D329" i="23"/>
  <c r="C329" i="23"/>
  <c r="L328" i="23"/>
  <c r="K328" i="23"/>
  <c r="J328" i="23"/>
  <c r="E328" i="23"/>
  <c r="D328" i="23"/>
  <c r="C328" i="23"/>
  <c r="L327" i="23"/>
  <c r="K327" i="23"/>
  <c r="J327" i="23"/>
  <c r="E327" i="23"/>
  <c r="D327" i="23"/>
  <c r="C327" i="23"/>
  <c r="L326" i="23"/>
  <c r="K326" i="23"/>
  <c r="J326" i="23"/>
  <c r="E326" i="23"/>
  <c r="D326" i="23"/>
  <c r="C326" i="23"/>
  <c r="L325" i="23"/>
  <c r="K325" i="23"/>
  <c r="J325" i="23"/>
  <c r="E325" i="23"/>
  <c r="D325" i="23"/>
  <c r="C325" i="23"/>
  <c r="L324" i="23"/>
  <c r="K324" i="23"/>
  <c r="J324" i="23"/>
  <c r="E324" i="23"/>
  <c r="D324" i="23"/>
  <c r="C324" i="23"/>
  <c r="L323" i="23"/>
  <c r="K323" i="23"/>
  <c r="J323" i="23"/>
  <c r="E323" i="23"/>
  <c r="D323" i="23"/>
  <c r="C323" i="23"/>
  <c r="L322" i="23"/>
  <c r="K322" i="23"/>
  <c r="J322" i="23"/>
  <c r="E322" i="23"/>
  <c r="D322" i="23"/>
  <c r="C322" i="23"/>
  <c r="L321" i="23"/>
  <c r="K321" i="23"/>
  <c r="J321" i="23"/>
  <c r="E321" i="23"/>
  <c r="D321" i="23"/>
  <c r="C321" i="23"/>
  <c r="L320" i="23"/>
  <c r="K320" i="23"/>
  <c r="J320" i="23"/>
  <c r="E320" i="23"/>
  <c r="D320" i="23"/>
  <c r="C320" i="23"/>
  <c r="L319" i="23"/>
  <c r="K319" i="23"/>
  <c r="J319" i="23"/>
  <c r="E319" i="23"/>
  <c r="D319" i="23"/>
  <c r="C319" i="23"/>
  <c r="L318" i="23"/>
  <c r="K318" i="23"/>
  <c r="J318" i="23"/>
  <c r="E318" i="23"/>
  <c r="D318" i="23"/>
  <c r="C318" i="23"/>
  <c r="L316" i="23"/>
  <c r="K316" i="23"/>
  <c r="J316" i="23"/>
  <c r="E316" i="23"/>
  <c r="D316" i="23"/>
  <c r="C316" i="23"/>
  <c r="L315" i="23"/>
  <c r="K315" i="23"/>
  <c r="J315" i="23"/>
  <c r="E315" i="23"/>
  <c r="D315" i="23"/>
  <c r="C315" i="23"/>
  <c r="L314" i="23"/>
  <c r="K314" i="23"/>
  <c r="J314" i="23"/>
  <c r="E314" i="23"/>
  <c r="D314" i="23"/>
  <c r="C314" i="23"/>
  <c r="L313" i="23"/>
  <c r="K313" i="23"/>
  <c r="J313" i="23"/>
  <c r="E313" i="23"/>
  <c r="D313" i="23"/>
  <c r="C313" i="23"/>
  <c r="L312" i="23"/>
  <c r="K312" i="23"/>
  <c r="J312" i="23"/>
  <c r="E312" i="23"/>
  <c r="D312" i="23"/>
  <c r="C312" i="23"/>
  <c r="L311" i="23"/>
  <c r="K311" i="23"/>
  <c r="J311" i="23"/>
  <c r="E311" i="23"/>
  <c r="D311" i="23"/>
  <c r="C311" i="23"/>
  <c r="L310" i="23"/>
  <c r="K310" i="23"/>
  <c r="J310" i="23"/>
  <c r="E310" i="23"/>
  <c r="D310" i="23"/>
  <c r="C310" i="23"/>
  <c r="L309" i="23"/>
  <c r="K309" i="23"/>
  <c r="J309" i="23"/>
  <c r="E309" i="23"/>
  <c r="D309" i="23"/>
  <c r="C309" i="23"/>
  <c r="L308" i="23"/>
  <c r="K308" i="23"/>
  <c r="J308" i="23"/>
  <c r="E308" i="23"/>
  <c r="D308" i="23"/>
  <c r="C308" i="23"/>
  <c r="L307" i="23"/>
  <c r="K307" i="23"/>
  <c r="J307" i="23"/>
  <c r="E307" i="23"/>
  <c r="D307" i="23"/>
  <c r="C307" i="23"/>
  <c r="L306" i="23"/>
  <c r="K306" i="23"/>
  <c r="J306" i="23"/>
  <c r="E306" i="23"/>
  <c r="D306" i="23"/>
  <c r="C306" i="23"/>
  <c r="L305" i="23"/>
  <c r="K305" i="23"/>
  <c r="J305" i="23"/>
  <c r="E305" i="23"/>
  <c r="D305" i="23"/>
  <c r="C305" i="23"/>
  <c r="L304" i="23"/>
  <c r="K304" i="23"/>
  <c r="J304" i="23"/>
  <c r="E304" i="23"/>
  <c r="D304" i="23"/>
  <c r="C304" i="23"/>
  <c r="L303" i="23"/>
  <c r="K303" i="23"/>
  <c r="J303" i="23"/>
  <c r="E303" i="23"/>
  <c r="D303" i="23"/>
  <c r="C303" i="23"/>
  <c r="L302" i="23"/>
  <c r="K302" i="23"/>
  <c r="J302" i="23"/>
  <c r="E302" i="23"/>
  <c r="D302" i="23"/>
  <c r="C302" i="23"/>
  <c r="L301" i="23"/>
  <c r="K301" i="23"/>
  <c r="J301" i="23"/>
  <c r="E301" i="23"/>
  <c r="D301" i="23"/>
  <c r="C301" i="23"/>
  <c r="L300" i="23"/>
  <c r="K300" i="23"/>
  <c r="J300" i="23"/>
  <c r="E300" i="23"/>
  <c r="D300" i="23"/>
  <c r="C300" i="23"/>
  <c r="L299" i="23"/>
  <c r="K299" i="23"/>
  <c r="J299" i="23"/>
  <c r="E299" i="23"/>
  <c r="D299" i="23"/>
  <c r="C299" i="23"/>
  <c r="L297" i="23"/>
  <c r="K297" i="23"/>
  <c r="J297" i="23"/>
  <c r="E297" i="23"/>
  <c r="D297" i="23"/>
  <c r="C297" i="23"/>
  <c r="L296" i="23"/>
  <c r="K296" i="23"/>
  <c r="J296" i="23"/>
  <c r="E296" i="23"/>
  <c r="D296" i="23"/>
  <c r="C296" i="23"/>
  <c r="L295" i="23"/>
  <c r="K295" i="23"/>
  <c r="J295" i="23"/>
  <c r="E295" i="23"/>
  <c r="D295" i="23"/>
  <c r="C295" i="23"/>
  <c r="L294" i="23"/>
  <c r="K294" i="23"/>
  <c r="J294" i="23"/>
  <c r="E294" i="23"/>
  <c r="D294" i="23"/>
  <c r="C294" i="23"/>
  <c r="L293" i="23"/>
  <c r="K293" i="23"/>
  <c r="J293" i="23"/>
  <c r="E293" i="23"/>
  <c r="D293" i="23"/>
  <c r="C293" i="23"/>
  <c r="L292" i="23"/>
  <c r="K292" i="23"/>
  <c r="J292" i="23"/>
  <c r="E292" i="23"/>
  <c r="D292" i="23"/>
  <c r="C292" i="23"/>
  <c r="L291" i="23"/>
  <c r="K291" i="23"/>
  <c r="J291" i="23"/>
  <c r="E291" i="23"/>
  <c r="D291" i="23"/>
  <c r="C291" i="23"/>
  <c r="L290" i="23"/>
  <c r="K290" i="23"/>
  <c r="J290" i="23"/>
  <c r="E290" i="23"/>
  <c r="D290" i="23"/>
  <c r="C290" i="23"/>
  <c r="L289" i="23"/>
  <c r="K289" i="23"/>
  <c r="J289" i="23"/>
  <c r="E289" i="23"/>
  <c r="D289" i="23"/>
  <c r="C289" i="23"/>
  <c r="L288" i="23"/>
  <c r="K288" i="23"/>
  <c r="J288" i="23"/>
  <c r="E288" i="23"/>
  <c r="D288" i="23"/>
  <c r="C288" i="23"/>
  <c r="L287" i="23"/>
  <c r="K287" i="23"/>
  <c r="J287" i="23"/>
  <c r="E287" i="23"/>
  <c r="D287" i="23"/>
  <c r="C287" i="23"/>
  <c r="L286" i="23"/>
  <c r="K286" i="23"/>
  <c r="J286" i="23"/>
  <c r="E286" i="23"/>
  <c r="D286" i="23"/>
  <c r="C286" i="23"/>
  <c r="L285" i="23"/>
  <c r="K285" i="23"/>
  <c r="J285" i="23"/>
  <c r="E285" i="23"/>
  <c r="D285" i="23"/>
  <c r="C285" i="23"/>
  <c r="L284" i="23"/>
  <c r="K284" i="23"/>
  <c r="J284" i="23"/>
  <c r="E284" i="23"/>
  <c r="D284" i="23"/>
  <c r="C284" i="23"/>
  <c r="L283" i="23"/>
  <c r="K283" i="23"/>
  <c r="J283" i="23"/>
  <c r="E283" i="23"/>
  <c r="D283" i="23"/>
  <c r="C283" i="23"/>
  <c r="L282" i="23"/>
  <c r="K282" i="23"/>
  <c r="J282" i="23"/>
  <c r="E282" i="23"/>
  <c r="D282" i="23"/>
  <c r="C282" i="23"/>
  <c r="L281" i="23"/>
  <c r="K281" i="23"/>
  <c r="J281" i="23"/>
  <c r="E281" i="23"/>
  <c r="D281" i="23"/>
  <c r="C281" i="23"/>
  <c r="L280" i="23"/>
  <c r="K280" i="23"/>
  <c r="J280" i="23"/>
  <c r="E280" i="23"/>
  <c r="D280" i="23"/>
  <c r="C280" i="23"/>
  <c r="L278" i="23"/>
  <c r="K278" i="23"/>
  <c r="J278" i="23"/>
  <c r="E278" i="23"/>
  <c r="D278" i="23"/>
  <c r="C278" i="23"/>
  <c r="L277" i="23"/>
  <c r="K277" i="23"/>
  <c r="J277" i="23"/>
  <c r="E277" i="23"/>
  <c r="D277" i="23"/>
  <c r="C277" i="23"/>
  <c r="L276" i="23"/>
  <c r="K276" i="23"/>
  <c r="J276" i="23"/>
  <c r="E276" i="23"/>
  <c r="D276" i="23"/>
  <c r="C276" i="23"/>
  <c r="L275" i="23"/>
  <c r="K275" i="23"/>
  <c r="J275" i="23"/>
  <c r="E275" i="23"/>
  <c r="D275" i="23"/>
  <c r="C275" i="23"/>
  <c r="L274" i="23"/>
  <c r="K274" i="23"/>
  <c r="J274" i="23"/>
  <c r="E274" i="23"/>
  <c r="D274" i="23"/>
  <c r="C274" i="23"/>
  <c r="L273" i="23"/>
  <c r="K273" i="23"/>
  <c r="J273" i="23"/>
  <c r="E273" i="23"/>
  <c r="D273" i="23"/>
  <c r="C273" i="23"/>
  <c r="L272" i="23"/>
  <c r="K272" i="23"/>
  <c r="J272" i="23"/>
  <c r="E272" i="23"/>
  <c r="D272" i="23"/>
  <c r="C272" i="23"/>
  <c r="L271" i="23"/>
  <c r="K271" i="23"/>
  <c r="J271" i="23"/>
  <c r="E271" i="23"/>
  <c r="D271" i="23"/>
  <c r="C271" i="23"/>
  <c r="L270" i="23"/>
  <c r="K270" i="23"/>
  <c r="J270" i="23"/>
  <c r="E270" i="23"/>
  <c r="D270" i="23"/>
  <c r="C270" i="23"/>
  <c r="L269" i="23"/>
  <c r="K269" i="23"/>
  <c r="J269" i="23"/>
  <c r="E269" i="23"/>
  <c r="D269" i="23"/>
  <c r="C269" i="23"/>
  <c r="L268" i="23"/>
  <c r="K268" i="23"/>
  <c r="J268" i="23"/>
  <c r="E268" i="23"/>
  <c r="D268" i="23"/>
  <c r="C268" i="23"/>
  <c r="L267" i="23"/>
  <c r="K267" i="23"/>
  <c r="J267" i="23"/>
  <c r="E267" i="23"/>
  <c r="D267" i="23"/>
  <c r="C267" i="23"/>
  <c r="L266" i="23"/>
  <c r="K266" i="23"/>
  <c r="J266" i="23"/>
  <c r="E266" i="23"/>
  <c r="D266" i="23"/>
  <c r="C266" i="23"/>
  <c r="L265" i="23"/>
  <c r="K265" i="23"/>
  <c r="J265" i="23"/>
  <c r="E265" i="23"/>
  <c r="D265" i="23"/>
  <c r="C265" i="23"/>
  <c r="L264" i="23"/>
  <c r="K264" i="23"/>
  <c r="J264" i="23"/>
  <c r="E264" i="23"/>
  <c r="D264" i="23"/>
  <c r="C264" i="23"/>
  <c r="L263" i="23"/>
  <c r="K263" i="23"/>
  <c r="J263" i="23"/>
  <c r="E263" i="23"/>
  <c r="D263" i="23"/>
  <c r="C263" i="23"/>
  <c r="L262" i="23"/>
  <c r="K262" i="23"/>
  <c r="J262" i="23"/>
  <c r="E262" i="23"/>
  <c r="D262" i="23"/>
  <c r="C262" i="23"/>
  <c r="L261" i="23"/>
  <c r="K261" i="23"/>
  <c r="J261" i="23"/>
  <c r="E261" i="23"/>
  <c r="D261" i="23"/>
  <c r="C261" i="23"/>
  <c r="L259" i="23"/>
  <c r="K259" i="23"/>
  <c r="J259" i="23"/>
  <c r="E259" i="23"/>
  <c r="D259" i="23"/>
  <c r="C259" i="23"/>
  <c r="L258" i="23"/>
  <c r="K258" i="23"/>
  <c r="J258" i="23"/>
  <c r="E258" i="23"/>
  <c r="D258" i="23"/>
  <c r="C258" i="23"/>
  <c r="L257" i="23"/>
  <c r="K257" i="23"/>
  <c r="J257" i="23"/>
  <c r="E257" i="23"/>
  <c r="D257" i="23"/>
  <c r="C257" i="23"/>
  <c r="L256" i="23"/>
  <c r="K256" i="23"/>
  <c r="J256" i="23"/>
  <c r="E256" i="23"/>
  <c r="D256" i="23"/>
  <c r="C256" i="23"/>
  <c r="L255" i="23"/>
  <c r="K255" i="23"/>
  <c r="J255" i="23"/>
  <c r="E255" i="23"/>
  <c r="D255" i="23"/>
  <c r="C255" i="23"/>
  <c r="L254" i="23"/>
  <c r="K254" i="23"/>
  <c r="J254" i="23"/>
  <c r="E254" i="23"/>
  <c r="D254" i="23"/>
  <c r="C254" i="23"/>
  <c r="L253" i="23"/>
  <c r="K253" i="23"/>
  <c r="J253" i="23"/>
  <c r="E253" i="23"/>
  <c r="D253" i="23"/>
  <c r="C253" i="23"/>
  <c r="L252" i="23"/>
  <c r="K252" i="23"/>
  <c r="J252" i="23"/>
  <c r="E252" i="23"/>
  <c r="D252" i="23"/>
  <c r="C252" i="23"/>
  <c r="L251" i="23"/>
  <c r="K251" i="23"/>
  <c r="J251" i="23"/>
  <c r="E251" i="23"/>
  <c r="D251" i="23"/>
  <c r="C251" i="23"/>
  <c r="L250" i="23"/>
  <c r="K250" i="23"/>
  <c r="J250" i="23"/>
  <c r="E250" i="23"/>
  <c r="D250" i="23"/>
  <c r="C250" i="23"/>
  <c r="L249" i="23"/>
  <c r="K249" i="23"/>
  <c r="J249" i="23"/>
  <c r="E249" i="23"/>
  <c r="D249" i="23"/>
  <c r="C249" i="23"/>
  <c r="L248" i="23"/>
  <c r="K248" i="23"/>
  <c r="J248" i="23"/>
  <c r="E248" i="23"/>
  <c r="D248" i="23"/>
  <c r="C248" i="23"/>
  <c r="L247" i="23"/>
  <c r="K247" i="23"/>
  <c r="J247" i="23"/>
  <c r="E247" i="23"/>
  <c r="D247" i="23"/>
  <c r="C247" i="23"/>
  <c r="L246" i="23"/>
  <c r="K246" i="23"/>
  <c r="J246" i="23"/>
  <c r="E246" i="23"/>
  <c r="D246" i="23"/>
  <c r="C246" i="23"/>
  <c r="L245" i="23"/>
  <c r="K245" i="23"/>
  <c r="J245" i="23"/>
  <c r="E245" i="23"/>
  <c r="D245" i="23"/>
  <c r="C245" i="23"/>
  <c r="L244" i="23"/>
  <c r="K244" i="23"/>
  <c r="J244" i="23"/>
  <c r="E244" i="23"/>
  <c r="D244" i="23"/>
  <c r="C244" i="23"/>
  <c r="L243" i="23"/>
  <c r="K243" i="23"/>
  <c r="J243" i="23"/>
  <c r="E243" i="23"/>
  <c r="D243" i="23"/>
  <c r="C243" i="23"/>
  <c r="P242" i="23"/>
  <c r="L242" i="23"/>
  <c r="K242" i="23"/>
  <c r="J242" i="23"/>
  <c r="E242" i="23"/>
  <c r="D242" i="23"/>
  <c r="C242" i="23"/>
  <c r="P241" i="23"/>
  <c r="P240" i="23"/>
  <c r="L240" i="23"/>
  <c r="K240" i="23"/>
  <c r="J240" i="23"/>
  <c r="E240" i="23"/>
  <c r="D240" i="23"/>
  <c r="C240" i="23"/>
  <c r="P239" i="23"/>
  <c r="L239" i="23"/>
  <c r="K239" i="23"/>
  <c r="J239" i="23"/>
  <c r="E239" i="23"/>
  <c r="D239" i="23"/>
  <c r="C239" i="23"/>
  <c r="P238" i="23"/>
  <c r="L238" i="23"/>
  <c r="K238" i="23"/>
  <c r="J238" i="23"/>
  <c r="E238" i="23"/>
  <c r="D238" i="23"/>
  <c r="C238" i="23"/>
  <c r="P237" i="23"/>
  <c r="L237" i="23"/>
  <c r="K237" i="23"/>
  <c r="J237" i="23"/>
  <c r="E237" i="23"/>
  <c r="D237" i="23"/>
  <c r="C237" i="23"/>
  <c r="P236" i="23"/>
  <c r="L236" i="23"/>
  <c r="K236" i="23"/>
  <c r="J236" i="23"/>
  <c r="E236" i="23"/>
  <c r="D236" i="23"/>
  <c r="C236" i="23"/>
  <c r="P235" i="23"/>
  <c r="L235" i="23"/>
  <c r="K235" i="23"/>
  <c r="J235" i="23"/>
  <c r="E235" i="23"/>
  <c r="D235" i="23"/>
  <c r="C235" i="23"/>
  <c r="P234" i="23"/>
  <c r="L234" i="23"/>
  <c r="K234" i="23"/>
  <c r="J234" i="23"/>
  <c r="E234" i="23"/>
  <c r="D234" i="23"/>
  <c r="C234" i="23"/>
  <c r="P233" i="23"/>
  <c r="L233" i="23"/>
  <c r="K233" i="23"/>
  <c r="J233" i="23"/>
  <c r="E233" i="23"/>
  <c r="D233" i="23"/>
  <c r="C233" i="23"/>
  <c r="P232" i="23"/>
  <c r="L232" i="23"/>
  <c r="K232" i="23"/>
  <c r="J232" i="23"/>
  <c r="E232" i="23"/>
  <c r="D232" i="23"/>
  <c r="C232" i="23"/>
  <c r="P231" i="23"/>
  <c r="L231" i="23"/>
  <c r="K231" i="23"/>
  <c r="J231" i="23"/>
  <c r="E231" i="23"/>
  <c r="D231" i="23"/>
  <c r="C231" i="23"/>
  <c r="P230" i="23"/>
  <c r="L230" i="23"/>
  <c r="K230" i="23"/>
  <c r="J230" i="23"/>
  <c r="E230" i="23"/>
  <c r="D230" i="23"/>
  <c r="C230" i="23"/>
  <c r="P229" i="23"/>
  <c r="L229" i="23"/>
  <c r="K229" i="23"/>
  <c r="J229" i="23"/>
  <c r="E229" i="23"/>
  <c r="D229" i="23"/>
  <c r="C229" i="23"/>
  <c r="P228" i="23"/>
  <c r="L228" i="23"/>
  <c r="K228" i="23"/>
  <c r="J228" i="23"/>
  <c r="E228" i="23"/>
  <c r="D228" i="23"/>
  <c r="C228" i="23"/>
  <c r="P227" i="23"/>
  <c r="L227" i="23"/>
  <c r="K227" i="23"/>
  <c r="J227" i="23"/>
  <c r="E227" i="23"/>
  <c r="D227" i="23"/>
  <c r="C227" i="23"/>
  <c r="P226" i="23"/>
  <c r="L226" i="23"/>
  <c r="K226" i="23"/>
  <c r="J226" i="23"/>
  <c r="E226" i="23"/>
  <c r="D226" i="23"/>
  <c r="C226" i="23"/>
  <c r="P225" i="23"/>
  <c r="L225" i="23"/>
  <c r="K225" i="23"/>
  <c r="J225" i="23"/>
  <c r="E225" i="23"/>
  <c r="D225" i="23"/>
  <c r="C225" i="23"/>
  <c r="L224" i="23"/>
  <c r="K224" i="23"/>
  <c r="J224" i="23"/>
  <c r="E224" i="23"/>
  <c r="D224" i="23"/>
  <c r="C224" i="23"/>
  <c r="L223" i="23"/>
  <c r="K223" i="23"/>
  <c r="J223" i="23"/>
  <c r="E223" i="23"/>
  <c r="D223" i="23"/>
  <c r="C223" i="23"/>
  <c r="L221" i="23"/>
  <c r="K221" i="23"/>
  <c r="J221" i="23"/>
  <c r="E221" i="23"/>
  <c r="D221" i="23"/>
  <c r="C221" i="23"/>
  <c r="P220" i="23"/>
  <c r="L220" i="23"/>
  <c r="K220" i="23"/>
  <c r="J220" i="23"/>
  <c r="E220" i="23"/>
  <c r="D220" i="23"/>
  <c r="C220" i="23"/>
  <c r="P219" i="23"/>
  <c r="L219" i="23"/>
  <c r="K219" i="23"/>
  <c r="J219" i="23"/>
  <c r="E219" i="23"/>
  <c r="D219" i="23"/>
  <c r="C219" i="23"/>
  <c r="P218" i="23"/>
  <c r="L218" i="23"/>
  <c r="K218" i="23"/>
  <c r="J218" i="23"/>
  <c r="E218" i="23"/>
  <c r="D218" i="23"/>
  <c r="C218" i="23"/>
  <c r="P217" i="23"/>
  <c r="L217" i="23"/>
  <c r="K217" i="23"/>
  <c r="J217" i="23"/>
  <c r="E217" i="23"/>
  <c r="D217" i="23"/>
  <c r="C217" i="23"/>
  <c r="P216" i="23"/>
  <c r="L216" i="23"/>
  <c r="K216" i="23"/>
  <c r="J216" i="23"/>
  <c r="E216" i="23"/>
  <c r="D216" i="23"/>
  <c r="C216" i="23"/>
  <c r="P215" i="23"/>
  <c r="L215" i="23"/>
  <c r="K215" i="23"/>
  <c r="J215" i="23"/>
  <c r="E215" i="23"/>
  <c r="D215" i="23"/>
  <c r="C215" i="23"/>
  <c r="P214" i="23"/>
  <c r="L214" i="23"/>
  <c r="K214" i="23"/>
  <c r="J214" i="23"/>
  <c r="E214" i="23"/>
  <c r="D214" i="23"/>
  <c r="C214" i="23"/>
  <c r="P213" i="23"/>
  <c r="L213" i="23"/>
  <c r="K213" i="23"/>
  <c r="J213" i="23"/>
  <c r="E213" i="23"/>
  <c r="D213" i="23"/>
  <c r="C213" i="23"/>
  <c r="P212" i="23"/>
  <c r="L212" i="23"/>
  <c r="K212" i="23"/>
  <c r="J212" i="23"/>
  <c r="E212" i="23"/>
  <c r="D212" i="23"/>
  <c r="C212" i="23"/>
  <c r="P211" i="23"/>
  <c r="L211" i="23"/>
  <c r="K211" i="23"/>
  <c r="J211" i="23"/>
  <c r="E211" i="23"/>
  <c r="D211" i="23"/>
  <c r="C211" i="23"/>
  <c r="P210" i="23"/>
  <c r="L210" i="23"/>
  <c r="K210" i="23"/>
  <c r="J210" i="23"/>
  <c r="E210" i="23"/>
  <c r="D210" i="23"/>
  <c r="C210" i="23"/>
  <c r="P209" i="23"/>
  <c r="L209" i="23"/>
  <c r="K209" i="23"/>
  <c r="J209" i="23"/>
  <c r="E209" i="23"/>
  <c r="D209" i="23"/>
  <c r="C209" i="23"/>
  <c r="P208" i="23"/>
  <c r="L208" i="23"/>
  <c r="K208" i="23"/>
  <c r="J208" i="23"/>
  <c r="E208" i="23"/>
  <c r="D208" i="23"/>
  <c r="C208" i="23"/>
  <c r="P207" i="23"/>
  <c r="L207" i="23"/>
  <c r="K207" i="23"/>
  <c r="J207" i="23"/>
  <c r="E207" i="23"/>
  <c r="D207" i="23"/>
  <c r="C207" i="23"/>
  <c r="P206" i="23"/>
  <c r="L206" i="23"/>
  <c r="K206" i="23"/>
  <c r="J206" i="23"/>
  <c r="E206" i="23"/>
  <c r="D206" i="23"/>
  <c r="C206" i="23"/>
  <c r="P205" i="23"/>
  <c r="L205" i="23"/>
  <c r="K205" i="23"/>
  <c r="J205" i="23"/>
  <c r="E205" i="23"/>
  <c r="D205" i="23"/>
  <c r="C205" i="23"/>
  <c r="P204" i="23"/>
  <c r="L204" i="23"/>
  <c r="K204" i="23"/>
  <c r="J204" i="23"/>
  <c r="E204" i="23"/>
  <c r="D204" i="23"/>
  <c r="C204" i="23"/>
  <c r="P203" i="23"/>
  <c r="L198" i="23"/>
  <c r="M335" i="23" s="1"/>
  <c r="F198" i="23"/>
  <c r="F335" i="23" s="1"/>
  <c r="L197" i="23"/>
  <c r="M316" i="23" s="1"/>
  <c r="F197" i="23"/>
  <c r="F316" i="23" s="1"/>
  <c r="L196" i="23"/>
  <c r="M297" i="23" s="1"/>
  <c r="F196" i="23"/>
  <c r="F297" i="23" s="1"/>
  <c r="L195" i="23"/>
  <c r="M278" i="23" s="1"/>
  <c r="F195" i="23"/>
  <c r="F278" i="23" s="1"/>
  <c r="L194" i="23"/>
  <c r="M259" i="23" s="1"/>
  <c r="F194" i="23"/>
  <c r="F259" i="23" s="1"/>
  <c r="L193" i="23"/>
  <c r="M240" i="23" s="1"/>
  <c r="F193" i="23"/>
  <c r="F240" i="23" s="1"/>
  <c r="L192" i="23"/>
  <c r="M221" i="23" s="1"/>
  <c r="F192" i="23"/>
  <c r="F221" i="23" s="1"/>
  <c r="K191" i="23"/>
  <c r="J191" i="23"/>
  <c r="H189" i="23"/>
  <c r="L187" i="23"/>
  <c r="M334" i="23" s="1"/>
  <c r="F187" i="23"/>
  <c r="F334" i="23" s="1"/>
  <c r="L186" i="23"/>
  <c r="M315" i="23" s="1"/>
  <c r="F186" i="23"/>
  <c r="F315" i="23" s="1"/>
  <c r="L185" i="23"/>
  <c r="M296" i="23" s="1"/>
  <c r="F185" i="23"/>
  <c r="F296" i="23" s="1"/>
  <c r="L184" i="23"/>
  <c r="M277" i="23" s="1"/>
  <c r="F184" i="23"/>
  <c r="F277" i="23" s="1"/>
  <c r="L183" i="23"/>
  <c r="M258" i="23" s="1"/>
  <c r="F183" i="23"/>
  <c r="F258" i="23" s="1"/>
  <c r="L182" i="23"/>
  <c r="M239" i="23" s="1"/>
  <c r="F182" i="23"/>
  <c r="F239" i="23" s="1"/>
  <c r="L181" i="23"/>
  <c r="M220" i="23" s="1"/>
  <c r="F181" i="23"/>
  <c r="F220" i="23" s="1"/>
  <c r="K180" i="23"/>
  <c r="J180" i="23"/>
  <c r="H178" i="23"/>
  <c r="L176" i="23"/>
  <c r="M333" i="23" s="1"/>
  <c r="F176" i="23"/>
  <c r="F333" i="23" s="1"/>
  <c r="L175" i="23"/>
  <c r="M314" i="23" s="1"/>
  <c r="F175" i="23"/>
  <c r="F314" i="23" s="1"/>
  <c r="L174" i="23"/>
  <c r="M295" i="23" s="1"/>
  <c r="F174" i="23"/>
  <c r="F295" i="23" s="1"/>
  <c r="L173" i="23"/>
  <c r="M276" i="23" s="1"/>
  <c r="F173" i="23"/>
  <c r="F276" i="23" s="1"/>
  <c r="L172" i="23"/>
  <c r="M257" i="23" s="1"/>
  <c r="F172" i="23"/>
  <c r="F257" i="23" s="1"/>
  <c r="L171" i="23"/>
  <c r="M238" i="23" s="1"/>
  <c r="F171" i="23"/>
  <c r="F238" i="23" s="1"/>
  <c r="L170" i="23"/>
  <c r="M219" i="23" s="1"/>
  <c r="F170" i="23"/>
  <c r="F219" i="23" s="1"/>
  <c r="K169" i="23"/>
  <c r="J169" i="23"/>
  <c r="H167" i="23"/>
  <c r="L165" i="23"/>
  <c r="M332" i="23" s="1"/>
  <c r="F165" i="23"/>
  <c r="F332" i="23" s="1"/>
  <c r="L164" i="23"/>
  <c r="M313" i="23" s="1"/>
  <c r="F164" i="23"/>
  <c r="F313" i="23" s="1"/>
  <c r="L163" i="23"/>
  <c r="M294" i="23" s="1"/>
  <c r="F163" i="23"/>
  <c r="F294" i="23" s="1"/>
  <c r="L162" i="23"/>
  <c r="M275" i="23" s="1"/>
  <c r="F162" i="23"/>
  <c r="F275" i="23" s="1"/>
  <c r="L161" i="23"/>
  <c r="M256" i="23" s="1"/>
  <c r="F161" i="23"/>
  <c r="F256" i="23" s="1"/>
  <c r="L160" i="23"/>
  <c r="M237" i="23" s="1"/>
  <c r="F160" i="23"/>
  <c r="F237" i="23" s="1"/>
  <c r="L159" i="23"/>
  <c r="M218" i="23" s="1"/>
  <c r="F159" i="23"/>
  <c r="F218" i="23" s="1"/>
  <c r="K158" i="23"/>
  <c r="J158" i="23"/>
  <c r="H156" i="23"/>
  <c r="L154" i="23"/>
  <c r="M331" i="23" s="1"/>
  <c r="F154" i="23"/>
  <c r="F331" i="23" s="1"/>
  <c r="L153" i="23"/>
  <c r="M312" i="23" s="1"/>
  <c r="F153" i="23"/>
  <c r="F312" i="23" s="1"/>
  <c r="L152" i="23"/>
  <c r="M293" i="23" s="1"/>
  <c r="F152" i="23"/>
  <c r="F293" i="23" s="1"/>
  <c r="L151" i="23"/>
  <c r="M274" i="23" s="1"/>
  <c r="F151" i="23"/>
  <c r="F274" i="23" s="1"/>
  <c r="L150" i="23"/>
  <c r="M255" i="23" s="1"/>
  <c r="F150" i="23"/>
  <c r="F255" i="23" s="1"/>
  <c r="L149" i="23"/>
  <c r="M236" i="23" s="1"/>
  <c r="F149" i="23"/>
  <c r="F236" i="23" s="1"/>
  <c r="L148" i="23"/>
  <c r="M217" i="23" s="1"/>
  <c r="F148" i="23"/>
  <c r="F217" i="23" s="1"/>
  <c r="K147" i="23"/>
  <c r="J147" i="23"/>
  <c r="H145" i="23"/>
  <c r="L143" i="23"/>
  <c r="M330" i="23" s="1"/>
  <c r="F143" i="23"/>
  <c r="F330" i="23" s="1"/>
  <c r="L142" i="23"/>
  <c r="M311" i="23" s="1"/>
  <c r="F142" i="23"/>
  <c r="F311" i="23" s="1"/>
  <c r="L141" i="23"/>
  <c r="M292" i="23" s="1"/>
  <c r="F141" i="23"/>
  <c r="F292" i="23" s="1"/>
  <c r="L140" i="23"/>
  <c r="M273" i="23" s="1"/>
  <c r="F140" i="23"/>
  <c r="F273" i="23" s="1"/>
  <c r="L139" i="23"/>
  <c r="M254" i="23" s="1"/>
  <c r="F139" i="23"/>
  <c r="F254" i="23" s="1"/>
  <c r="L138" i="23"/>
  <c r="M235" i="23" s="1"/>
  <c r="F138" i="23"/>
  <c r="F235" i="23" s="1"/>
  <c r="L137" i="23"/>
  <c r="M216" i="23" s="1"/>
  <c r="F137" i="23"/>
  <c r="F216" i="23" s="1"/>
  <c r="K136" i="23"/>
  <c r="J136" i="23"/>
  <c r="H134" i="23"/>
  <c r="L132" i="23"/>
  <c r="M329" i="23" s="1"/>
  <c r="F132" i="23"/>
  <c r="F329" i="23" s="1"/>
  <c r="L131" i="23"/>
  <c r="M310" i="23" s="1"/>
  <c r="F131" i="23"/>
  <c r="F310" i="23" s="1"/>
  <c r="L130" i="23"/>
  <c r="M291" i="23" s="1"/>
  <c r="F130" i="23"/>
  <c r="F291" i="23" s="1"/>
  <c r="L129" i="23"/>
  <c r="M272" i="23" s="1"/>
  <c r="F129" i="23"/>
  <c r="F272" i="23" s="1"/>
  <c r="L128" i="23"/>
  <c r="M253" i="23" s="1"/>
  <c r="F128" i="23"/>
  <c r="F253" i="23" s="1"/>
  <c r="L127" i="23"/>
  <c r="M234" i="23" s="1"/>
  <c r="F127" i="23"/>
  <c r="F234" i="23" s="1"/>
  <c r="L126" i="23"/>
  <c r="M215" i="23" s="1"/>
  <c r="F126" i="23"/>
  <c r="F215" i="23" s="1"/>
  <c r="K125" i="23"/>
  <c r="J125" i="23"/>
  <c r="H123" i="23"/>
  <c r="L121" i="23"/>
  <c r="M328" i="23" s="1"/>
  <c r="F121" i="23"/>
  <c r="F328" i="23" s="1"/>
  <c r="L120" i="23"/>
  <c r="M309" i="23" s="1"/>
  <c r="F120" i="23"/>
  <c r="F309" i="23" s="1"/>
  <c r="L119" i="23"/>
  <c r="M290" i="23" s="1"/>
  <c r="F119" i="23"/>
  <c r="F290" i="23" s="1"/>
  <c r="L118" i="23"/>
  <c r="M271" i="23" s="1"/>
  <c r="F118" i="23"/>
  <c r="F271" i="23" s="1"/>
  <c r="L117" i="23"/>
  <c r="M252" i="23" s="1"/>
  <c r="F117" i="23"/>
  <c r="F252" i="23" s="1"/>
  <c r="L116" i="23"/>
  <c r="M233" i="23" s="1"/>
  <c r="F116" i="23"/>
  <c r="F233" i="23" s="1"/>
  <c r="L115" i="23"/>
  <c r="M214" i="23" s="1"/>
  <c r="F115" i="23"/>
  <c r="F214" i="23" s="1"/>
  <c r="K114" i="23"/>
  <c r="J114" i="23"/>
  <c r="H112" i="23"/>
  <c r="L110" i="23"/>
  <c r="M327" i="23" s="1"/>
  <c r="F110" i="23"/>
  <c r="F327" i="23" s="1"/>
  <c r="L109" i="23"/>
  <c r="M308" i="23" s="1"/>
  <c r="F109" i="23"/>
  <c r="F308" i="23" s="1"/>
  <c r="L108" i="23"/>
  <c r="M289" i="23" s="1"/>
  <c r="F108" i="23"/>
  <c r="F289" i="23" s="1"/>
  <c r="L107" i="23"/>
  <c r="M270" i="23" s="1"/>
  <c r="F107" i="23"/>
  <c r="F270" i="23" s="1"/>
  <c r="L106" i="23"/>
  <c r="M251" i="23" s="1"/>
  <c r="F106" i="23"/>
  <c r="F251" i="23" s="1"/>
  <c r="L105" i="23"/>
  <c r="M232" i="23" s="1"/>
  <c r="F105" i="23"/>
  <c r="F232" i="23" s="1"/>
  <c r="L104" i="23"/>
  <c r="M213" i="23" s="1"/>
  <c r="F104" i="23"/>
  <c r="F213" i="23" s="1"/>
  <c r="K103" i="23"/>
  <c r="J103" i="23"/>
  <c r="H101" i="23"/>
  <c r="L99" i="23"/>
  <c r="M326" i="23" s="1"/>
  <c r="F99" i="23"/>
  <c r="F326" i="23" s="1"/>
  <c r="L98" i="23"/>
  <c r="M307" i="23" s="1"/>
  <c r="F98" i="23"/>
  <c r="F307" i="23" s="1"/>
  <c r="L97" i="23"/>
  <c r="M288" i="23" s="1"/>
  <c r="F97" i="23"/>
  <c r="F288" i="23" s="1"/>
  <c r="L96" i="23"/>
  <c r="M269" i="23" s="1"/>
  <c r="F96" i="23"/>
  <c r="F269" i="23" s="1"/>
  <c r="L95" i="23"/>
  <c r="M250" i="23" s="1"/>
  <c r="F95" i="23"/>
  <c r="F250" i="23" s="1"/>
  <c r="L94" i="23"/>
  <c r="M231" i="23" s="1"/>
  <c r="F94" i="23"/>
  <c r="F231" i="23" s="1"/>
  <c r="L93" i="23"/>
  <c r="M212" i="23" s="1"/>
  <c r="F93" i="23"/>
  <c r="F212" i="23" s="1"/>
  <c r="K92" i="23"/>
  <c r="J92" i="23"/>
  <c r="H90" i="23"/>
  <c r="L88" i="23"/>
  <c r="M325" i="23" s="1"/>
  <c r="F88" i="23"/>
  <c r="F325" i="23" s="1"/>
  <c r="L87" i="23"/>
  <c r="M306" i="23" s="1"/>
  <c r="F87" i="23"/>
  <c r="F306" i="23" s="1"/>
  <c r="L86" i="23"/>
  <c r="M287" i="23" s="1"/>
  <c r="F86" i="23"/>
  <c r="F287" i="23" s="1"/>
  <c r="L85" i="23"/>
  <c r="M268" i="23" s="1"/>
  <c r="F85" i="23"/>
  <c r="F268" i="23" s="1"/>
  <c r="L84" i="23"/>
  <c r="M249" i="23" s="1"/>
  <c r="F84" i="23"/>
  <c r="F249" i="23" s="1"/>
  <c r="L83" i="23"/>
  <c r="M230" i="23" s="1"/>
  <c r="F83" i="23"/>
  <c r="F230" i="23" s="1"/>
  <c r="L82" i="23"/>
  <c r="M211" i="23" s="1"/>
  <c r="F82" i="23"/>
  <c r="F211" i="23" s="1"/>
  <c r="K81" i="23"/>
  <c r="J81" i="23"/>
  <c r="H79" i="23"/>
  <c r="L77" i="23"/>
  <c r="M324" i="23" s="1"/>
  <c r="F77" i="23"/>
  <c r="F324" i="23" s="1"/>
  <c r="L76" i="23"/>
  <c r="M305" i="23" s="1"/>
  <c r="F76" i="23"/>
  <c r="F305" i="23" s="1"/>
  <c r="L75" i="23"/>
  <c r="M286" i="23" s="1"/>
  <c r="F75" i="23"/>
  <c r="F286" i="23" s="1"/>
  <c r="L74" i="23"/>
  <c r="M267" i="23" s="1"/>
  <c r="F74" i="23"/>
  <c r="F267" i="23" s="1"/>
  <c r="L73" i="23"/>
  <c r="M248" i="23" s="1"/>
  <c r="F73" i="23"/>
  <c r="F248" i="23" s="1"/>
  <c r="L72" i="23"/>
  <c r="M229" i="23" s="1"/>
  <c r="F72" i="23"/>
  <c r="F229" i="23" s="1"/>
  <c r="L71" i="23"/>
  <c r="M210" i="23" s="1"/>
  <c r="F71" i="23"/>
  <c r="F210" i="23" s="1"/>
  <c r="K70" i="23"/>
  <c r="J70" i="23"/>
  <c r="H68" i="23"/>
  <c r="L66" i="23"/>
  <c r="M323" i="23" s="1"/>
  <c r="F66" i="23"/>
  <c r="F323" i="23" s="1"/>
  <c r="L65" i="23"/>
  <c r="M304" i="23" s="1"/>
  <c r="F65" i="23"/>
  <c r="F304" i="23" s="1"/>
  <c r="L64" i="23"/>
  <c r="M285" i="23" s="1"/>
  <c r="F64" i="23"/>
  <c r="F285" i="23" s="1"/>
  <c r="L63" i="23"/>
  <c r="M266" i="23" s="1"/>
  <c r="F63" i="23"/>
  <c r="F266" i="23" s="1"/>
  <c r="L62" i="23"/>
  <c r="M247" i="23" s="1"/>
  <c r="F62" i="23"/>
  <c r="F247" i="23" s="1"/>
  <c r="L61" i="23"/>
  <c r="M228" i="23" s="1"/>
  <c r="F61" i="23"/>
  <c r="F228" i="23" s="1"/>
  <c r="L60" i="23"/>
  <c r="M209" i="23" s="1"/>
  <c r="F60" i="23"/>
  <c r="F209" i="23" s="1"/>
  <c r="K59" i="23"/>
  <c r="J59" i="23"/>
  <c r="H57" i="23"/>
  <c r="L55" i="23"/>
  <c r="M322" i="23" s="1"/>
  <c r="F55" i="23"/>
  <c r="F322" i="23" s="1"/>
  <c r="L54" i="23"/>
  <c r="M303" i="23" s="1"/>
  <c r="F54" i="23"/>
  <c r="F303" i="23" s="1"/>
  <c r="L53" i="23"/>
  <c r="M284" i="23" s="1"/>
  <c r="F53" i="23"/>
  <c r="F284" i="23" s="1"/>
  <c r="L52" i="23"/>
  <c r="M265" i="23" s="1"/>
  <c r="F52" i="23"/>
  <c r="F265" i="23" s="1"/>
  <c r="L51" i="23"/>
  <c r="M246" i="23" s="1"/>
  <c r="F51" i="23"/>
  <c r="F246" i="23" s="1"/>
  <c r="L50" i="23"/>
  <c r="M227" i="23" s="1"/>
  <c r="F50" i="23"/>
  <c r="F227" i="23" s="1"/>
  <c r="L49" i="23"/>
  <c r="M208" i="23" s="1"/>
  <c r="F49" i="23"/>
  <c r="F208" i="23" s="1"/>
  <c r="K48" i="23"/>
  <c r="J48" i="23"/>
  <c r="H46" i="23"/>
  <c r="L44" i="23"/>
  <c r="M321" i="23" s="1"/>
  <c r="F44" i="23"/>
  <c r="F321" i="23" s="1"/>
  <c r="L43" i="23"/>
  <c r="M302" i="23" s="1"/>
  <c r="F43" i="23"/>
  <c r="F302" i="23" s="1"/>
  <c r="L42" i="23"/>
  <c r="M283" i="23" s="1"/>
  <c r="F42" i="23"/>
  <c r="F283" i="23" s="1"/>
  <c r="L41" i="23"/>
  <c r="M264" i="23" s="1"/>
  <c r="F41" i="23"/>
  <c r="F264" i="23" s="1"/>
  <c r="L40" i="23"/>
  <c r="M245" i="23" s="1"/>
  <c r="F40" i="23"/>
  <c r="F245" i="23" s="1"/>
  <c r="L39" i="23"/>
  <c r="M226" i="23" s="1"/>
  <c r="F39" i="23"/>
  <c r="F226" i="23" s="1"/>
  <c r="L38" i="23"/>
  <c r="M207" i="23" s="1"/>
  <c r="F38" i="23"/>
  <c r="F207" i="23" s="1"/>
  <c r="K37" i="23"/>
  <c r="J37" i="23"/>
  <c r="H35" i="23"/>
  <c r="L33" i="23"/>
  <c r="M320" i="23" s="1"/>
  <c r="F33" i="23"/>
  <c r="F320" i="23" s="1"/>
  <c r="L32" i="23"/>
  <c r="M301" i="23" s="1"/>
  <c r="F32" i="23"/>
  <c r="F301" i="23" s="1"/>
  <c r="L31" i="23"/>
  <c r="M282" i="23" s="1"/>
  <c r="F31" i="23"/>
  <c r="F282" i="23" s="1"/>
  <c r="L30" i="23"/>
  <c r="M263" i="23" s="1"/>
  <c r="F30" i="23"/>
  <c r="F263" i="23" s="1"/>
  <c r="L29" i="23"/>
  <c r="M244" i="23" s="1"/>
  <c r="F29" i="23"/>
  <c r="F244" i="23" s="1"/>
  <c r="L28" i="23"/>
  <c r="M225" i="23" s="1"/>
  <c r="F28" i="23"/>
  <c r="F225" i="23" s="1"/>
  <c r="L27" i="23"/>
  <c r="M206" i="23" s="1"/>
  <c r="F27" i="23"/>
  <c r="F206" i="23" s="1"/>
  <c r="K26" i="23"/>
  <c r="J26" i="23"/>
  <c r="H24" i="23"/>
  <c r="L22" i="23"/>
  <c r="M319" i="23" s="1"/>
  <c r="F22" i="23"/>
  <c r="F319" i="23" s="1"/>
  <c r="L21" i="23"/>
  <c r="M300" i="23" s="1"/>
  <c r="F21" i="23"/>
  <c r="F300" i="23" s="1"/>
  <c r="L20" i="23"/>
  <c r="M280" i="23" s="1"/>
  <c r="F20" i="23"/>
  <c r="F281" i="23" s="1"/>
  <c r="L19" i="23"/>
  <c r="M262" i="23" s="1"/>
  <c r="F19" i="23"/>
  <c r="F262" i="23" s="1"/>
  <c r="L18" i="23"/>
  <c r="M243" i="23" s="1"/>
  <c r="F18" i="23"/>
  <c r="F243" i="23" s="1"/>
  <c r="L17" i="23"/>
  <c r="M224" i="23" s="1"/>
  <c r="F17" i="23"/>
  <c r="F224" i="23" s="1"/>
  <c r="L16" i="23"/>
  <c r="M205" i="23" s="1"/>
  <c r="F16" i="23"/>
  <c r="F205" i="23" s="1"/>
  <c r="K15" i="23"/>
  <c r="J15" i="23"/>
  <c r="H13" i="23"/>
  <c r="L11" i="23"/>
  <c r="M318" i="23" s="1"/>
  <c r="F11" i="23"/>
  <c r="F318" i="23" s="1"/>
  <c r="L10" i="23"/>
  <c r="M299" i="23" s="1"/>
  <c r="F10" i="23"/>
  <c r="F299" i="23" s="1"/>
  <c r="L9" i="23"/>
  <c r="F9" i="23"/>
  <c r="F280" i="23" s="1"/>
  <c r="L8" i="23"/>
  <c r="M261" i="23" s="1"/>
  <c r="F8" i="23"/>
  <c r="F261" i="23" s="1"/>
  <c r="L7" i="23"/>
  <c r="M242" i="23" s="1"/>
  <c r="F7" i="23"/>
  <c r="F242" i="23" s="1"/>
  <c r="L6" i="23"/>
  <c r="F6" i="23"/>
  <c r="F223" i="23" s="1"/>
  <c r="L5" i="23"/>
  <c r="M204" i="23" s="1"/>
  <c r="F5" i="23"/>
  <c r="F204" i="23" s="1"/>
  <c r="K4" i="23"/>
  <c r="J4" i="23"/>
  <c r="H2" i="23"/>
  <c r="C345" i="23" l="1"/>
  <c r="C340" i="23"/>
  <c r="D342" i="23"/>
  <c r="C342" i="23"/>
  <c r="D346" i="23"/>
  <c r="A342" i="23"/>
  <c r="C346" i="23"/>
  <c r="D345" i="23"/>
  <c r="D344" i="23"/>
  <c r="D343" i="23"/>
  <c r="D341" i="23"/>
  <c r="D340" i="23"/>
  <c r="A346" i="23"/>
  <c r="B345" i="23"/>
  <c r="B344" i="23"/>
  <c r="B343" i="23"/>
  <c r="B341" i="23"/>
  <c r="B340" i="23"/>
  <c r="A345" i="23"/>
  <c r="A344" i="23"/>
  <c r="A343" i="23"/>
  <c r="A341" i="23"/>
  <c r="A340" i="23"/>
  <c r="F337" i="23"/>
  <c r="M281" i="23"/>
  <c r="B346" i="23"/>
  <c r="C341" i="23"/>
  <c r="C343" i="23"/>
  <c r="M223" i="23"/>
  <c r="C344" i="23"/>
  <c r="K337" i="23"/>
  <c r="B342" i="23"/>
  <c r="B337" i="23"/>
  <c r="N27" i="2"/>
  <c r="D349" i="23" l="1"/>
  <c r="D351" i="23"/>
  <c r="B339" i="23"/>
  <c r="G339" i="23" s="1"/>
  <c r="G337" i="23"/>
  <c r="L337" i="23" s="1"/>
  <c r="C339" i="23"/>
  <c r="H339" i="23" s="1"/>
  <c r="B351" i="23"/>
  <c r="B349" i="23"/>
  <c r="O342" i="23"/>
  <c r="N358" i="23" s="1"/>
  <c r="F16" i="15" s="1"/>
  <c r="O341" i="23"/>
  <c r="N357" i="23" s="1"/>
  <c r="F15" i="15" s="1"/>
  <c r="H346" i="23"/>
  <c r="I345" i="23"/>
  <c r="I344" i="23"/>
  <c r="I343" i="23"/>
  <c r="I341" i="23"/>
  <c r="I340" i="23"/>
  <c r="G346" i="23"/>
  <c r="H345" i="23"/>
  <c r="H344" i="23"/>
  <c r="H343" i="23"/>
  <c r="H341" i="23"/>
  <c r="H340" i="23"/>
  <c r="F345" i="23"/>
  <c r="F344" i="23"/>
  <c r="F343" i="23"/>
  <c r="F341" i="23"/>
  <c r="F340" i="23"/>
  <c r="I342" i="23"/>
  <c r="G342" i="23"/>
  <c r="I346" i="23"/>
  <c r="F342" i="23"/>
  <c r="G344" i="23"/>
  <c r="G343" i="23"/>
  <c r="G341" i="23"/>
  <c r="F346" i="23"/>
  <c r="G340" i="23"/>
  <c r="G345" i="23"/>
  <c r="H342" i="23"/>
  <c r="F41" i="4"/>
  <c r="G41" i="4"/>
  <c r="G46" i="30" s="1"/>
  <c r="H46" i="31" s="1"/>
  <c r="I351" i="23" l="1"/>
  <c r="G351" i="23"/>
  <c r="G349" i="23"/>
  <c r="I349" i="23"/>
  <c r="C350" i="23"/>
  <c r="M341" i="23" s="1"/>
  <c r="B67" i="4"/>
  <c r="B68" i="15" s="1"/>
  <c r="M357" i="23" l="1"/>
  <c r="E15" i="15" s="1"/>
  <c r="H15" i="2"/>
  <c r="H350" i="23"/>
  <c r="M342" i="23" s="1"/>
  <c r="A10" i="4"/>
  <c r="A9" i="4"/>
  <c r="L345" i="23" l="1"/>
  <c r="M358" i="23"/>
  <c r="E16" i="15" s="1"/>
  <c r="H16" i="2"/>
  <c r="C28" i="15"/>
  <c r="C25" i="15"/>
  <c r="D15" i="4" l="1"/>
  <c r="D15" i="30" s="1"/>
  <c r="L346" i="23"/>
  <c r="B40" i="4"/>
  <c r="B45" i="31" s="1"/>
  <c r="B31" i="4"/>
  <c r="B31" i="31" s="1"/>
  <c r="C27" i="4"/>
  <c r="C26" i="4"/>
  <c r="D16" i="4" l="1"/>
  <c r="D16" i="30" s="1"/>
  <c r="C26" i="15"/>
  <c r="C26" i="30"/>
  <c r="C26" i="31" s="1"/>
  <c r="C27" i="15"/>
  <c r="C27" i="30"/>
  <c r="C27" i="31" s="1"/>
  <c r="M56" i="2" l="1"/>
  <c r="O87" i="6" s="1"/>
  <c r="M57" i="2"/>
  <c r="O88" i="6" s="1"/>
  <c r="O91" i="6"/>
  <c r="O92" i="6"/>
  <c r="O93" i="6"/>
  <c r="O77" i="6"/>
  <c r="O78" i="6"/>
  <c r="O79" i="6"/>
  <c r="O80" i="6"/>
  <c r="O81" i="6"/>
  <c r="O82" i="6"/>
  <c r="O83" i="6"/>
  <c r="S38" i="2"/>
  <c r="T38" i="2" s="1"/>
  <c r="U37" i="2" s="1"/>
  <c r="M28" i="2"/>
  <c r="M27" i="2"/>
  <c r="M26" i="2"/>
  <c r="M25" i="2"/>
  <c r="W83" i="6" l="1"/>
  <c r="Y83" i="6" s="1"/>
  <c r="S83" i="6"/>
  <c r="Q83" i="6"/>
  <c r="W92" i="6"/>
  <c r="Y92" i="6" s="1"/>
  <c r="S92" i="6"/>
  <c r="Q92" i="6"/>
  <c r="S82" i="6"/>
  <c r="W82" i="6"/>
  <c r="Y82" i="6" s="1"/>
  <c r="Q82" i="6"/>
  <c r="S78" i="6"/>
  <c r="W78" i="6"/>
  <c r="Y78" i="6" s="1"/>
  <c r="Q78" i="6"/>
  <c r="W91" i="6"/>
  <c r="Y91" i="6" s="1"/>
  <c r="S91" i="6"/>
  <c r="Q91" i="6"/>
  <c r="S79" i="6"/>
  <c r="W79" i="6"/>
  <c r="Y79" i="6" s="1"/>
  <c r="Q79" i="6"/>
  <c r="W81" i="6"/>
  <c r="Y81" i="6" s="1"/>
  <c r="S81" i="6"/>
  <c r="Q81" i="6"/>
  <c r="W80" i="6"/>
  <c r="Y80" i="6" s="1"/>
  <c r="S80" i="6"/>
  <c r="Q80" i="6"/>
  <c r="S93" i="6"/>
  <c r="W93" i="6"/>
  <c r="Y93" i="6" s="1"/>
  <c r="Q93" i="6"/>
  <c r="W77" i="6"/>
  <c r="Y77" i="6" s="1"/>
  <c r="S77" i="6"/>
  <c r="Q77" i="6"/>
  <c r="S88" i="6"/>
  <c r="W88" i="6"/>
  <c r="Y88" i="6" s="1"/>
  <c r="Q88" i="6"/>
  <c r="W87" i="6"/>
  <c r="Y87" i="6" s="1"/>
  <c r="S87" i="6"/>
  <c r="Q87" i="6"/>
  <c r="A1" i="15"/>
  <c r="B41" i="15" l="1"/>
  <c r="B32" i="15"/>
  <c r="A9" i="15" l="1"/>
  <c r="A10" i="15"/>
  <c r="A11" i="15"/>
  <c r="A12" i="15"/>
  <c r="D7" i="4"/>
  <c r="D7" i="30" s="1"/>
  <c r="A5" i="4" l="1"/>
  <c r="A6" i="4"/>
  <c r="A7" i="4"/>
  <c r="A4" i="4"/>
  <c r="P50" i="3"/>
  <c r="P39" i="3"/>
  <c r="P28" i="3"/>
  <c r="P17" i="3"/>
  <c r="P6" i="3"/>
  <c r="D50" i="3"/>
  <c r="D39" i="3"/>
  <c r="D28" i="3"/>
  <c r="A4" i="15" l="1"/>
  <c r="A4" i="30"/>
  <c r="A4" i="31" s="1"/>
  <c r="A7" i="15"/>
  <c r="A7" i="30"/>
  <c r="A7" i="31" s="1"/>
  <c r="A6" i="15"/>
  <c r="A6" i="30"/>
  <c r="A6" i="31" s="1"/>
  <c r="A5" i="15"/>
  <c r="A5" i="30"/>
  <c r="A5" i="31" s="1"/>
  <c r="S54" i="6"/>
  <c r="S53" i="6"/>
  <c r="S52" i="6"/>
  <c r="S51" i="6"/>
  <c r="S50" i="6"/>
  <c r="S49" i="6"/>
  <c r="S48" i="6"/>
  <c r="S44" i="6"/>
  <c r="S43" i="6"/>
  <c r="S42" i="6"/>
  <c r="S41" i="6"/>
  <c r="R41" i="6"/>
  <c r="S40" i="6"/>
  <c r="R40" i="6"/>
  <c r="S39" i="6"/>
  <c r="L54" i="6"/>
  <c r="L53" i="6"/>
  <c r="L52" i="6"/>
  <c r="L51" i="6"/>
  <c r="L50" i="6"/>
  <c r="L49" i="6"/>
  <c r="L48" i="6"/>
  <c r="L44" i="6"/>
  <c r="L43" i="6"/>
  <c r="L42" i="6"/>
  <c r="L41" i="6"/>
  <c r="K41" i="6"/>
  <c r="L40" i="6"/>
  <c r="K40" i="6"/>
  <c r="L39" i="6"/>
  <c r="S21" i="6"/>
  <c r="S20" i="6"/>
  <c r="S19" i="6"/>
  <c r="S18" i="6"/>
  <c r="S17" i="6"/>
  <c r="S16" i="6"/>
  <c r="S15" i="6"/>
  <c r="S11" i="6"/>
  <c r="S10" i="6"/>
  <c r="S9" i="6"/>
  <c r="S8" i="6"/>
  <c r="S7" i="6"/>
  <c r="S6" i="6"/>
  <c r="L32" i="6"/>
  <c r="E99" i="6" s="1"/>
  <c r="L31" i="6"/>
  <c r="E98" i="6" s="1"/>
  <c r="L30" i="6"/>
  <c r="E97" i="6" s="1"/>
  <c r="L29" i="6"/>
  <c r="E96" i="6" s="1"/>
  <c r="L28" i="6"/>
  <c r="E95" i="6" s="1"/>
  <c r="L27" i="6"/>
  <c r="E94" i="6" s="1"/>
  <c r="L26" i="6"/>
  <c r="E93" i="6" s="1"/>
  <c r="L21" i="6"/>
  <c r="E88" i="6" s="1"/>
  <c r="L20" i="6"/>
  <c r="E87" i="6" s="1"/>
  <c r="L19" i="6"/>
  <c r="E86" i="6" s="1"/>
  <c r="L18" i="6"/>
  <c r="E85" i="6" s="1"/>
  <c r="L17" i="6"/>
  <c r="E84" i="6" s="1"/>
  <c r="L16" i="6"/>
  <c r="E83" i="6" s="1"/>
  <c r="L15" i="6"/>
  <c r="E82" i="6" s="1"/>
  <c r="L11" i="6"/>
  <c r="E78" i="6" s="1"/>
  <c r="L10" i="6"/>
  <c r="E77" i="6" s="1"/>
  <c r="L9" i="6"/>
  <c r="E76" i="6" s="1"/>
  <c r="L8" i="6"/>
  <c r="E75" i="6" s="1"/>
  <c r="K8" i="6"/>
  <c r="D75" i="6" s="1"/>
  <c r="L7" i="6"/>
  <c r="E74" i="6" s="1"/>
  <c r="K7" i="6"/>
  <c r="D74" i="6" s="1"/>
  <c r="L6" i="6"/>
  <c r="E73" i="6" s="1"/>
  <c r="K6" i="6"/>
  <c r="D73" i="6" s="1"/>
  <c r="E16" i="6"/>
  <c r="E17" i="6"/>
  <c r="E18" i="6"/>
  <c r="E19" i="6"/>
  <c r="E20" i="6"/>
  <c r="E21" i="6"/>
  <c r="E15" i="6"/>
  <c r="E7" i="6"/>
  <c r="E8" i="6"/>
  <c r="E9" i="6"/>
  <c r="E10" i="6"/>
  <c r="E11" i="6"/>
  <c r="E6" i="6"/>
  <c r="U89" i="6" l="1"/>
  <c r="U80" i="6"/>
  <c r="U88" i="6"/>
  <c r="U78" i="6"/>
  <c r="U76" i="6"/>
  <c r="U82" i="6"/>
  <c r="U86" i="6"/>
  <c r="U79" i="6"/>
  <c r="U90" i="6"/>
  <c r="U83" i="6"/>
  <c r="U81" i="6"/>
  <c r="U77" i="6"/>
  <c r="U87" i="6"/>
  <c r="U91" i="6"/>
  <c r="U92" i="6"/>
  <c r="D45" i="4"/>
  <c r="D46" i="4"/>
  <c r="D47" i="4"/>
  <c r="D55" i="30"/>
  <c r="E55" i="31" s="1"/>
  <c r="O49" i="2"/>
  <c r="O50" i="2"/>
  <c r="O51" i="2"/>
  <c r="U93" i="6" l="1"/>
  <c r="D39" i="30"/>
  <c r="E39" i="31" s="1"/>
  <c r="D41" i="30"/>
  <c r="E41" i="31" s="1"/>
  <c r="D54" i="30"/>
  <c r="E54" i="31" s="1"/>
  <c r="D40" i="30"/>
  <c r="E40" i="31" s="1"/>
  <c r="D53" i="30"/>
  <c r="E53" i="31" s="1"/>
  <c r="D52" i="30"/>
  <c r="E52" i="31" s="1"/>
  <c r="D51" i="30"/>
  <c r="E51" i="31" s="1"/>
  <c r="D50" i="30"/>
  <c r="E50" i="31" s="1"/>
  <c r="D49" i="30"/>
  <c r="E49" i="31" s="1"/>
  <c r="I25" i="4"/>
  <c r="I25" i="30" l="1"/>
  <c r="J25" i="31" s="1"/>
  <c r="J25" i="15"/>
  <c r="C35" i="15"/>
  <c r="B30" i="15"/>
  <c r="E45" i="15" l="1"/>
  <c r="E46" i="15"/>
  <c r="E47" i="15"/>
  <c r="E48" i="15"/>
  <c r="N47" i="3" l="1"/>
  <c r="N36" i="3"/>
  <c r="N25" i="3"/>
  <c r="N14" i="3"/>
  <c r="N3" i="3"/>
  <c r="B47" i="3"/>
  <c r="B36" i="3"/>
  <c r="B25" i="3"/>
  <c r="B14" i="3"/>
  <c r="B3" i="3"/>
  <c r="Q52" i="3"/>
  <c r="Q50" i="3"/>
  <c r="Q49" i="3"/>
  <c r="Q41" i="3"/>
  <c r="Q39" i="3"/>
  <c r="Q38" i="3"/>
  <c r="Q30" i="3"/>
  <c r="Q28" i="3"/>
  <c r="Q27" i="3"/>
  <c r="E52" i="3"/>
  <c r="E50" i="3"/>
  <c r="G50" i="3" s="1"/>
  <c r="I50" i="3" s="1"/>
  <c r="E49" i="3"/>
  <c r="E41" i="3"/>
  <c r="E39" i="3"/>
  <c r="E38" i="3"/>
  <c r="E30" i="3"/>
  <c r="E28" i="3"/>
  <c r="E27" i="3"/>
  <c r="Q19" i="3"/>
  <c r="Q17" i="3"/>
  <c r="Q16" i="3"/>
  <c r="E19" i="3"/>
  <c r="E17" i="3"/>
  <c r="E16" i="3"/>
  <c r="Q8" i="3"/>
  <c r="Q6" i="3"/>
  <c r="Q5" i="3"/>
  <c r="E5" i="3"/>
  <c r="E6" i="3"/>
  <c r="E8" i="3"/>
  <c r="N49" i="2" l="1"/>
  <c r="E39" i="30" s="1"/>
  <c r="F39" i="31" s="1"/>
  <c r="N50" i="2"/>
  <c r="E40" i="30" s="1"/>
  <c r="F40" i="31" s="1"/>
  <c r="N51" i="2"/>
  <c r="E41" i="30" s="1"/>
  <c r="F41" i="31" s="1"/>
  <c r="K34" i="2"/>
  <c r="G17" i="3"/>
  <c r="I17" i="3" s="1"/>
  <c r="K17" i="3" s="1"/>
  <c r="G28" i="3"/>
  <c r="I28" i="3" s="1"/>
  <c r="J28" i="3" s="1"/>
  <c r="S39" i="3"/>
  <c r="U39" i="3" s="1"/>
  <c r="W39" i="3" s="1"/>
  <c r="S6" i="3"/>
  <c r="U6" i="3" s="1"/>
  <c r="S17" i="3"/>
  <c r="U17" i="3" s="1"/>
  <c r="W17" i="3" s="1"/>
  <c r="G39" i="3"/>
  <c r="I39" i="3" s="1"/>
  <c r="J39" i="3" s="1"/>
  <c r="S28" i="3"/>
  <c r="U28" i="3" s="1"/>
  <c r="W28" i="3" s="1"/>
  <c r="S50" i="3"/>
  <c r="U50" i="3" s="1"/>
  <c r="V50" i="3" s="1"/>
  <c r="J50" i="3"/>
  <c r="K50" i="3"/>
  <c r="F54" i="30" l="1"/>
  <c r="G54" i="31" s="1"/>
  <c r="F53" i="30"/>
  <c r="G53" i="31" s="1"/>
  <c r="E55" i="30"/>
  <c r="F55" i="31" s="1"/>
  <c r="F55" i="30"/>
  <c r="G55" i="31" s="1"/>
  <c r="J17" i="3"/>
  <c r="G39" i="2"/>
  <c r="K28" i="3"/>
  <c r="K39" i="3"/>
  <c r="V6" i="3"/>
  <c r="W6" i="3"/>
  <c r="V17" i="3"/>
  <c r="V28" i="3"/>
  <c r="V39" i="3"/>
  <c r="W50" i="3"/>
  <c r="F40" i="30" l="1"/>
  <c r="G40" i="31" s="1"/>
  <c r="F41" i="30"/>
  <c r="G41" i="31" s="1"/>
  <c r="E53" i="30"/>
  <c r="F53" i="31" s="1"/>
  <c r="F39" i="30"/>
  <c r="G39" i="31" s="1"/>
  <c r="E54" i="30"/>
  <c r="F54" i="31" s="1"/>
  <c r="P49" i="3" l="1"/>
  <c r="S49" i="3" s="1"/>
  <c r="U49" i="3" s="1"/>
  <c r="P38" i="3"/>
  <c r="S38" i="3" s="1"/>
  <c r="U38" i="3" s="1"/>
  <c r="P27" i="3"/>
  <c r="S27" i="3" s="1"/>
  <c r="U27" i="3" s="1"/>
  <c r="P16" i="3"/>
  <c r="S16" i="3" s="1"/>
  <c r="U16" i="3" s="1"/>
  <c r="P5" i="3"/>
  <c r="S5" i="3" s="1"/>
  <c r="U5" i="3" s="1"/>
  <c r="V5" i="3" l="1"/>
  <c r="W5" i="3"/>
  <c r="V16" i="3"/>
  <c r="W16" i="3"/>
  <c r="W27" i="3"/>
  <c r="V27" i="3"/>
  <c r="V38" i="3"/>
  <c r="W38" i="3"/>
  <c r="V49" i="3"/>
  <c r="W49" i="3"/>
  <c r="N59" i="2" l="1"/>
  <c r="N57" i="2"/>
  <c r="N58" i="2"/>
  <c r="N56" i="2"/>
  <c r="P51" i="3"/>
  <c r="E47" i="4" l="1"/>
  <c r="F48" i="15" s="1"/>
  <c r="G48" i="15" s="1"/>
  <c r="F52" i="30"/>
  <c r="G52" i="31" s="1"/>
  <c r="E46" i="4"/>
  <c r="F47" i="15" s="1"/>
  <c r="G47" i="15" s="1"/>
  <c r="F51" i="30"/>
  <c r="G51" i="31" s="1"/>
  <c r="E45" i="4"/>
  <c r="F50" i="30"/>
  <c r="G50" i="31" s="1"/>
  <c r="E44" i="4"/>
  <c r="F45" i="15" s="1"/>
  <c r="G45" i="15" s="1"/>
  <c r="F49" i="30"/>
  <c r="G49" i="31" s="1"/>
  <c r="N55" i="2"/>
  <c r="P29" i="3"/>
  <c r="P7" i="3"/>
  <c r="P18" i="3"/>
  <c r="P40" i="3"/>
  <c r="B51" i="4"/>
  <c r="B59" i="30" s="1"/>
  <c r="B52" i="4"/>
  <c r="B53" i="4"/>
  <c r="B54" i="4"/>
  <c r="D36" i="4"/>
  <c r="D37" i="4"/>
  <c r="D38" i="4"/>
  <c r="C34" i="4"/>
  <c r="C34" i="30" s="1"/>
  <c r="C34" i="31" s="1"/>
  <c r="B55" i="15" l="1"/>
  <c r="B60" i="31"/>
  <c r="B54" i="15"/>
  <c r="B53" i="15"/>
  <c r="B52" i="15"/>
  <c r="B59" i="31"/>
  <c r="F47" i="4"/>
  <c r="H48" i="15" s="1"/>
  <c r="E52" i="30"/>
  <c r="F52" i="31" s="1"/>
  <c r="F46" i="4"/>
  <c r="H47" i="15" s="1"/>
  <c r="E51" i="30"/>
  <c r="F51" i="31" s="1"/>
  <c r="F45" i="4"/>
  <c r="H46" i="15" s="1"/>
  <c r="E50" i="30"/>
  <c r="F50" i="31" s="1"/>
  <c r="F44" i="4"/>
  <c r="H45" i="15" s="1"/>
  <c r="E49" i="30"/>
  <c r="F49" i="31" s="1"/>
  <c r="E43" i="4"/>
  <c r="F44" i="15" s="1"/>
  <c r="F48" i="30"/>
  <c r="G48" i="31" s="1"/>
  <c r="E44" i="15"/>
  <c r="D48" i="30"/>
  <c r="E48" i="31" s="1"/>
  <c r="E39" i="15"/>
  <c r="D38" i="30"/>
  <c r="E38" i="31" s="1"/>
  <c r="E38" i="15"/>
  <c r="D37" i="30"/>
  <c r="E37" i="31" s="1"/>
  <c r="E37" i="15"/>
  <c r="D36" i="30"/>
  <c r="E36" i="31" s="1"/>
  <c r="E36" i="15"/>
  <c r="D35" i="30"/>
  <c r="E35" i="31" s="1"/>
  <c r="E35" i="15"/>
  <c r="D34" i="30"/>
  <c r="E34" i="31" s="1"/>
  <c r="F46" i="15"/>
  <c r="G46" i="15" s="1"/>
  <c r="N22" i="4"/>
  <c r="J28" i="4"/>
  <c r="J25" i="4"/>
  <c r="J25" i="30" l="1"/>
  <c r="K25" i="31" s="1"/>
  <c r="K25" i="15"/>
  <c r="N25" i="4"/>
  <c r="K28" i="15"/>
  <c r="N28" i="4"/>
  <c r="J28" i="30"/>
  <c r="K28" i="31" s="1"/>
  <c r="G44" i="15"/>
  <c r="E48" i="30"/>
  <c r="F48" i="31" s="1"/>
  <c r="F43" i="4"/>
  <c r="H44" i="15" s="1"/>
  <c r="S51" i="3" l="1"/>
  <c r="U51" i="3" s="1"/>
  <c r="S40" i="3"/>
  <c r="U40" i="3" s="1"/>
  <c r="S29" i="3"/>
  <c r="U29" i="3" s="1"/>
  <c r="S18" i="3"/>
  <c r="U18" i="3" s="1"/>
  <c r="S7" i="3"/>
  <c r="U7" i="3" s="1"/>
  <c r="P8" i="3" l="1"/>
  <c r="S8" i="3" s="1"/>
  <c r="U8" i="3" s="1"/>
  <c r="W40" i="3"/>
  <c r="V40" i="3"/>
  <c r="W7" i="3"/>
  <c r="V7" i="3"/>
  <c r="W18" i="3"/>
  <c r="V18" i="3"/>
  <c r="W29" i="3"/>
  <c r="V29" i="3"/>
  <c r="W51" i="3"/>
  <c r="V51" i="3"/>
  <c r="D49" i="3"/>
  <c r="G49" i="3" s="1"/>
  <c r="I49" i="3" s="1"/>
  <c r="D38" i="3"/>
  <c r="G38" i="3" s="1"/>
  <c r="I38" i="3" s="1"/>
  <c r="D27" i="3"/>
  <c r="G27" i="3" s="1"/>
  <c r="I27" i="3" s="1"/>
  <c r="D16" i="3"/>
  <c r="G16" i="3" s="1"/>
  <c r="I16" i="3" s="1"/>
  <c r="D5" i="3"/>
  <c r="P19" i="3" l="1"/>
  <c r="S19" i="3" s="1"/>
  <c r="U19" i="3" s="1"/>
  <c r="W19" i="3" s="1"/>
  <c r="W20" i="3" s="1"/>
  <c r="P30" i="3"/>
  <c r="S30" i="3" s="1"/>
  <c r="U30" i="3" s="1"/>
  <c r="V30" i="3" s="1"/>
  <c r="V31" i="3" s="1"/>
  <c r="V32" i="3" s="1"/>
  <c r="P41" i="3"/>
  <c r="S41" i="3" s="1"/>
  <c r="U41" i="3" s="1"/>
  <c r="V41" i="3" s="1"/>
  <c r="V42" i="3" s="1"/>
  <c r="V43" i="3" s="1"/>
  <c r="P52" i="3"/>
  <c r="S52" i="3" s="1"/>
  <c r="U52" i="3" s="1"/>
  <c r="W52" i="3" s="1"/>
  <c r="W53" i="3" s="1"/>
  <c r="K16" i="3"/>
  <c r="J16" i="3"/>
  <c r="J27" i="3"/>
  <c r="K27" i="3"/>
  <c r="K38" i="3"/>
  <c r="J38" i="3"/>
  <c r="K49" i="3"/>
  <c r="J49" i="3"/>
  <c r="W8" i="3"/>
  <c r="W9" i="3" s="1"/>
  <c r="V8" i="3"/>
  <c r="V9" i="3" s="1"/>
  <c r="V10" i="3" s="1"/>
  <c r="J27" i="4"/>
  <c r="D21" i="4"/>
  <c r="D20" i="4"/>
  <c r="D5" i="4"/>
  <c r="D9" i="4"/>
  <c r="D10" i="4"/>
  <c r="D11" i="4"/>
  <c r="D12" i="4"/>
  <c r="K27" i="15" l="1"/>
  <c r="J27" i="30"/>
  <c r="K27" i="31" s="1"/>
  <c r="D9" i="30"/>
  <c r="D12" i="30"/>
  <c r="D21" i="30"/>
  <c r="D5" i="30"/>
  <c r="D4" i="30"/>
  <c r="D11" i="30"/>
  <c r="D10" i="30"/>
  <c r="D20" i="30"/>
  <c r="W30" i="3"/>
  <c r="W31" i="3" s="1"/>
  <c r="V33" i="3" s="1"/>
  <c r="V34" i="3" s="1"/>
  <c r="V35" i="3" s="1"/>
  <c r="I45" i="4" s="1"/>
  <c r="V19" i="3"/>
  <c r="V20" i="3" s="1"/>
  <c r="V21" i="3" s="1"/>
  <c r="V22" i="3" s="1"/>
  <c r="V23" i="3" s="1"/>
  <c r="V24" i="3" s="1"/>
  <c r="I44" i="4" s="1"/>
  <c r="W41" i="3"/>
  <c r="W42" i="3" s="1"/>
  <c r="V44" i="3" s="1"/>
  <c r="V45" i="3" s="1"/>
  <c r="V46" i="3" s="1"/>
  <c r="I46" i="4" s="1"/>
  <c r="V52" i="3"/>
  <c r="V53" i="3" s="1"/>
  <c r="V54" i="3" s="1"/>
  <c r="V55" i="3" s="1"/>
  <c r="V56" i="3" s="1"/>
  <c r="V57" i="3" s="1"/>
  <c r="I47" i="4" s="1"/>
  <c r="I28" i="15"/>
  <c r="I27" i="15"/>
  <c r="N47" i="2"/>
  <c r="N45" i="2"/>
  <c r="N46" i="2"/>
  <c r="V11" i="3"/>
  <c r="V12" i="3" s="1"/>
  <c r="V13" i="3" s="1"/>
  <c r="E36" i="4" l="1"/>
  <c r="F37" i="15" s="1"/>
  <c r="F36" i="30"/>
  <c r="G36" i="31" s="1"/>
  <c r="E37" i="4"/>
  <c r="F37" i="30"/>
  <c r="G37" i="31" s="1"/>
  <c r="E35" i="4"/>
  <c r="F35" i="30"/>
  <c r="G35" i="31" s="1"/>
  <c r="I49" i="30"/>
  <c r="J49" i="31" s="1"/>
  <c r="I53" i="30"/>
  <c r="J53" i="31" s="1"/>
  <c r="I50" i="30"/>
  <c r="J50" i="31" s="1"/>
  <c r="I51" i="30"/>
  <c r="J51" i="31" s="1"/>
  <c r="I52" i="30"/>
  <c r="J52" i="31" s="1"/>
  <c r="I43" i="4"/>
  <c r="H43" i="4" s="1"/>
  <c r="I48" i="30"/>
  <c r="J48" i="31" s="1"/>
  <c r="H46" i="4"/>
  <c r="L47" i="15"/>
  <c r="H44" i="4"/>
  <c r="L45" i="15"/>
  <c r="H45" i="4"/>
  <c r="L46" i="15"/>
  <c r="H47" i="4"/>
  <c r="L48" i="15"/>
  <c r="I54" i="30"/>
  <c r="J54" i="31" s="1"/>
  <c r="I41" i="30"/>
  <c r="J41" i="31" s="1"/>
  <c r="I55" i="30"/>
  <c r="J55" i="31" s="1"/>
  <c r="I40" i="30"/>
  <c r="J40" i="31" s="1"/>
  <c r="N48" i="2"/>
  <c r="D52" i="3"/>
  <c r="G52" i="3" s="1"/>
  <c r="I52" i="3" s="1"/>
  <c r="J52" i="3" s="1"/>
  <c r="D41" i="3"/>
  <c r="G41" i="3" s="1"/>
  <c r="I41" i="3" s="1"/>
  <c r="D19" i="3"/>
  <c r="G19" i="3" s="1"/>
  <c r="I19" i="3" s="1"/>
  <c r="D30" i="3"/>
  <c r="G30" i="3" s="1"/>
  <c r="I30" i="3" s="1"/>
  <c r="F34" i="30"/>
  <c r="F36" i="15" l="1"/>
  <c r="G36" i="15" s="1"/>
  <c r="H52" i="30"/>
  <c r="I52" i="31" s="1"/>
  <c r="K48" i="15"/>
  <c r="H51" i="30"/>
  <c r="I51" i="31" s="1"/>
  <c r="K47" i="15"/>
  <c r="H50" i="30"/>
  <c r="I50" i="31" s="1"/>
  <c r="K46" i="15"/>
  <c r="H49" i="30"/>
  <c r="I49" i="31" s="1"/>
  <c r="K45" i="15"/>
  <c r="H48" i="30"/>
  <c r="I48" i="31" s="1"/>
  <c r="K44" i="15"/>
  <c r="G34" i="31"/>
  <c r="E34" i="4"/>
  <c r="F37" i="4"/>
  <c r="H38" i="15" s="1"/>
  <c r="E37" i="30"/>
  <c r="F37" i="31" s="1"/>
  <c r="E38" i="4"/>
  <c r="F38" i="30"/>
  <c r="G38" i="31" s="1"/>
  <c r="F35" i="4"/>
  <c r="H36" i="15" s="1"/>
  <c r="E35" i="30"/>
  <c r="F35" i="31" s="1"/>
  <c r="F36" i="4"/>
  <c r="H37" i="15" s="1"/>
  <c r="E36" i="30"/>
  <c r="F36" i="31" s="1"/>
  <c r="H41" i="30"/>
  <c r="I41" i="31" s="1"/>
  <c r="H40" i="30"/>
  <c r="I40" i="31" s="1"/>
  <c r="H54" i="30"/>
  <c r="I54" i="31" s="1"/>
  <c r="H55" i="30"/>
  <c r="I55" i="31" s="1"/>
  <c r="G37" i="15"/>
  <c r="K47" i="4"/>
  <c r="O47" i="4" s="1"/>
  <c r="K44" i="4"/>
  <c r="O44" i="4" s="1"/>
  <c r="L44" i="15"/>
  <c r="K43" i="4"/>
  <c r="O43" i="4" s="1"/>
  <c r="F38" i="15"/>
  <c r="G38" i="15" s="1"/>
  <c r="K45" i="4"/>
  <c r="O45" i="4" s="1"/>
  <c r="K46" i="4"/>
  <c r="O46" i="4" s="1"/>
  <c r="D51" i="3"/>
  <c r="G51" i="3" s="1"/>
  <c r="I51" i="3" s="1"/>
  <c r="K51" i="3" s="1"/>
  <c r="D18" i="3"/>
  <c r="G18" i="3" s="1"/>
  <c r="I18" i="3" s="1"/>
  <c r="D40" i="3"/>
  <c r="G40" i="3" s="1"/>
  <c r="I40" i="3" s="1"/>
  <c r="D29" i="3"/>
  <c r="G29" i="3" s="1"/>
  <c r="I29" i="3" s="1"/>
  <c r="K29" i="3" s="1"/>
  <c r="K52" i="3"/>
  <c r="K30" i="3"/>
  <c r="J30" i="3"/>
  <c r="K19" i="3"/>
  <c r="J19" i="3"/>
  <c r="K41" i="3"/>
  <c r="J41" i="3"/>
  <c r="F34" i="4" l="1"/>
  <c r="H35" i="15" s="1"/>
  <c r="F35" i="15"/>
  <c r="G35" i="15" s="1"/>
  <c r="N43" i="4"/>
  <c r="N40" i="4" s="1"/>
  <c r="F38" i="4"/>
  <c r="E38" i="30"/>
  <c r="F38" i="31" s="1"/>
  <c r="F39" i="15"/>
  <c r="G39" i="15" s="1"/>
  <c r="E34" i="30"/>
  <c r="K18" i="3"/>
  <c r="K20" i="3" s="1"/>
  <c r="J18" i="3"/>
  <c r="J20" i="3" s="1"/>
  <c r="J21" i="3" s="1"/>
  <c r="K53" i="3"/>
  <c r="J29" i="3"/>
  <c r="J31" i="3" s="1"/>
  <c r="J32" i="3" s="1"/>
  <c r="J51" i="3"/>
  <c r="J53" i="3" s="1"/>
  <c r="J54" i="3" s="1"/>
  <c r="K40" i="3"/>
  <c r="K42" i="3" s="1"/>
  <c r="J40" i="3"/>
  <c r="J42" i="3" s="1"/>
  <c r="J43" i="3" s="1"/>
  <c r="K31" i="3"/>
  <c r="H124" i="4"/>
  <c r="H39" i="15" l="1"/>
  <c r="K55" i="30"/>
  <c r="F34" i="31"/>
  <c r="J54" i="30"/>
  <c r="K54" i="30"/>
  <c r="H53" i="30"/>
  <c r="I53" i="31" s="1"/>
  <c r="J55" i="3"/>
  <c r="J56" i="3" s="1"/>
  <c r="J57" i="3" s="1"/>
  <c r="I38" i="4" s="1"/>
  <c r="K38" i="4" s="1"/>
  <c r="J22" i="3"/>
  <c r="J23" i="3" s="1"/>
  <c r="J44" i="3"/>
  <c r="J45" i="3" s="1"/>
  <c r="J46" i="3" s="1"/>
  <c r="I37" i="4" s="1"/>
  <c r="K37" i="4" s="1"/>
  <c r="J33" i="3"/>
  <c r="J34" i="3" s="1"/>
  <c r="J35" i="3" s="1"/>
  <c r="I36" i="4" s="1"/>
  <c r="K36" i="4" s="1"/>
  <c r="J24" i="3" l="1"/>
  <c r="I35" i="4" s="1"/>
  <c r="J55" i="30"/>
  <c r="I39" i="30"/>
  <c r="J39" i="31" s="1"/>
  <c r="H38" i="4"/>
  <c r="L39" i="15"/>
  <c r="H39" i="30"/>
  <c r="I39" i="31" s="1"/>
  <c r="H37" i="4"/>
  <c r="L38" i="15"/>
  <c r="H36" i="4"/>
  <c r="L37" i="15"/>
  <c r="L36" i="15" l="1"/>
  <c r="H35" i="4"/>
  <c r="K36" i="15" s="1"/>
  <c r="K35" i="4"/>
  <c r="O35" i="4" s="1"/>
  <c r="H38" i="30"/>
  <c r="I38" i="31" s="1"/>
  <c r="K39" i="15"/>
  <c r="H37" i="30"/>
  <c r="I37" i="31" s="1"/>
  <c r="K38" i="15"/>
  <c r="H36" i="30"/>
  <c r="I36" i="31" s="1"/>
  <c r="K37" i="15"/>
  <c r="O36" i="4"/>
  <c r="O37" i="4"/>
  <c r="O38" i="4"/>
  <c r="B30" i="4"/>
  <c r="B30" i="30" s="1"/>
  <c r="B30" i="31" s="1"/>
  <c r="H35" i="30" l="1"/>
  <c r="I35" i="31" s="1"/>
  <c r="B50" i="4"/>
  <c r="B58" i="30" s="1"/>
  <c r="B62" i="15"/>
  <c r="B68" i="4"/>
  <c r="B51" i="15" l="1"/>
  <c r="B58" i="31"/>
  <c r="B69" i="15"/>
  <c r="B74" i="30"/>
  <c r="B74" i="31" s="1"/>
  <c r="D124" i="4"/>
  <c r="G6" i="3"/>
  <c r="I6" i="3" s="1"/>
  <c r="J6" i="3" s="1"/>
  <c r="K6" i="3" l="1"/>
  <c r="I25" i="15" l="1"/>
  <c r="I26" i="15" l="1"/>
  <c r="G5" i="3"/>
  <c r="I5" i="3" s="1"/>
  <c r="J5" i="3" l="1"/>
  <c r="K5" i="3"/>
  <c r="D8" i="3" l="1"/>
  <c r="G8" i="3" s="1"/>
  <c r="I8" i="3" s="1"/>
  <c r="G7" i="3"/>
  <c r="I7" i="3" s="1"/>
  <c r="K8" i="3" l="1"/>
  <c r="J8" i="3"/>
  <c r="J7" i="3"/>
  <c r="K7" i="3"/>
  <c r="J9" i="3" l="1"/>
  <c r="J10" i="3" s="1"/>
  <c r="K9" i="3"/>
  <c r="J11" i="3" l="1"/>
  <c r="J12" i="3" s="1"/>
  <c r="J13" i="3" s="1"/>
  <c r="I34" i="4" s="1"/>
  <c r="I35" i="30" l="1"/>
  <c r="J35" i="31" s="1"/>
  <c r="I36" i="30"/>
  <c r="J36" i="31" s="1"/>
  <c r="I37" i="30"/>
  <c r="J37" i="31" s="1"/>
  <c r="I38" i="30"/>
  <c r="J38" i="31" s="1"/>
  <c r="I34" i="30"/>
  <c r="J34" i="31" s="1"/>
  <c r="K34" i="4" l="1"/>
  <c r="O34" i="4" s="1"/>
  <c r="N34" i="4" s="1"/>
  <c r="N39" i="4" s="1"/>
  <c r="N41" i="4" s="1"/>
  <c r="N42" i="4" s="1"/>
  <c r="L35" i="15"/>
  <c r="H34" i="4"/>
  <c r="K35" i="2"/>
  <c r="H34" i="30" l="1"/>
  <c r="I34" i="31" s="1"/>
  <c r="K35" i="15"/>
  <c r="J26" i="4" l="1"/>
  <c r="P26" i="4"/>
  <c r="W20" i="4" s="1"/>
  <c r="J26" i="30" l="1"/>
  <c r="K26" i="31" s="1"/>
  <c r="K26" i="15"/>
  <c r="N26" i="4"/>
  <c r="P22" i="4"/>
  <c r="Q22" i="4"/>
  <c r="N27" i="4" l="1"/>
  <c r="N29" i="4" s="1"/>
  <c r="B57" i="4"/>
  <c r="B63" i="30" s="1"/>
  <c r="B63" i="31" s="1"/>
  <c r="B70" i="2"/>
  <c r="R21" i="2" s="1"/>
  <c r="J118" i="4" l="1"/>
  <c r="B58" i="15"/>
  <c r="H2" i="2" l="1"/>
  <c r="R24" i="2" s="1"/>
  <c r="H1" i="34"/>
  <c r="B79" i="2" l="1"/>
  <c r="R23" i="2" s="1"/>
  <c r="A2" i="4"/>
  <c r="A2" i="15" s="1"/>
  <c r="B70" i="31"/>
  <c r="A2" i="31"/>
  <c r="B64" i="4" l="1"/>
  <c r="B6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CF290B48-1D80-4C52-A438-6451A26B6AD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8.1</author>
    <author>ASUS E402WA</author>
  </authors>
  <commentList>
    <comment ref="L2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Baris warna hijau bisa dipilih</t>
        </r>
      </text>
    </comment>
    <comment ref="L27" authorId="1" shapeId="0" xr:uid="{00000000-0006-0000-04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8" authorId="1" shapeId="0" xr:uid="{00000000-0006-0000-0400-000005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0" authorId="1" shapeId="0" xr:uid="{00000000-0006-0000-0400-000006000000}">
      <text>
        <r>
          <rPr>
            <sz val="9"/>
            <color indexed="81"/>
            <rFont val="Tahoma"/>
            <family val="2"/>
          </rPr>
          <t xml:space="preserve">pilih salah satu tapi jangan di delete, hide pada lhk bila terdapat ground
</t>
        </r>
      </text>
    </comment>
  </commentList>
</comments>
</file>

<file path=xl/sharedStrings.xml><?xml version="1.0" encoding="utf-8"?>
<sst xmlns="http://schemas.openxmlformats.org/spreadsheetml/2006/main" count="1695" uniqueCount="423">
  <si>
    <t>No.</t>
  </si>
  <si>
    <t>Tanggal</t>
  </si>
  <si>
    <t>Revisi</t>
  </si>
  <si>
    <t>Oleh</t>
  </si>
  <si>
    <t>Awal</t>
  </si>
  <si>
    <t>Akhir</t>
  </si>
  <si>
    <t>Update Kelistriksan</t>
  </si>
  <si>
    <t>Sudah</t>
  </si>
  <si>
    <t>Iqbal</t>
  </si>
  <si>
    <t>Update Kelistikan dan Load</t>
  </si>
  <si>
    <t>2.3.2022</t>
  </si>
  <si>
    <t>Penambahan penyelia dan LHU pengujian</t>
  </si>
  <si>
    <t>Done</t>
  </si>
  <si>
    <t>9.3.2022</t>
  </si>
  <si>
    <t>Perbaikan Kelistrikan</t>
  </si>
  <si>
    <t>Hary</t>
  </si>
  <si>
    <t>Perbaikan rumus scoring C+U</t>
  </si>
  <si>
    <t>Rev 5 : 12.3.2022</t>
  </si>
  <si>
    <t>LEMBAR KERJA KALIBRASI / PENGUJIAN ELECTROSURGERY UNIT</t>
  </si>
  <si>
    <t xml:space="preserve">Nomor Sertifikat / No. Surat Keterangan : 22 /         /            -         / E -             </t>
  </si>
  <si>
    <t>Merek</t>
  </si>
  <si>
    <t>:</t>
  </si>
  <si>
    <t>................................................................</t>
  </si>
  <si>
    <t>Model/Type</t>
  </si>
  <si>
    <t>No. Seri</t>
  </si>
  <si>
    <t>Tanggal Penerimaan Alat</t>
  </si>
  <si>
    <t>Tanggal Kalibrasi</t>
  </si>
  <si>
    <t>Nama Ruang</t>
  </si>
  <si>
    <t>Tempat Kalibrasi</t>
  </si>
  <si>
    <t>Metode Kerja</t>
  </si>
  <si>
    <t>KL.MK - 06</t>
  </si>
  <si>
    <t xml:space="preserve">I.     </t>
  </si>
  <si>
    <t>Kondisi Ruang</t>
  </si>
  <si>
    <t>AWAL</t>
  </si>
  <si>
    <t>AKHIR</t>
  </si>
  <si>
    <t xml:space="preserve">1. Suhu </t>
  </si>
  <si>
    <t>°C</t>
  </si>
  <si>
    <t>2. Kelembaban Relatif</t>
  </si>
  <si>
    <t>%</t>
  </si>
  <si>
    <t>3. Tegangan Jala-jala</t>
  </si>
  <si>
    <t>V</t>
  </si>
  <si>
    <t xml:space="preserve">II.     </t>
  </si>
  <si>
    <t>Pemeriksaan Kondisi Fisik dan Fungsi komponen alat</t>
  </si>
  <si>
    <t>1. Fisik</t>
  </si>
  <si>
    <t>Baik / Tidak Baik</t>
  </si>
  <si>
    <t>(Pilih salah satu dan coret yang tidak perlu)</t>
  </si>
  <si>
    <t>2. Fungsi</t>
  </si>
  <si>
    <t>III.</t>
  </si>
  <si>
    <t xml:space="preserve">Hasil Pengukuran Keselamatan Listrik </t>
  </si>
  <si>
    <t>No</t>
  </si>
  <si>
    <t>Parameter</t>
  </si>
  <si>
    <t>Hasil Ukur</t>
  </si>
  <si>
    <t xml:space="preserve"> Ambang Batas yang Diijinkan</t>
  </si>
  <si>
    <t>Resistansi Isolasi</t>
  </si>
  <si>
    <t>MΩ</t>
  </si>
  <si>
    <t>&gt; 2</t>
  </si>
  <si>
    <t>Resistansi Pembumian Protektif (kabel dapat dilepas)*</t>
  </si>
  <si>
    <t>Ω</t>
  </si>
  <si>
    <t>≤ 0.2</t>
  </si>
  <si>
    <t>Resistansi Pembumian Protektif (kabel tidak dapat dilepas)*</t>
  </si>
  <si>
    <t>≤ 0.3</t>
  </si>
  <si>
    <t>Arus bocor peralatan untuk peralatan elektromedik kelas I**</t>
  </si>
  <si>
    <t>µA</t>
  </si>
  <si>
    <t>≤ 500</t>
  </si>
  <si>
    <t>Arus bocor peralatan untuk peralatan elektromedik kelas II**</t>
  </si>
  <si>
    <t>≤ 100</t>
  </si>
  <si>
    <t>Arus bocor peralatan yang diaplikasikan</t>
  </si>
  <si>
    <t>≤ 50</t>
  </si>
  <si>
    <t>*</t>
  </si>
  <si>
    <t>pilih salah satu</t>
  </si>
  <si>
    <t>**</t>
  </si>
  <si>
    <t>IV.</t>
  </si>
  <si>
    <t>Hasil Pengukuran Kinerja Electrosurgery Unit</t>
  </si>
  <si>
    <t>Setting</t>
  </si>
  <si>
    <t>Pembacaan Standar</t>
  </si>
  <si>
    <t>Toleransi</t>
  </si>
  <si>
    <t>Pada</t>
  </si>
  <si>
    <t>I</t>
  </si>
  <si>
    <t>II</t>
  </si>
  <si>
    <t>III</t>
  </si>
  <si>
    <t>IV</t>
  </si>
  <si>
    <t>Alat</t>
  </si>
  <si>
    <t>Energy    Cutting (Watt)</t>
  </si>
  <si>
    <t>20%</t>
  </si>
  <si>
    <t>Energy  Coagulasi (Watt)</t>
  </si>
  <si>
    <t>V.</t>
  </si>
  <si>
    <t>Keterangan :</t>
  </si>
  <si>
    <t>1. Load Cut ……………Ω, Coag…………Ω</t>
  </si>
  <si>
    <t>2. ..............................................................................................</t>
  </si>
  <si>
    <t>VI.</t>
  </si>
  <si>
    <t xml:space="preserve">Alat Yang Digunakan </t>
  </si>
  <si>
    <t>□  1. Electrosurgical Analyzer, Merek : Fluke, Model : QA-ESII (201027) / (201033) QA-ESIII (440245) / ( 4639004)</t>
  </si>
  <si>
    <t>□  1. Electrosurgical Analyzer, Merek : Rigel, Model : Uni-Therm (40L-0755)</t>
  </si>
  <si>
    <t>□  1. Electrosurgical Analyzer, Merek : SPL, Model : HF-400 (1549HF400)</t>
  </si>
  <si>
    <t>□  2. Electical Safety Analyzer, Merek : Fluke, Model : ESA 620 (1837056) / (1834020)</t>
  </si>
  <si>
    <t>□  2. Electical Safety Analyzer, Merek : Fluke, Model : ESA 615 (2853077)/(2853078)/(3148907)/(3148908)</t>
  </si>
  <si>
    <t xml:space="preserve">        /(3699030)/(4670010)/(4669058)</t>
  </si>
  <si>
    <t>□  2. Thermohygrometer, Merek : KIMO, KH-210-AO (14082463) / (15062872) / (15062874) / (15062875)</t>
  </si>
  <si>
    <t>□  2. Thermohygrometer, Merek : SEKONIC, ST-50A (HE 21-000669) / (HE 21-000670)</t>
  </si>
  <si>
    <t>□  2. Thermohygrobarometer, Merek : GHM - GREISINGER, Model : GFTB.200 (34903051) / (34903053) / (34903046)</t>
  </si>
  <si>
    <t xml:space="preserve">□  2. Thermohygrobarometer, Merek : Extech, Model : SD700 (A. 100609) / (A. 100611) / (A. 100605) / (A. 100615) </t>
  </si>
  <si>
    <t>/ (A. 100586) / (A. 100617) / (A. 100618) / (A. 100616) / (A. 100616)</t>
  </si>
  <si>
    <t>VII.</t>
  </si>
  <si>
    <t>Petugas Kalibrasi</t>
  </si>
  <si>
    <t xml:space="preserve"> ……………………..</t>
  </si>
  <si>
    <t>INPUT DATA KALIBRASI ELEKTROSURGERY UNIT</t>
  </si>
  <si>
    <t>2 / I - 22 / E - 002.3 DL</t>
  </si>
  <si>
    <t>INPUT DATA PENGUJIAN ELEKTROSURGERY UNIT</t>
  </si>
  <si>
    <t xml:space="preserve"> </t>
  </si>
  <si>
    <t>ZERONE</t>
  </si>
  <si>
    <t>DOCTANZ 400</t>
  </si>
  <si>
    <t>ZA0A13O3010</t>
  </si>
  <si>
    <t>Resolusi</t>
  </si>
  <si>
    <t>W</t>
  </si>
  <si>
    <t>12 Januari 2022</t>
  </si>
  <si>
    <t>OK 2</t>
  </si>
  <si>
    <t>MK.23-18</t>
  </si>
  <si>
    <t>2. Kelembaban  Relatif</t>
  </si>
  <si>
    <t>%RH</t>
  </si>
  <si>
    <t>Volt</t>
  </si>
  <si>
    <t>Hasil Pemeriksaan Kondisi Fisik dan Fungsi komponen alat</t>
  </si>
  <si>
    <t>Baik</t>
  </si>
  <si>
    <t xml:space="preserve">Hasil Pengujian Keselamatan Listrik </t>
  </si>
  <si>
    <t xml:space="preserve">Parameter </t>
  </si>
  <si>
    <t>Hasil  Ukur</t>
  </si>
  <si>
    <t>Ambang Batas yang diijinkan</t>
  </si>
  <si>
    <t>G</t>
  </si>
  <si>
    <t>Resistansi Pembumian Protektif</t>
  </si>
  <si>
    <t>Arus bocor peralatan untuk peralatan elektromedik kelas I</t>
  </si>
  <si>
    <t>Kelas I</t>
  </si>
  <si>
    <t>Input NC</t>
  </si>
  <si>
    <t xml:space="preserve">Pengujian Kinerja </t>
  </si>
  <si>
    <t>Setting Alat       ( W )</t>
  </si>
  <si>
    <t>Setting Load    ( Ω )</t>
  </si>
  <si>
    <t>Pembacaan Standar ( mA )</t>
  </si>
  <si>
    <t>Pembacaan Terkoreksi ( mA )</t>
  </si>
  <si>
    <t>Arus Bocor mode Cutting</t>
  </si>
  <si>
    <t>Arus Bocor mode Coagulating</t>
  </si>
  <si>
    <t>b. Pengujian Contact Quality Monitoring / REM</t>
  </si>
  <si>
    <t>Pembacaan Alat ( Ω )</t>
  </si>
  <si>
    <t>Pembacaan Terkoreksi (Ω)</t>
  </si>
  <si>
    <t>Contact Quality Monitoring / REM</t>
  </si>
  <si>
    <t>a. Kalibrasi Daya Keluaran Cutting</t>
  </si>
  <si>
    <t>Setting Alat</t>
  </si>
  <si>
    <t>Terukur Rata-rata</t>
  </si>
  <si>
    <t>Rata-rata Terkoreksi</t>
  </si>
  <si>
    <t>STDEV</t>
  </si>
  <si>
    <t>Daya Keluaran Cutting 
( W )</t>
  </si>
  <si>
    <t>b. Kalibrasi Daya Keluaran Coagulating</t>
  </si>
  <si>
    <t>Daya Keluaran Coagulating
( W )</t>
  </si>
  <si>
    <t xml:space="preserve">Keterangan </t>
  </si>
  <si>
    <t>Ketidakpastian pengukuran dilaporkan pada tingkat kepercayaan 95 % dengan faktor cakupan k = 2</t>
  </si>
  <si>
    <t>Electrosurgical Analyzer, Merek : Fluke, Model : QA-ES III, SN : 4639004</t>
  </si>
  <si>
    <t>Electrical Safety Analyzer, Merek : Fluke, Model : ESA 615, SN : 4670010</t>
  </si>
  <si>
    <t>Thermohygrolight, Merek : Greisinger, Model : GFTB 200, SN : 34903051</t>
  </si>
  <si>
    <t>Kesimpulan</t>
  </si>
  <si>
    <t>VIII.</t>
  </si>
  <si>
    <t>Muhammad Iqbal Saiful Rahman</t>
  </si>
  <si>
    <t>IX.</t>
  </si>
  <si>
    <t>Tanggal Pembuatan Laporan</t>
  </si>
  <si>
    <t>3 2 22</t>
  </si>
  <si>
    <t xml:space="preserve">Nomor Sertifikat : 22 / </t>
  </si>
  <si>
    <t>Alat yang dikalibrasi dalam batas toleransi dan dinyatakan LAIK PAKAI, dimana hasil atau skor akhir sama dengan atau melampaui 70 % berdasarkan Keputusan Direktur Jenderal Pelayanan Kesehatan No : HK.02.02/V/0412/2020</t>
  </si>
  <si>
    <t>Nomor Surat Keterangan : 22 / M -</t>
  </si>
  <si>
    <t>Alat yang dikalibrasi melebihi batas toleransi dan dinyatakan TIDAK LAIK PAKAI, dimana hasil atau skor akhir dibawah 70 % berdasarkan Keputusan Direktur Jenderal Pelayanan Kesehatan No : HK.02.02/V/0412/2020</t>
  </si>
  <si>
    <t>Choirul Huda</t>
  </si>
  <si>
    <t>Donny Martha</t>
  </si>
  <si>
    <t xml:space="preserve">Resistansi Pembumian Protektif </t>
  </si>
  <si>
    <t>Fatimah Novrianisa</t>
  </si>
  <si>
    <t>Wardimanul Abrar</t>
  </si>
  <si>
    <t>Gusti Arya Dinata</t>
  </si>
  <si>
    <t>Hamdan Syarif</t>
  </si>
  <si>
    <t>Hary Ernanto</t>
  </si>
  <si>
    <t>Isra Mahensa</t>
  </si>
  <si>
    <t xml:space="preserve">Pengaturan load cutting pada </t>
  </si>
  <si>
    <t>Muhammad Arrizal Septiawan</t>
  </si>
  <si>
    <t xml:space="preserve">Pengaturan load coagulating pada 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</si>
  <si>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</si>
  <si>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</si>
  <si>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</si>
  <si>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</si>
  <si>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</si>
  <si>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</si>
  <si>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KL. 023-18</t>
  </si>
  <si>
    <t>UNCERTAINTY BUDGET</t>
  </si>
  <si>
    <t>Intensitas Cutting ( W)</t>
  </si>
  <si>
    <t>Intensitas Coagulating ( W)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</si>
  <si>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</si>
  <si>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</si>
  <si>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</si>
  <si>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</si>
  <si>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</si>
  <si>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</si>
  <si>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</si>
  <si>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</si>
  <si>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</si>
  <si>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</si>
  <si>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</si>
  <si>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</si>
  <si>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</si>
  <si>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 xml:space="preserve">2. Daya baca </t>
  </si>
  <si>
    <t>rect.</t>
  </si>
  <si>
    <t>3. Sertifikat ESU Analyzer</t>
  </si>
  <si>
    <t>4. Drift Standar ESU Analyzer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</si>
  <si>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</si>
  <si>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</si>
  <si>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</si>
  <si>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</si>
  <si>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</si>
  <si>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</t>
  </si>
  <si>
    <t>k</t>
  </si>
  <si>
    <t>Ketidakpastian bentangan, U = k.Uc</t>
  </si>
  <si>
    <t>U = k. Uc</t>
  </si>
  <si>
    <t>HASIL KALIBRASI ELEKTROSURGERY UNIT</t>
  </si>
  <si>
    <t xml:space="preserve">  </t>
  </si>
  <si>
    <t xml:space="preserve">2. Kelembaban </t>
  </si>
  <si>
    <t xml:space="preserve">: </t>
  </si>
  <si>
    <t>Arus Bocor</t>
  </si>
  <si>
    <t>Instalasi</t>
  </si>
  <si>
    <t>Tidak terdapat grounding di ruangan</t>
  </si>
  <si>
    <t>NG</t>
  </si>
  <si>
    <t>Alat tidak boleh digunakan pada instalasi tanpa dilengkapi grounding</t>
  </si>
  <si>
    <t>M Ω</t>
  </si>
  <si>
    <t>Resistansi pembumian protektif</t>
  </si>
  <si>
    <t>Terkoreksi</t>
  </si>
  <si>
    <t>Resistansi Pembumian Protektif (kabel dapat dilepas)</t>
  </si>
  <si>
    <t>(kabel dapat dilepas)</t>
  </si>
  <si>
    <t>Resistansi Pembumian Protektif (kabel tidak dapat dilepas)</t>
  </si>
  <si>
    <t>(kabel tidak dapat dilepas)</t>
  </si>
  <si>
    <t>Arus bocor peralatan untuk peralatan elektromedik kelas II</t>
  </si>
  <si>
    <t>Koreksi Relatif (%)</t>
  </si>
  <si>
    <t>Toleransi
(%)</t>
  </si>
  <si>
    <t>Ketidakpastian Pengukuran 
(%)</t>
  </si>
  <si>
    <t>C+U (%)</t>
  </si>
  <si>
    <r>
      <rPr>
        <sz val="11"/>
        <rFont val="Arial"/>
        <family val="2"/>
      </rPr>
      <t>± 20</t>
    </r>
  </si>
  <si>
    <t>Daya Keluaran Coagulating           ( W )</t>
  </si>
  <si>
    <t>TOTAL SKOR</t>
  </si>
  <si>
    <t xml:space="preserve">Nama </t>
  </si>
  <si>
    <t>Paraf</t>
  </si>
  <si>
    <t>Dibuat Oleh :</t>
  </si>
  <si>
    <t>Diperiksa :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</si>
  <si>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</si>
  <si>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</si>
  <si>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</si>
  <si>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</si>
  <si>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</si>
  <si>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</si>
  <si>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</si>
  <si>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</si>
  <si>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</si>
  <si>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</si>
  <si>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</si>
  <si>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</si>
  <si>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</si>
  <si>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</si>
  <si>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</si>
  <si>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</si>
  <si>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-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</si>
  <si>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</si>
  <si>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</si>
  <si>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</si>
  <si>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</si>
  <si>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</si>
  <si>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</si>
  <si>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</si>
  <si>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</si>
  <si>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</si>
  <si>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</si>
  <si>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</si>
  <si>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</si>
  <si>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</si>
  <si>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</si>
  <si>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</si>
  <si>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</si>
  <si>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</si>
  <si>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</si>
  <si>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Rata-rata standar</t>
  </si>
  <si>
    <t>HASIL</t>
  </si>
  <si>
    <t>INTERPOLASI KOREKSI SUHU</t>
  </si>
  <si>
    <t>INTERPOLASI KOREKSI KELEMBABAN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</si>
  <si>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</si>
  <si>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</si>
  <si>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</si>
  <si>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</si>
  <si>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</si>
  <si>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</si>
  <si>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</si>
  <si>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</si>
  <si>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</si>
  <si>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</si>
  <si>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</si>
  <si>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</si>
  <si>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</si>
  <si>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</si>
  <si>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</si>
  <si>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</si>
  <si>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</si>
  <si>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</si>
  <si>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</si>
  <si>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</si>
  <si>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</si>
  <si>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</si>
  <si>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</si>
  <si>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 xml:space="preserve">Pengujian Keselamatan Listrik </t>
  </si>
  <si>
    <t>a. Pengujian Arus Bocor Karena Frekuensi Tinggi</t>
  </si>
  <si>
    <t xml:space="preserve">Koreksi 
</t>
  </si>
  <si>
    <t>Koreksi 
Relatif
( % )</t>
  </si>
  <si>
    <t>Toleransi
( % )</t>
  </si>
  <si>
    <t>Ketidakpastian Pengukuran 
( % )</t>
  </si>
  <si>
    <t>Koreksi 
Relatif
(%)</t>
  </si>
  <si>
    <t>Toleransi
(%)</t>
  </si>
  <si>
    <t>Menyetujui,</t>
  </si>
  <si>
    <t>Kepala Instalasi Laboratorium</t>
  </si>
  <si>
    <t>Pengujian dan Kalibrasi</t>
  </si>
  <si>
    <t>Choirul Huda, S.Tr.Kes</t>
  </si>
  <si>
    <t>NIP 198008062010121001</t>
  </si>
  <si>
    <t>Halaman 2 dari 2 halaman</t>
  </si>
  <si>
    <t>HASIL PENGUJIAN ELEKTROSURGERY UNIT</t>
  </si>
  <si>
    <t>Tanggal Pengujian</t>
  </si>
  <si>
    <t>Tempat Pengujian</t>
  </si>
  <si>
    <t>a. Pengujian Daya Keluaran Cutting</t>
  </si>
  <si>
    <t>Presisi 
(%)</t>
  </si>
  <si>
    <t>b. Pengujian Daya Keluaran Coagulating</t>
  </si>
  <si>
    <t>Petugas Pengujian</t>
  </si>
  <si>
    <t>Nomor Sertifikat : 22 /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</si>
  <si>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</si>
  <si>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dimana hasil atau skor akhir dibawah 70 % berdasarkan Keputusan Direktur Jenderal Pelayanan Kesehatan No : HK.02.02/V/0412/2020</t>
  </si>
  <si>
    <t>Electrosurgical Analyzer, Merek : Fluke, Model : QA-ES II, SN : 201027</t>
  </si>
  <si>
    <t>Electrosurgical Analyzer, Merek : Fluke, Model : QA-ES II, SN : 201033</t>
  </si>
  <si>
    <t>Electrosurgical Analyzer, Merek : Fluke, Model : QA-ES III, SN : 440245</t>
  </si>
  <si>
    <t>KOREKSI RESISTANCE</t>
  </si>
  <si>
    <t xml:space="preserve">Setting </t>
  </si>
  <si>
    <t>KOREKSI Arus</t>
  </si>
  <si>
    <t>Terbaca UUT</t>
  </si>
  <si>
    <t>mA</t>
  </si>
  <si>
    <t>KOREKSI WATT</t>
  </si>
  <si>
    <t>Electrosurgical Analyzer, Merek : S.P.L Elektronik, Model : HF-400, SN : 1549HF400</t>
  </si>
  <si>
    <t>Electrosurgical Analyzer, Merek : RIGEL, Model : Uni-Therm, SN : 40L-0755</t>
  </si>
  <si>
    <t>INTERPOLASI KOREKSI Resistance</t>
  </si>
  <si>
    <t>INTERPOLASI KOREKSI WATT CUT</t>
  </si>
  <si>
    <t>INTERPOLASI DRIFT</t>
  </si>
  <si>
    <t>INTERPOLASI U95</t>
  </si>
  <si>
    <t>INTERPOLASI KOREKSI WATT COAGULASI</t>
  </si>
  <si>
    <t>INPUT DATA SERTIFIKAT ESA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</si>
  <si>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</si>
  <si>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</si>
  <si>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</si>
  <si>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</si>
  <si>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</si>
  <si>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</si>
  <si>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</si>
  <si>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</si>
  <si>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</si>
  <si>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</si>
  <si>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</si>
  <si>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</si>
  <si>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</si>
  <si>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</si>
  <si>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</si>
  <si>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</si>
  <si>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</si>
  <si>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H</t>
  </si>
  <si>
    <t>ESA 615 (4670010)</t>
  </si>
  <si>
    <t>ESA (4669058)</t>
  </si>
  <si>
    <t>J</t>
  </si>
  <si>
    <t xml:space="preserve">ESA 615 </t>
  </si>
  <si>
    <t>K</t>
  </si>
  <si>
    <t>L</t>
  </si>
  <si>
    <t xml:space="preserve">ESA </t>
  </si>
  <si>
    <t>Tegangan jala-jala listrik</t>
  </si>
  <si>
    <t>Pembacaan terkoreksi</t>
  </si>
  <si>
    <t>Hasil</t>
  </si>
  <si>
    <t>Tahanan isolasi kabel catu daya</t>
  </si>
  <si>
    <t>Arus bocor</t>
  </si>
  <si>
    <t>NC</t>
  </si>
  <si>
    <t>Tegangan U 95</t>
  </si>
  <si>
    <t xml:space="preserve"> ) </t>
  </si>
  <si>
    <t xml:space="preserve">Electrical Safety Analyzer, Merek : Fluke, Model : ESA 620, SN : 1837056 </t>
  </si>
  <si>
    <t>Hasil pengukuran keselamatan listrik tertelusur ke Satuan Internasional ( SI ) melalui PT. Kaliman</t>
  </si>
  <si>
    <t xml:space="preserve">Electrical Safety Analyzer, Merek : Fluke, Model : ESA 620, SN : 1834020 </t>
  </si>
  <si>
    <t>Electrical Safety Analyzer, Merek : Fluke, Model : ESA 615, SN : 2853077</t>
  </si>
  <si>
    <t xml:space="preserve">Electrical Safety Analyzer, Merek : Fluke, Model : ESA 615, SN : 2853078 </t>
  </si>
  <si>
    <t xml:space="preserve">Electrical Safety Analyzer, Merek : Fluke, Model : ESA 615, SN : 3148907 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</si>
  <si>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</si>
  <si>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</si>
  <si>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</si>
  <si>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--</t>
  </si>
  <si>
    <t>Electrical Safety Analyzer 11</t>
  </si>
  <si>
    <t>Electrical Safety Analyzer 12</t>
  </si>
  <si>
    <r>
      <t xml:space="preserve">Setting Load     ( </t>
    </r>
    <r>
      <rPr>
        <b/>
        <sz val="11"/>
        <color theme="1"/>
        <rFont val="Calibri"/>
        <family val="2"/>
      </rPr>
      <t>Ω )</t>
    </r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</si>
  <si>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</si>
  <si>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</si>
  <si>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</si>
  <si>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</si>
  <si>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</si>
  <si>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</si>
  <si>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</si>
  <si>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</si>
  <si>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</si>
  <si>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</si>
  <si>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</si>
  <si>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</si>
  <si>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</si>
  <si>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</si>
  <si>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</si>
  <si>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</si>
  <si>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</si>
  <si>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</si>
  <si>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</si>
  <si>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</si>
  <si>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</si>
  <si>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</si>
  <si>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</si>
  <si>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</si>
  <si>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</si>
  <si>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</si>
  <si>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</si>
  <si>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</si>
  <si>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</si>
  <si>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</si>
  <si>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</si>
  <si>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</si>
  <si>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r>
      <rPr>
        <sz val="11"/>
        <color theme="1"/>
        <rFont val="Arial"/>
        <family val="2"/>
      </rPr>
      <t>± 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</si>
</sst>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"/>
    <numFmt numFmtId="165" formatCode="0.0"/>
    <numFmt numFmtId="166" formatCode="0.00000"/>
    <numFmt numFmtId="167" formatCode="0.0000"/>
    <numFmt numFmtId="168" formatCode="\2.\ &quot; &quot;"/>
    <numFmt numFmtId="169" formatCode="&quot;:&quot;\ "/>
    <numFmt numFmtId="170" formatCode="0.0\ &quot;M Ω&quot;"/>
    <numFmt numFmtId="171" formatCode="\&gt;\ 0\ &quot;MΩ&quot;"/>
    <numFmt numFmtId="172" formatCode="0\ &quot;µA&quot;"/>
    <numFmt numFmtId="173" formatCode="[$-421]dd\ mmmm\ yyyy;@"/>
    <numFmt numFmtId="174" formatCode="\≤\ 0\ \µ\A"/>
    <numFmt numFmtId="175" formatCode="\&gt;\ 0\ "/>
    <numFmt numFmtId="176" formatCode="\≤\ 0.0"/>
    <numFmt numFmtId="177" formatCode="\&gt;\ 0"/>
    <numFmt numFmtId="178" formatCode="\≤\ 0"/>
    <numFmt numFmtId="179" formatCode="0\ "/>
    <numFmt numFmtId="180" formatCode="0\ &quot;BPM&quot;"/>
    <numFmt numFmtId="181" formatCode="[$-C09]d\ mmmm\ yyyy;@"/>
  </numFmts>
  <fonts count="13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0"/>
      <name val="Times New Roman"/>
      <family val="1"/>
    </font>
    <font>
      <b/>
      <i/>
      <sz val="11"/>
      <name val="Times New Roman"/>
      <family val="1"/>
    </font>
    <font>
      <sz val="12"/>
      <name val="Times New Roman"/>
      <family val="1"/>
    </font>
    <font>
      <sz val="11"/>
      <name val="Symbol"/>
      <family val="1"/>
      <charset val="2"/>
    </font>
    <font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b/>
      <sz val="11"/>
      <name val="Calibri"/>
      <family val="2"/>
    </font>
    <font>
      <i/>
      <sz val="10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u/>
      <sz val="11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00"/>
      <name val="+Mn-Ea"/>
      <charset val="1"/>
    </font>
    <font>
      <sz val="11"/>
      <name val="Arial"/>
      <family val="2"/>
    </font>
    <font>
      <sz val="8"/>
      <name val="Times New Roman"/>
      <family val="1"/>
    </font>
    <font>
      <b/>
      <sz val="12"/>
      <name val="Calibri"/>
      <family val="2"/>
      <scheme val="minor"/>
    </font>
    <font>
      <b/>
      <sz val="36"/>
      <name val="Arial"/>
      <family val="2"/>
    </font>
    <font>
      <b/>
      <u/>
      <sz val="14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20"/>
      <name val="Arial"/>
      <family val="2"/>
    </font>
    <font>
      <i/>
      <u/>
      <sz val="8"/>
      <name val="Arial"/>
      <family val="2"/>
    </font>
    <font>
      <b/>
      <sz val="10"/>
      <color indexed="10"/>
      <name val="Arial"/>
      <family val="2"/>
    </font>
    <font>
      <sz val="12"/>
      <name val="Wingdings"/>
      <charset val="2"/>
    </font>
    <font>
      <sz val="18"/>
      <name val="Wingdings"/>
      <charset val="2"/>
    </font>
    <font>
      <sz val="12"/>
      <color indexed="8"/>
      <name val="Arial"/>
      <family val="2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b/>
      <u/>
      <sz val="14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1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i/>
      <sz val="11"/>
      <color theme="0"/>
      <name val="Times New Roman"/>
      <family val="1"/>
    </font>
    <font>
      <b/>
      <i/>
      <sz val="10"/>
      <color theme="0"/>
      <name val="Arial"/>
      <family val="2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0"/>
      <name val="Arial"/>
      <family val="2"/>
    </font>
    <font>
      <sz val="12"/>
      <color theme="0"/>
      <name val="Times New Roman"/>
      <family val="1"/>
    </font>
    <font>
      <b/>
      <sz val="11"/>
      <color indexed="8"/>
      <name val="Calibri"/>
      <family val="2"/>
      <scheme val="minor"/>
    </font>
    <font>
      <b/>
      <sz val="24"/>
      <name val="Algerian"/>
      <family val="5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u/>
      <sz val="18"/>
      <name val="Arial"/>
      <family val="2"/>
    </font>
    <font>
      <sz val="10"/>
      <color rgb="FFFF0000"/>
      <name val="Arial"/>
      <family val="2"/>
    </font>
    <font>
      <sz val="12"/>
      <name val="Calibri"/>
      <family val="2"/>
    </font>
    <font>
      <sz val="10"/>
      <name val="Arial"/>
      <family val="2"/>
    </font>
    <font>
      <b/>
      <sz val="8"/>
      <color theme="1"/>
      <name val="Times New Roman"/>
      <family val="1"/>
    </font>
    <font>
      <b/>
      <u/>
      <sz val="10"/>
      <color rgb="FFFF0000"/>
      <name val="Arial"/>
      <family val="2"/>
    </font>
    <font>
      <b/>
      <sz val="8"/>
      <color rgb="FFFF0000"/>
      <name val="Times New Roman"/>
      <family val="1"/>
    </font>
    <font>
      <b/>
      <sz val="10"/>
      <color rgb="FFFF0000"/>
      <name val="Arial"/>
      <family val="2"/>
    </font>
    <font>
      <sz val="8"/>
      <color indexed="8"/>
      <name val="Arial"/>
      <family val="2"/>
    </font>
    <font>
      <sz val="8"/>
      <name val="Calibri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9"/>
      <color theme="0" tint="-0.249977111117893"/>
      <name val="Arial"/>
      <family val="2"/>
    </font>
    <font>
      <sz val="8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u/>
      <sz val="9"/>
      <color theme="1"/>
      <name val="Arial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7"/>
      <color theme="1"/>
      <name val="Arial"/>
      <family val="2"/>
    </font>
    <font>
      <b/>
      <sz val="12"/>
      <color rgb="FFFF0000"/>
      <name val="Arial"/>
      <family val="2"/>
    </font>
    <font>
      <b/>
      <u/>
      <sz val="14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12"/>
      <color rgb="FFFF0000"/>
      <name val="Arial"/>
      <family val="2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+Mn-Ea"/>
      <charset val="1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36"/>
      <color theme="1"/>
      <name val="Arial"/>
      <family val="2"/>
    </font>
    <font>
      <u/>
      <sz val="11"/>
      <color theme="1"/>
      <name val="Arial"/>
      <family val="2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0" fontId="2" fillId="0" borderId="0"/>
    <xf numFmtId="0" fontId="89" fillId="0" borderId="0"/>
    <xf numFmtId="0" fontId="3" fillId="0" borderId="0"/>
  </cellStyleXfs>
  <cellXfs count="1332">
    <xf numFmtId="0" fontId="0" fillId="0" borderId="0" xfId="0"/>
    <xf numFmtId="0" fontId="0" fillId="0" borderId="15" xfId="0" applyBorder="1"/>
    <xf numFmtId="2" fontId="10" fillId="0" borderId="2" xfId="0" applyNumberFormat="1" applyFont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0" fillId="0" borderId="17" xfId="0" applyBorder="1"/>
    <xf numFmtId="0" fontId="10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4" fillId="0" borderId="17" xfId="0" applyFont="1" applyBorder="1"/>
    <xf numFmtId="0" fontId="13" fillId="0" borderId="0" xfId="0" applyFont="1"/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left"/>
    </xf>
    <xf numFmtId="0" fontId="14" fillId="0" borderId="0" xfId="0" applyFont="1" applyAlignment="1">
      <alignment horizontal="center"/>
    </xf>
    <xf numFmtId="164" fontId="7" fillId="0" borderId="0" xfId="0" applyNumberFormat="1" applyFont="1"/>
    <xf numFmtId="0" fontId="7" fillId="0" borderId="0" xfId="0" applyFont="1"/>
    <xf numFmtId="164" fontId="7" fillId="0" borderId="12" xfId="0" applyNumberFormat="1" applyFont="1" applyBorder="1"/>
    <xf numFmtId="2" fontId="7" fillId="0" borderId="11" xfId="0" applyNumberFormat="1" applyFont="1" applyBorder="1" applyAlignment="1">
      <alignment horizontal="center"/>
    </xf>
    <xf numFmtId="0" fontId="7" fillId="0" borderId="37" xfId="0" applyFont="1" applyBorder="1"/>
    <xf numFmtId="0" fontId="6" fillId="0" borderId="37" xfId="0" applyFont="1" applyBorder="1"/>
    <xf numFmtId="2" fontId="7" fillId="0" borderId="37" xfId="0" applyNumberFormat="1" applyFont="1" applyBorder="1"/>
    <xf numFmtId="0" fontId="14" fillId="0" borderId="33" xfId="0" applyFont="1" applyBorder="1"/>
    <xf numFmtId="0" fontId="6" fillId="0" borderId="0" xfId="0" applyFont="1"/>
    <xf numFmtId="0" fontId="6" fillId="0" borderId="6" xfId="0" applyFont="1" applyBorder="1"/>
    <xf numFmtId="164" fontId="15" fillId="0" borderId="8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7" xfId="0" applyFont="1" applyBorder="1"/>
    <xf numFmtId="2" fontId="7" fillId="0" borderId="7" xfId="0" applyNumberFormat="1" applyFont="1" applyBorder="1"/>
    <xf numFmtId="0" fontId="14" fillId="0" borderId="32" xfId="0" applyFont="1" applyBorder="1"/>
    <xf numFmtId="0" fontId="6" fillId="0" borderId="38" xfId="0" applyFont="1" applyBorder="1"/>
    <xf numFmtId="11" fontId="6" fillId="0" borderId="5" xfId="0" applyNumberFormat="1" applyFont="1" applyBorder="1" applyAlignment="1">
      <alignment horizontal="center"/>
    </xf>
    <xf numFmtId="0" fontId="16" fillId="0" borderId="0" xfId="0" applyFont="1"/>
    <xf numFmtId="2" fontId="7" fillId="0" borderId="0" xfId="0" applyNumberFormat="1" applyFont="1"/>
    <xf numFmtId="166" fontId="6" fillId="0" borderId="8" xfId="0" applyNumberFormat="1" applyFont="1" applyBorder="1" applyAlignment="1">
      <alignment horizontal="center"/>
    </xf>
    <xf numFmtId="0" fontId="17" fillId="0" borderId="7" xfId="0" applyFont="1" applyBorder="1"/>
    <xf numFmtId="11" fontId="8" fillId="0" borderId="0" xfId="0" applyNumberFormat="1" applyFont="1" applyAlignment="1">
      <alignment horizontal="center"/>
    </xf>
    <xf numFmtId="11" fontId="8" fillId="0" borderId="3" xfId="0" applyNumberFormat="1" applyFont="1" applyBorder="1" applyAlignment="1">
      <alignment horizontal="center"/>
    </xf>
    <xf numFmtId="11" fontId="8" fillId="0" borderId="5" xfId="0" applyNumberFormat="1" applyFont="1" applyBorder="1" applyAlignment="1">
      <alignment horizontal="center"/>
    </xf>
    <xf numFmtId="2" fontId="13" fillId="0" borderId="0" xfId="0" applyNumberFormat="1" applyFont="1"/>
    <xf numFmtId="167" fontId="8" fillId="0" borderId="0" xfId="0" applyNumberFormat="1" applyFont="1" applyAlignment="1">
      <alignment horizontal="center"/>
    </xf>
    <xf numFmtId="1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7" fontId="8" fillId="0" borderId="7" xfId="0" applyNumberFormat="1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2" fontId="8" fillId="0" borderId="3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2" xfId="0" applyFont="1" applyBorder="1"/>
    <xf numFmtId="11" fontId="8" fillId="0" borderId="6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8" fillId="0" borderId="32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11" fontId="8" fillId="0" borderId="38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3" fillId="0" borderId="0" xfId="3" applyAlignment="1">
      <alignment vertic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11" fillId="0" borderId="0" xfId="0" applyFont="1"/>
    <xf numFmtId="0" fontId="14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0" fillId="0" borderId="23" xfId="0" applyNumberFormat="1" applyFont="1" applyBorder="1" applyAlignment="1">
      <alignment horizontal="center" vertical="center"/>
    </xf>
    <xf numFmtId="0" fontId="3" fillId="0" borderId="0" xfId="0" applyFont="1"/>
    <xf numFmtId="0" fontId="21" fillId="0" borderId="0" xfId="0" applyFont="1"/>
    <xf numFmtId="0" fontId="9" fillId="0" borderId="0" xfId="0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8" fillId="0" borderId="32" xfId="3" applyFont="1" applyBorder="1" applyAlignment="1">
      <alignment horizontal="left"/>
    </xf>
    <xf numFmtId="0" fontId="8" fillId="0" borderId="7" xfId="3" applyFont="1" applyBorder="1" applyAlignment="1">
      <alignment horizontal="center"/>
    </xf>
    <xf numFmtId="2" fontId="8" fillId="0" borderId="2" xfId="3" applyNumberFormat="1" applyFont="1" applyBorder="1" applyAlignment="1">
      <alignment horizontal="center"/>
    </xf>
    <xf numFmtId="167" fontId="8" fillId="0" borderId="7" xfId="3" applyNumberFormat="1" applyFont="1" applyBorder="1" applyAlignment="1">
      <alignment horizontal="center"/>
    </xf>
    <xf numFmtId="11" fontId="8" fillId="0" borderId="2" xfId="3" applyNumberFormat="1" applyFont="1" applyBorder="1" applyAlignment="1">
      <alignment horizontal="center"/>
    </xf>
    <xf numFmtId="11" fontId="8" fillId="0" borderId="6" xfId="3" applyNumberFormat="1" applyFont="1" applyBorder="1" applyAlignment="1">
      <alignment horizontal="center"/>
    </xf>
    <xf numFmtId="0" fontId="14" fillId="0" borderId="0" xfId="0" applyFont="1"/>
    <xf numFmtId="0" fontId="23" fillId="0" borderId="0" xfId="0" applyFont="1"/>
    <xf numFmtId="0" fontId="24" fillId="0" borderId="0" xfId="0" applyFont="1"/>
    <xf numFmtId="0" fontId="24" fillId="0" borderId="0" xfId="1" applyFont="1"/>
    <xf numFmtId="0" fontId="25" fillId="2" borderId="0" xfId="0" applyFont="1" applyFill="1"/>
    <xf numFmtId="164" fontId="25" fillId="2" borderId="0" xfId="0" applyNumberFormat="1" applyFont="1" applyFill="1"/>
    <xf numFmtId="2" fontId="25" fillId="2" borderId="0" xfId="0" applyNumberFormat="1" applyFont="1" applyFill="1" applyAlignment="1">
      <alignment horizontal="center" vertical="center"/>
    </xf>
    <xf numFmtId="2" fontId="25" fillId="2" borderId="0" xfId="0" quotePrefix="1" applyNumberFormat="1" applyFont="1" applyFill="1" applyAlignment="1">
      <alignment horizontal="center" vertical="center"/>
    </xf>
    <xf numFmtId="0" fontId="26" fillId="3" borderId="5" xfId="0" applyFont="1" applyFill="1" applyBorder="1" applyAlignment="1" applyProtection="1">
      <alignment horizontal="left" vertical="top"/>
      <protection hidden="1"/>
    </xf>
    <xf numFmtId="0" fontId="26" fillId="3" borderId="8" xfId="0" applyFont="1" applyFill="1" applyBorder="1" applyAlignment="1" applyProtection="1">
      <alignment horizontal="left" vertical="top"/>
      <protection hidden="1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9" fontId="30" fillId="0" borderId="0" xfId="0" quotePrefix="1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9" fillId="0" borderId="0" xfId="1" applyFont="1"/>
    <xf numFmtId="0" fontId="8" fillId="0" borderId="0" xfId="1" quotePrefix="1" applyFont="1"/>
    <xf numFmtId="0" fontId="31" fillId="0" borderId="0" xfId="0" applyFont="1" applyAlignment="1">
      <alignment wrapText="1"/>
    </xf>
    <xf numFmtId="0" fontId="8" fillId="0" borderId="0" xfId="1" applyFont="1"/>
    <xf numFmtId="0" fontId="27" fillId="2" borderId="0" xfId="0" applyFont="1" applyFill="1"/>
    <xf numFmtId="0" fontId="28" fillId="2" borderId="0" xfId="0" applyFont="1" applyFill="1"/>
    <xf numFmtId="0" fontId="8" fillId="0" borderId="0" xfId="0" applyFont="1" applyAlignment="1">
      <alignment vertical="center"/>
    </xf>
    <xf numFmtId="0" fontId="15" fillId="0" borderId="0" xfId="0" applyFont="1"/>
    <xf numFmtId="0" fontId="33" fillId="0" borderId="0" xfId="0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1" fontId="33" fillId="0" borderId="0" xfId="0" applyNumberFormat="1" applyFont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44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4" fillId="0" borderId="0" xfId="1" applyFont="1"/>
    <xf numFmtId="2" fontId="24" fillId="0" borderId="0" xfId="0" applyNumberFormat="1" applyFont="1"/>
    <xf numFmtId="2" fontId="23" fillId="0" borderId="0" xfId="0" applyNumberFormat="1" applyFont="1"/>
    <xf numFmtId="0" fontId="37" fillId="2" borderId="0" xfId="0" applyFont="1" applyFill="1"/>
    <xf numFmtId="0" fontId="32" fillId="0" borderId="0" xfId="0" applyFont="1"/>
    <xf numFmtId="0" fontId="32" fillId="0" borderId="0" xfId="1" applyFont="1"/>
    <xf numFmtId="0" fontId="38" fillId="2" borderId="0" xfId="0" applyFont="1" applyFill="1"/>
    <xf numFmtId="0" fontId="22" fillId="0" borderId="0" xfId="1" applyFont="1" applyAlignment="1">
      <alignment horizontal="center"/>
    </xf>
    <xf numFmtId="165" fontId="32" fillId="0" borderId="0" xfId="1" applyNumberFormat="1" applyFont="1" applyAlignment="1" applyProtection="1">
      <alignment horizontal="right" vertical="center"/>
      <protection locked="0"/>
    </xf>
    <xf numFmtId="2" fontId="32" fillId="0" borderId="0" xfId="1" applyNumberFormat="1" applyFont="1" applyAlignment="1" applyProtection="1">
      <alignment horizontal="center" vertical="center"/>
      <protection locked="0"/>
    </xf>
    <xf numFmtId="2" fontId="32" fillId="0" borderId="0" xfId="1" applyNumberFormat="1" applyFont="1" applyAlignment="1">
      <alignment horizontal="center" vertical="center"/>
    </xf>
    <xf numFmtId="164" fontId="37" fillId="2" borderId="0" xfId="0" applyNumberFormat="1" applyFont="1" applyFill="1"/>
    <xf numFmtId="0" fontId="38" fillId="2" borderId="2" xfId="0" applyFont="1" applyFill="1" applyBorder="1" applyAlignment="1">
      <alignment horizontal="center" vertical="center" wrapText="1"/>
    </xf>
    <xf numFmtId="0" fontId="32" fillId="0" borderId="2" xfId="1" quotePrefix="1" applyFont="1" applyBorder="1" applyAlignment="1">
      <alignment horizontal="center"/>
    </xf>
    <xf numFmtId="0" fontId="32" fillId="0" borderId="7" xfId="1" applyFont="1" applyBorder="1"/>
    <xf numFmtId="165" fontId="32" fillId="0" borderId="8" xfId="1" applyNumberFormat="1" applyFont="1" applyBorder="1" applyAlignment="1">
      <alignment horizontal="right" vertical="center"/>
    </xf>
    <xf numFmtId="0" fontId="22" fillId="0" borderId="0" xfId="0" applyFont="1"/>
    <xf numFmtId="0" fontId="37" fillId="2" borderId="2" xfId="0" applyFont="1" applyFill="1" applyBorder="1" applyAlignment="1">
      <alignment horizontal="center" vertical="center"/>
    </xf>
    <xf numFmtId="0" fontId="32" fillId="0" borderId="8" xfId="0" applyFont="1" applyBorder="1" applyAlignment="1">
      <alignment horizontal="right" vertical="center"/>
    </xf>
    <xf numFmtId="0" fontId="37" fillId="2" borderId="0" xfId="0" applyFont="1" applyFill="1" applyAlignment="1">
      <alignment horizontal="center" vertical="center"/>
    </xf>
    <xf numFmtId="2" fontId="37" fillId="2" borderId="0" xfId="0" applyNumberFormat="1" applyFont="1" applyFill="1" applyAlignment="1">
      <alignment horizontal="center" vertical="center"/>
    </xf>
    <xf numFmtId="9" fontId="39" fillId="0" borderId="0" xfId="0" quotePrefix="1" applyNumberFormat="1" applyFont="1" applyAlignment="1">
      <alignment vertical="center"/>
    </xf>
    <xf numFmtId="165" fontId="32" fillId="0" borderId="0" xfId="0" applyNumberFormat="1" applyFont="1" applyAlignment="1">
      <alignment horizontal="left"/>
    </xf>
    <xf numFmtId="0" fontId="37" fillId="2" borderId="0" xfId="0" applyFont="1" applyFill="1" applyAlignment="1">
      <alignment horizontal="center" vertical="center" wrapText="1"/>
    </xf>
    <xf numFmtId="9" fontId="39" fillId="0" borderId="0" xfId="0" quotePrefix="1" applyNumberFormat="1" applyFont="1" applyAlignment="1">
      <alignment horizontal="center" vertical="center"/>
    </xf>
    <xf numFmtId="1" fontId="37" fillId="2" borderId="0" xfId="0" applyNumberFormat="1" applyFont="1" applyFill="1" applyAlignment="1">
      <alignment horizontal="center" vertical="center"/>
    </xf>
    <xf numFmtId="2" fontId="37" fillId="2" borderId="0" xfId="0" quotePrefix="1" applyNumberFormat="1" applyFont="1" applyFill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32" fillId="0" borderId="8" xfId="1" applyFont="1" applyBorder="1" applyAlignment="1">
      <alignment vertical="center"/>
    </xf>
    <xf numFmtId="0" fontId="32" fillId="0" borderId="0" xfId="0" applyFont="1" applyProtection="1">
      <protection locked="0"/>
    </xf>
    <xf numFmtId="165" fontId="32" fillId="0" borderId="0" xfId="0" applyNumberFormat="1" applyFont="1" applyAlignment="1">
      <alignment horizontal="center"/>
    </xf>
    <xf numFmtId="0" fontId="0" fillId="0" borderId="0" xfId="1" applyFont="1"/>
    <xf numFmtId="0" fontId="0" fillId="0" borderId="0" xfId="0" applyAlignment="1">
      <alignment horizontal="center"/>
    </xf>
    <xf numFmtId="0" fontId="32" fillId="0" borderId="6" xfId="0" applyFont="1" applyBorder="1" applyAlignment="1">
      <alignment horizontal="left" vertical="center"/>
    </xf>
    <xf numFmtId="165" fontId="32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2" fontId="25" fillId="2" borderId="0" xfId="0" applyNumberFormat="1" applyFont="1" applyFill="1"/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5" fontId="37" fillId="2" borderId="0" xfId="0" applyNumberFormat="1" applyFont="1" applyFill="1" applyAlignment="1">
      <alignment horizontal="center" vertical="center"/>
    </xf>
    <xf numFmtId="0" fontId="32" fillId="0" borderId="2" xfId="1" quotePrefix="1" applyFont="1" applyBorder="1" applyAlignment="1">
      <alignment horizontal="center" vertical="center"/>
    </xf>
    <xf numFmtId="0" fontId="35" fillId="4" borderId="0" xfId="0" applyFont="1" applyFill="1" applyAlignment="1">
      <alignment vertical="center"/>
    </xf>
    <xf numFmtId="165" fontId="37" fillId="2" borderId="6" xfId="0" applyNumberFormat="1" applyFont="1" applyFill="1" applyBorder="1" applyAlignment="1" applyProtection="1">
      <alignment vertical="center"/>
      <protection hidden="1"/>
    </xf>
    <xf numFmtId="0" fontId="51" fillId="3" borderId="33" xfId="0" quotePrefix="1" applyFont="1" applyFill="1" applyBorder="1" applyAlignment="1" applyProtection="1">
      <alignment vertical="center"/>
      <protection locked="0"/>
    </xf>
    <xf numFmtId="0" fontId="51" fillId="3" borderId="53" xfId="0" quotePrefix="1" applyFont="1" applyFill="1" applyBorder="1" applyAlignment="1" applyProtection="1">
      <alignment vertical="center"/>
      <protection locked="0"/>
    </xf>
    <xf numFmtId="169" fontId="32" fillId="0" borderId="0" xfId="1" applyNumberFormat="1" applyFont="1" applyAlignment="1" applyProtection="1">
      <alignment horizontal="left" vertical="center"/>
      <protection locked="0"/>
    </xf>
    <xf numFmtId="0" fontId="10" fillId="3" borderId="41" xfId="4" applyFont="1" applyFill="1" applyBorder="1" applyAlignment="1">
      <alignment vertical="center"/>
    </xf>
    <xf numFmtId="0" fontId="10" fillId="3" borderId="41" xfId="4" applyFont="1" applyFill="1" applyBorder="1" applyAlignment="1">
      <alignment horizontal="center" vertical="center"/>
    </xf>
    <xf numFmtId="0" fontId="10" fillId="3" borderId="59" xfId="4" applyFont="1" applyFill="1" applyBorder="1" applyAlignment="1">
      <alignment horizontal="center" vertical="center"/>
    </xf>
    <xf numFmtId="0" fontId="10" fillId="3" borderId="41" xfId="4" applyFont="1" applyFill="1" applyBorder="1" applyAlignment="1">
      <alignment horizontal="left" vertical="center" wrapText="1"/>
    </xf>
    <xf numFmtId="0" fontId="14" fillId="3" borderId="62" xfId="4" applyFont="1" applyFill="1" applyBorder="1" applyAlignment="1">
      <alignment horizontal="center" vertical="center"/>
    </xf>
    <xf numFmtId="0" fontId="7" fillId="3" borderId="62" xfId="4" applyFont="1" applyFill="1" applyBorder="1" applyAlignment="1">
      <alignment horizontal="center" vertical="center"/>
    </xf>
    <xf numFmtId="0" fontId="8" fillId="3" borderId="0" xfId="4" applyFont="1" applyFill="1" applyAlignment="1">
      <alignment horizontal="center"/>
    </xf>
    <xf numFmtId="167" fontId="8" fillId="3" borderId="0" xfId="4" applyNumberFormat="1" applyFont="1" applyFill="1" applyAlignment="1">
      <alignment horizontal="center"/>
    </xf>
    <xf numFmtId="167" fontId="8" fillId="3" borderId="15" xfId="4" applyNumberFormat="1" applyFont="1" applyFill="1" applyBorder="1" applyAlignment="1">
      <alignment horizontal="center"/>
    </xf>
    <xf numFmtId="0" fontId="13" fillId="3" borderId="15" xfId="4" applyFont="1" applyFill="1" applyBorder="1"/>
    <xf numFmtId="0" fontId="6" fillId="3" borderId="2" xfId="4" applyFont="1" applyFill="1" applyBorder="1" applyAlignment="1">
      <alignment horizontal="center" vertical="center"/>
    </xf>
    <xf numFmtId="0" fontId="7" fillId="3" borderId="15" xfId="4" applyFont="1" applyFill="1" applyBorder="1"/>
    <xf numFmtId="0" fontId="10" fillId="3" borderId="0" xfId="4" applyFont="1" applyFill="1" applyAlignment="1">
      <alignment vertical="center"/>
    </xf>
    <xf numFmtId="0" fontId="6" fillId="3" borderId="0" xfId="4" applyFont="1" applyFill="1"/>
    <xf numFmtId="0" fontId="7" fillId="3" borderId="0" xfId="4" applyFont="1" applyFill="1"/>
    <xf numFmtId="165" fontId="37" fillId="2" borderId="2" xfId="0" applyNumberFormat="1" applyFont="1" applyFill="1" applyBorder="1" applyAlignment="1">
      <alignment horizontal="center" vertical="center"/>
    </xf>
    <xf numFmtId="0" fontId="63" fillId="0" borderId="0" xfId="3" applyFont="1"/>
    <xf numFmtId="0" fontId="55" fillId="0" borderId="0" xfId="0" applyFont="1"/>
    <xf numFmtId="0" fontId="68" fillId="0" borderId="0" xfId="0" applyFont="1"/>
    <xf numFmtId="0" fontId="56" fillId="0" borderId="0" xfId="0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2" fontId="62" fillId="0" borderId="0" xfId="0" applyNumberFormat="1" applyFont="1" applyAlignment="1">
      <alignment horizontal="center" vertical="center"/>
    </xf>
    <xf numFmtId="0" fontId="70" fillId="0" borderId="0" xfId="0" applyFont="1"/>
    <xf numFmtId="165" fontId="32" fillId="0" borderId="6" xfId="0" applyNumberFormat="1" applyFont="1" applyBorder="1" applyAlignment="1">
      <alignment horizontal="left" vertical="center"/>
    </xf>
    <xf numFmtId="0" fontId="52" fillId="10" borderId="0" xfId="4" applyFont="1" applyFill="1" applyAlignment="1" applyProtection="1">
      <alignment vertical="center"/>
      <protection locked="0"/>
    </xf>
    <xf numFmtId="0" fontId="52" fillId="10" borderId="0" xfId="4" applyFont="1" applyFill="1" applyAlignment="1" applyProtection="1">
      <alignment horizontal="center" vertical="center"/>
      <protection locked="0"/>
    </xf>
    <xf numFmtId="0" fontId="14" fillId="10" borderId="0" xfId="4" applyFont="1" applyFill="1" applyProtection="1">
      <protection locked="0"/>
    </xf>
    <xf numFmtId="0" fontId="14" fillId="10" borderId="0" xfId="4" applyFont="1" applyFill="1" applyAlignment="1" applyProtection="1">
      <alignment horizontal="center"/>
      <protection locked="0"/>
    </xf>
    <xf numFmtId="0" fontId="3" fillId="10" borderId="0" xfId="4" applyFill="1" applyProtection="1">
      <protection locked="0"/>
    </xf>
    <xf numFmtId="1" fontId="3" fillId="10" borderId="2" xfId="4" applyNumberFormat="1" applyFill="1" applyBorder="1" applyAlignment="1" applyProtection="1">
      <alignment horizontal="center" vertical="center"/>
      <protection locked="0"/>
    </xf>
    <xf numFmtId="2" fontId="3" fillId="10" borderId="2" xfId="4" applyNumberFormat="1" applyFill="1" applyBorder="1" applyAlignment="1" applyProtection="1">
      <alignment horizontal="center" vertical="center"/>
      <protection locked="0"/>
    </xf>
    <xf numFmtId="2" fontId="20" fillId="10" borderId="2" xfId="4" quotePrefix="1" applyNumberFormat="1" applyFont="1" applyFill="1" applyBorder="1" applyAlignment="1" applyProtection="1">
      <alignment horizontal="center" vertical="center"/>
      <protection locked="0"/>
    </xf>
    <xf numFmtId="2" fontId="3" fillId="9" borderId="2" xfId="4" applyNumberFormat="1" applyFill="1" applyBorder="1" applyAlignment="1" applyProtection="1">
      <alignment horizontal="center"/>
      <protection locked="0"/>
    </xf>
    <xf numFmtId="2" fontId="20" fillId="10" borderId="2" xfId="4" applyNumberFormat="1" applyFont="1" applyFill="1" applyBorder="1" applyAlignment="1" applyProtection="1">
      <alignment horizontal="center" vertical="center"/>
      <protection locked="0"/>
    </xf>
    <xf numFmtId="0" fontId="6" fillId="10" borderId="2" xfId="4" applyFont="1" applyFill="1" applyBorder="1" applyAlignment="1" applyProtection="1">
      <alignment horizontal="center" vertical="center"/>
      <protection locked="0"/>
    </xf>
    <xf numFmtId="0" fontId="20" fillId="10" borderId="2" xfId="4" applyFont="1" applyFill="1" applyBorder="1" applyAlignment="1" applyProtection="1">
      <alignment horizontal="center" vertical="center"/>
      <protection locked="0"/>
    </xf>
    <xf numFmtId="165" fontId="20" fillId="10" borderId="2" xfId="4" applyNumberFormat="1" applyFont="1" applyFill="1" applyBorder="1" applyAlignment="1" applyProtection="1">
      <alignment horizontal="center" vertical="center"/>
      <protection locked="0"/>
    </xf>
    <xf numFmtId="2" fontId="3" fillId="10" borderId="2" xfId="4" quotePrefix="1" applyNumberFormat="1" applyFill="1" applyBorder="1" applyAlignment="1" applyProtection="1">
      <alignment horizontal="center" vertical="center"/>
      <protection locked="0"/>
    </xf>
    <xf numFmtId="0" fontId="3" fillId="10" borderId="2" xfId="4" applyFill="1" applyBorder="1" applyAlignment="1" applyProtection="1">
      <alignment horizontal="center" vertical="center"/>
      <protection locked="0"/>
    </xf>
    <xf numFmtId="0" fontId="20" fillId="10" borderId="2" xfId="4" quotePrefix="1" applyFont="1" applyFill="1" applyBorder="1" applyAlignment="1" applyProtection="1">
      <alignment horizontal="center" vertical="center"/>
      <protection locked="0"/>
    </xf>
    <xf numFmtId="164" fontId="3" fillId="10" borderId="2" xfId="4" applyNumberFormat="1" applyFill="1" applyBorder="1" applyAlignment="1" applyProtection="1">
      <alignment horizontal="center" vertical="center"/>
      <protection locked="0"/>
    </xf>
    <xf numFmtId="165" fontId="3" fillId="10" borderId="2" xfId="4" applyNumberFormat="1" applyFill="1" applyBorder="1" applyAlignment="1" applyProtection="1">
      <alignment horizontal="center" vertical="center"/>
      <protection locked="0"/>
    </xf>
    <xf numFmtId="164" fontId="3" fillId="10" borderId="2" xfId="4" quotePrefix="1" applyNumberFormat="1" applyFill="1" applyBorder="1" applyAlignment="1" applyProtection="1">
      <alignment horizontal="center" vertical="center"/>
      <protection locked="0"/>
    </xf>
    <xf numFmtId="0" fontId="3" fillId="10" borderId="15" xfId="4" applyFill="1" applyBorder="1" applyProtection="1">
      <protection locked="0"/>
    </xf>
    <xf numFmtId="0" fontId="5" fillId="10" borderId="0" xfId="4" applyFont="1" applyFill="1" applyAlignment="1" applyProtection="1">
      <alignment vertical="center"/>
      <protection locked="0"/>
    </xf>
    <xf numFmtId="0" fontId="3" fillId="10" borderId="2" xfId="4" applyFill="1" applyBorder="1" applyAlignment="1" applyProtection="1">
      <alignment horizontal="right" vertical="center"/>
      <protection locked="0"/>
    </xf>
    <xf numFmtId="0" fontId="53" fillId="10" borderId="17" xfId="4" applyFont="1" applyFill="1" applyBorder="1" applyAlignment="1" applyProtection="1">
      <alignment horizontal="center" vertical="center" wrapText="1"/>
      <protection locked="0"/>
    </xf>
    <xf numFmtId="0" fontId="3" fillId="10" borderId="0" xfId="4" applyFill="1" applyAlignment="1" applyProtection="1">
      <alignment horizontal="center" vertical="center"/>
      <protection locked="0"/>
    </xf>
    <xf numFmtId="164" fontId="3" fillId="10" borderId="0" xfId="4" applyNumberFormat="1" applyFill="1" applyAlignment="1" applyProtection="1">
      <alignment horizontal="center" vertical="center"/>
      <protection locked="0"/>
    </xf>
    <xf numFmtId="0" fontId="53" fillId="10" borderId="0" xfId="4" applyFont="1" applyFill="1" applyAlignment="1" applyProtection="1">
      <alignment horizontal="center" vertical="center" wrapText="1"/>
      <protection locked="0"/>
    </xf>
    <xf numFmtId="0" fontId="3" fillId="10" borderId="0" xfId="4" applyFill="1" applyAlignment="1" applyProtection="1">
      <alignment horizontal="right" vertical="center"/>
      <protection locked="0"/>
    </xf>
    <xf numFmtId="0" fontId="3" fillId="10" borderId="2" xfId="4" quotePrefix="1" applyFill="1" applyBorder="1" applyAlignment="1" applyProtection="1">
      <alignment horizontal="center" vertical="center"/>
      <protection locked="0"/>
    </xf>
    <xf numFmtId="1" fontId="35" fillId="0" borderId="0" xfId="0" applyNumberFormat="1" applyFont="1" applyAlignment="1">
      <alignment vertical="center"/>
    </xf>
    <xf numFmtId="165" fontId="74" fillId="3" borderId="2" xfId="1" applyNumberFormat="1" applyFont="1" applyFill="1" applyBorder="1" applyAlignment="1" applyProtection="1">
      <alignment horizontal="center" vertical="center"/>
      <protection locked="0"/>
    </xf>
    <xf numFmtId="165" fontId="32" fillId="0" borderId="2" xfId="0" applyNumberFormat="1" applyFont="1" applyBorder="1" applyAlignment="1">
      <alignment horizontal="center" vertical="center"/>
    </xf>
    <xf numFmtId="0" fontId="71" fillId="2" borderId="2" xfId="0" applyFont="1" applyFill="1" applyBorder="1" applyAlignment="1">
      <alignment horizontal="center"/>
    </xf>
    <xf numFmtId="2" fontId="0" fillId="0" borderId="0" xfId="0" applyNumberFormat="1" applyAlignment="1">
      <alignment vertical="top"/>
    </xf>
    <xf numFmtId="0" fontId="32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Alignment="1">
      <alignment vertical="top"/>
    </xf>
    <xf numFmtId="0" fontId="35" fillId="0" borderId="0" xfId="0" applyFont="1" applyAlignment="1">
      <alignment vertical="top"/>
    </xf>
    <xf numFmtId="2" fontId="24" fillId="0" borderId="0" xfId="0" applyNumberFormat="1" applyFont="1" applyAlignment="1">
      <alignment vertical="top"/>
    </xf>
    <xf numFmtId="2" fontId="23" fillId="0" borderId="0" xfId="0" applyNumberFormat="1" applyFont="1" applyAlignment="1">
      <alignment vertical="top"/>
    </xf>
    <xf numFmtId="0" fontId="44" fillId="0" borderId="0" xfId="0" applyFont="1" applyAlignment="1">
      <alignment horizontal="center" vertical="top"/>
    </xf>
    <xf numFmtId="0" fontId="35" fillId="4" borderId="0" xfId="0" applyFont="1" applyFill="1" applyAlignment="1">
      <alignment vertical="top"/>
    </xf>
    <xf numFmtId="166" fontId="35" fillId="0" borderId="0" xfId="0" applyNumberFormat="1" applyFont="1" applyAlignment="1">
      <alignment vertical="top"/>
    </xf>
    <xf numFmtId="165" fontId="74" fillId="3" borderId="8" xfId="0" quotePrefix="1" applyNumberFormat="1" applyFont="1" applyFill="1" applyBorder="1" applyAlignment="1" applyProtection="1">
      <alignment horizontal="right" vertical="center"/>
      <protection locked="0"/>
    </xf>
    <xf numFmtId="0" fontId="8" fillId="0" borderId="0" xfId="5" applyFont="1"/>
    <xf numFmtId="0" fontId="3" fillId="0" borderId="0" xfId="5"/>
    <xf numFmtId="0" fontId="3" fillId="0" borderId="41" xfId="5" applyBorder="1"/>
    <xf numFmtId="0" fontId="5" fillId="8" borderId="2" xfId="5" applyFont="1" applyFill="1" applyBorder="1" applyAlignment="1">
      <alignment horizontal="center" vertical="center"/>
    </xf>
    <xf numFmtId="165" fontId="5" fillId="5" borderId="2" xfId="5" applyNumberFormat="1" applyFont="1" applyFill="1" applyBorder="1" applyAlignment="1">
      <alignment horizontal="center" vertical="center"/>
    </xf>
    <xf numFmtId="0" fontId="12" fillId="5" borderId="2" xfId="5" applyFont="1" applyFill="1" applyBorder="1" applyAlignment="1">
      <alignment horizontal="center" vertical="center"/>
    </xf>
    <xf numFmtId="0" fontId="12" fillId="8" borderId="2" xfId="5" applyFont="1" applyFill="1" applyBorder="1" applyAlignment="1">
      <alignment horizontal="center" vertical="center"/>
    </xf>
    <xf numFmtId="0" fontId="3" fillId="0" borderId="2" xfId="5" applyBorder="1"/>
    <xf numFmtId="165" fontId="3" fillId="5" borderId="2" xfId="5" applyNumberFormat="1" applyFill="1" applyBorder="1" applyAlignment="1">
      <alignment horizontal="center" vertical="center"/>
    </xf>
    <xf numFmtId="2" fontId="3" fillId="8" borderId="2" xfId="5" applyNumberFormat="1" applyFill="1" applyBorder="1" applyAlignment="1">
      <alignment horizontal="center"/>
    </xf>
    <xf numFmtId="0" fontId="3" fillId="0" borderId="15" xfId="5" applyBorder="1"/>
    <xf numFmtId="165" fontId="3" fillId="5" borderId="2" xfId="5" applyNumberFormat="1" applyFill="1" applyBorder="1" applyAlignment="1">
      <alignment horizontal="center"/>
    </xf>
    <xf numFmtId="0" fontId="3" fillId="5" borderId="2" xfId="5" quotePrefix="1" applyFill="1" applyBorder="1" applyAlignment="1">
      <alignment horizontal="center"/>
    </xf>
    <xf numFmtId="0" fontId="3" fillId="0" borderId="56" xfId="5" applyBorder="1"/>
    <xf numFmtId="0" fontId="3" fillId="0" borderId="57" xfId="5" applyBorder="1"/>
    <xf numFmtId="0" fontId="3" fillId="0" borderId="17" xfId="5" applyBorder="1"/>
    <xf numFmtId="0" fontId="5" fillId="5" borderId="2" xfId="5" applyFont="1" applyFill="1" applyBorder="1" applyAlignment="1">
      <alignment horizontal="center" vertical="center"/>
    </xf>
    <xf numFmtId="165" fontId="3" fillId="5" borderId="2" xfId="5" quotePrefix="1" applyNumberFormat="1" applyFill="1" applyBorder="1" applyAlignment="1">
      <alignment horizontal="center"/>
    </xf>
    <xf numFmtId="0" fontId="3" fillId="5" borderId="0" xfId="5" applyFill="1" applyAlignment="1">
      <alignment horizontal="center"/>
    </xf>
    <xf numFmtId="0" fontId="5" fillId="8" borderId="59" xfId="5" applyFont="1" applyFill="1" applyBorder="1" applyAlignment="1">
      <alignment horizontal="center" vertical="center"/>
    </xf>
    <xf numFmtId="0" fontId="5" fillId="5" borderId="61" xfId="5" applyFont="1" applyFill="1" applyBorder="1" applyAlignment="1">
      <alignment horizontal="center" vertical="center"/>
    </xf>
    <xf numFmtId="0" fontId="12" fillId="5" borderId="68" xfId="5" applyFont="1" applyFill="1" applyBorder="1" applyAlignment="1">
      <alignment horizontal="center" vertical="center"/>
    </xf>
    <xf numFmtId="0" fontId="12" fillId="8" borderId="68" xfId="5" applyFont="1" applyFill="1" applyBorder="1" applyAlignment="1">
      <alignment horizontal="center" vertical="center"/>
    </xf>
    <xf numFmtId="0" fontId="5" fillId="8" borderId="65" xfId="5" applyFont="1" applyFill="1" applyBorder="1" applyAlignment="1">
      <alignment horizontal="center" vertical="center"/>
    </xf>
    <xf numFmtId="0" fontId="5" fillId="5" borderId="21" xfId="5" applyFont="1" applyFill="1" applyBorder="1" applyAlignment="1">
      <alignment horizontal="center" vertical="center"/>
    </xf>
    <xf numFmtId="165" fontId="3" fillId="5" borderId="45" xfId="5" applyNumberFormat="1" applyFill="1" applyBorder="1" applyAlignment="1">
      <alignment horizontal="center" vertical="center"/>
    </xf>
    <xf numFmtId="165" fontId="3" fillId="5" borderId="1" xfId="5" applyNumberFormat="1" applyFill="1" applyBorder="1" applyAlignment="1">
      <alignment horizontal="center" vertical="center"/>
    </xf>
    <xf numFmtId="2" fontId="3" fillId="8" borderId="26" xfId="5" applyNumberFormat="1" applyFill="1" applyBorder="1" applyAlignment="1">
      <alignment horizontal="center"/>
    </xf>
    <xf numFmtId="165" fontId="3" fillId="5" borderId="62" xfId="5" applyNumberFormat="1" applyFill="1" applyBorder="1" applyAlignment="1">
      <alignment horizontal="center" vertical="center"/>
    </xf>
    <xf numFmtId="2" fontId="3" fillId="8" borderId="23" xfId="5" applyNumberFormat="1" applyFill="1" applyBorder="1" applyAlignment="1">
      <alignment horizontal="center"/>
    </xf>
    <xf numFmtId="165" fontId="3" fillId="5" borderId="32" xfId="5" applyNumberFormat="1" applyFill="1" applyBorder="1" applyAlignment="1">
      <alignment horizontal="center"/>
    </xf>
    <xf numFmtId="165" fontId="3" fillId="5" borderId="31" xfId="5" applyNumberFormat="1" applyFill="1" applyBorder="1" applyAlignment="1">
      <alignment horizontal="center"/>
    </xf>
    <xf numFmtId="165" fontId="3" fillId="5" borderId="14" xfId="5" applyNumberFormat="1" applyFill="1" applyBorder="1" applyAlignment="1">
      <alignment horizontal="center"/>
    </xf>
    <xf numFmtId="2" fontId="3" fillId="8" borderId="21" xfId="5" applyNumberFormat="1" applyFill="1" applyBorder="1" applyAlignment="1">
      <alignment horizontal="center"/>
    </xf>
    <xf numFmtId="0" fontId="3" fillId="0" borderId="55" xfId="5" applyBorder="1"/>
    <xf numFmtId="0" fontId="3" fillId="5" borderId="14" xfId="5" quotePrefix="1" applyFill="1" applyBorder="1" applyAlignment="1">
      <alignment horizontal="center"/>
    </xf>
    <xf numFmtId="0" fontId="3" fillId="3" borderId="17" xfId="5" applyFill="1" applyBorder="1" applyAlignment="1">
      <alignment horizontal="center" vertical="center"/>
    </xf>
    <xf numFmtId="165" fontId="3" fillId="3" borderId="0" xfId="5" applyNumberFormat="1" applyFill="1" applyAlignment="1">
      <alignment horizontal="center"/>
    </xf>
    <xf numFmtId="0" fontId="3" fillId="3" borderId="0" xfId="5" quotePrefix="1" applyFill="1" applyAlignment="1">
      <alignment horizontal="center"/>
    </xf>
    <xf numFmtId="164" fontId="3" fillId="3" borderId="0" xfId="5" applyNumberFormat="1" applyFill="1" applyAlignment="1">
      <alignment horizontal="center"/>
    </xf>
    <xf numFmtId="0" fontId="3" fillId="3" borderId="0" xfId="5" applyFill="1"/>
    <xf numFmtId="165" fontId="5" fillId="5" borderId="21" xfId="5" applyNumberFormat="1" applyFont="1" applyFill="1" applyBorder="1" applyAlignment="1">
      <alignment horizontal="center" vertical="center"/>
    </xf>
    <xf numFmtId="165" fontId="5" fillId="5" borderId="61" xfId="5" applyNumberFormat="1" applyFont="1" applyFill="1" applyBorder="1" applyAlignment="1">
      <alignment horizontal="center" vertical="center"/>
    </xf>
    <xf numFmtId="1" fontId="3" fillId="5" borderId="45" xfId="5" applyNumberFormat="1" applyFill="1" applyBorder="1" applyAlignment="1">
      <alignment horizontal="center" vertical="center"/>
    </xf>
    <xf numFmtId="1" fontId="3" fillId="5" borderId="62" xfId="5" applyNumberFormat="1" applyFill="1" applyBorder="1" applyAlignment="1">
      <alignment horizontal="center" vertical="center"/>
    </xf>
    <xf numFmtId="1" fontId="3" fillId="5" borderId="32" xfId="5" applyNumberFormat="1" applyFill="1" applyBorder="1" applyAlignment="1">
      <alignment horizontal="center"/>
    </xf>
    <xf numFmtId="1" fontId="3" fillId="5" borderId="31" xfId="5" applyNumberFormat="1" applyFill="1" applyBorder="1" applyAlignment="1">
      <alignment horizontal="center"/>
    </xf>
    <xf numFmtId="2" fontId="3" fillId="3" borderId="0" xfId="5" applyNumberFormat="1" applyFill="1" applyAlignment="1">
      <alignment horizontal="center"/>
    </xf>
    <xf numFmtId="0" fontId="12" fillId="5" borderId="68" xfId="5" quotePrefix="1" applyFont="1" applyFill="1" applyBorder="1" applyAlignment="1">
      <alignment horizontal="center" vertical="center"/>
    </xf>
    <xf numFmtId="164" fontId="3" fillId="5" borderId="1" xfId="5" applyNumberFormat="1" applyFill="1" applyBorder="1" applyAlignment="1">
      <alignment horizontal="center" vertical="center"/>
    </xf>
    <xf numFmtId="164" fontId="3" fillId="5" borderId="2" xfId="5" applyNumberFormat="1" applyFill="1" applyBorder="1" applyAlignment="1">
      <alignment horizontal="center" vertical="center"/>
    </xf>
    <xf numFmtId="165" fontId="3" fillId="5" borderId="63" xfId="5" applyNumberFormat="1" applyFill="1" applyBorder="1" applyAlignment="1">
      <alignment horizontal="center" vertical="center"/>
    </xf>
    <xf numFmtId="165" fontId="3" fillId="5" borderId="31" xfId="5" applyNumberFormat="1" applyFill="1" applyBorder="1" applyAlignment="1">
      <alignment horizontal="center" vertical="center"/>
    </xf>
    <xf numFmtId="0" fontId="8" fillId="7" borderId="55" xfId="5" applyFont="1" applyFill="1" applyBorder="1"/>
    <xf numFmtId="0" fontId="8" fillId="7" borderId="56" xfId="5" applyFont="1" applyFill="1" applyBorder="1"/>
    <xf numFmtId="0" fontId="8" fillId="7" borderId="57" xfId="5" applyFont="1" applyFill="1" applyBorder="1"/>
    <xf numFmtId="0" fontId="58" fillId="8" borderId="2" xfId="5" applyFont="1" applyFill="1" applyBorder="1" applyAlignment="1">
      <alignment horizontal="center" vertical="center"/>
    </xf>
    <xf numFmtId="0" fontId="14" fillId="8" borderId="2" xfId="4" applyFont="1" applyFill="1" applyBorder="1" applyAlignment="1">
      <alignment horizontal="center" vertical="center"/>
    </xf>
    <xf numFmtId="0" fontId="8" fillId="4" borderId="2" xfId="5" applyFont="1" applyFill="1" applyBorder="1" applyAlignment="1">
      <alignment horizontal="center" vertical="center"/>
    </xf>
    <xf numFmtId="165" fontId="13" fillId="4" borderId="8" xfId="5" applyNumberFormat="1" applyFont="1" applyFill="1" applyBorder="1" applyAlignment="1">
      <alignment horizontal="center" vertical="center"/>
    </xf>
    <xf numFmtId="0" fontId="8" fillId="8" borderId="2" xfId="5" applyFont="1" applyFill="1" applyBorder="1" applyAlignment="1">
      <alignment horizontal="center" vertical="center"/>
    </xf>
    <xf numFmtId="2" fontId="8" fillId="8" borderId="2" xfId="5" applyNumberFormat="1" applyFont="1" applyFill="1" applyBorder="1" applyAlignment="1">
      <alignment horizontal="center" vertical="center"/>
    </xf>
    <xf numFmtId="0" fontId="8" fillId="4" borderId="2" xfId="5" applyFont="1" applyFill="1" applyBorder="1" applyAlignment="1">
      <alignment horizontal="center"/>
    </xf>
    <xf numFmtId="0" fontId="13" fillId="4" borderId="8" xfId="5" applyFont="1" applyFill="1" applyBorder="1" applyAlignment="1">
      <alignment horizontal="center" vertical="center"/>
    </xf>
    <xf numFmtId="0" fontId="13" fillId="4" borderId="8" xfId="5" applyFont="1" applyFill="1" applyBorder="1" applyAlignment="1">
      <alignment horizontal="center"/>
    </xf>
    <xf numFmtId="2" fontId="8" fillId="8" borderId="2" xfId="5" applyNumberFormat="1" applyFont="1" applyFill="1" applyBorder="1" applyAlignment="1">
      <alignment horizontal="center"/>
    </xf>
    <xf numFmtId="165" fontId="13" fillId="4" borderId="2" xfId="5" applyNumberFormat="1" applyFont="1" applyFill="1" applyBorder="1" applyAlignment="1">
      <alignment horizontal="center" vertical="center"/>
    </xf>
    <xf numFmtId="1" fontId="8" fillId="8" borderId="2" xfId="5" applyNumberFormat="1" applyFont="1" applyFill="1" applyBorder="1" applyAlignment="1">
      <alignment horizontal="center" vertical="center"/>
    </xf>
    <xf numFmtId="0" fontId="8" fillId="0" borderId="2" xfId="5" applyFont="1" applyBorder="1"/>
    <xf numFmtId="0" fontId="8" fillId="3" borderId="52" xfId="5" applyFont="1" applyFill="1" applyBorder="1" applyAlignment="1">
      <alignment horizontal="center" vertical="center"/>
    </xf>
    <xf numFmtId="0" fontId="8" fillId="3" borderId="3" xfId="5" applyFont="1" applyFill="1" applyBorder="1" applyAlignment="1">
      <alignment horizontal="center" vertical="center"/>
    </xf>
    <xf numFmtId="2" fontId="8" fillId="3" borderId="38" xfId="5" applyNumberFormat="1" applyFont="1" applyFill="1" applyBorder="1" applyAlignment="1">
      <alignment horizontal="center"/>
    </xf>
    <xf numFmtId="2" fontId="8" fillId="3" borderId="15" xfId="5" applyNumberFormat="1" applyFont="1" applyFill="1" applyBorder="1" applyAlignment="1">
      <alignment horizontal="center"/>
    </xf>
    <xf numFmtId="0" fontId="8" fillId="3" borderId="0" xfId="5" applyFont="1" applyFill="1"/>
    <xf numFmtId="0" fontId="8" fillId="3" borderId="2" xfId="5" applyFont="1" applyFill="1" applyBorder="1" applyAlignment="1">
      <alignment horizontal="center" vertical="center"/>
    </xf>
    <xf numFmtId="2" fontId="8" fillId="3" borderId="2" xfId="5" applyNumberFormat="1" applyFont="1" applyFill="1" applyBorder="1" applyAlignment="1">
      <alignment horizontal="center"/>
    </xf>
    <xf numFmtId="165" fontId="59" fillId="4" borderId="8" xfId="5" applyNumberFormat="1" applyFont="1" applyFill="1" applyBorder="1" applyAlignment="1">
      <alignment horizontal="center" vertical="center"/>
    </xf>
    <xf numFmtId="0" fontId="8" fillId="4" borderId="0" xfId="5" applyFont="1" applyFill="1" applyAlignment="1">
      <alignment horizontal="center" vertical="center"/>
    </xf>
    <xf numFmtId="165" fontId="13" fillId="4" borderId="0" xfId="5" applyNumberFormat="1" applyFont="1" applyFill="1" applyAlignment="1">
      <alignment horizontal="center" vertical="center"/>
    </xf>
    <xf numFmtId="165" fontId="3" fillId="0" borderId="0" xfId="5" applyNumberFormat="1" applyAlignment="1">
      <alignment horizontal="center" vertical="center"/>
    </xf>
    <xf numFmtId="2" fontId="8" fillId="3" borderId="5" xfId="5" applyNumberFormat="1" applyFont="1" applyFill="1" applyBorder="1" applyAlignment="1">
      <alignment horizontal="center" vertical="center"/>
    </xf>
    <xf numFmtId="2" fontId="8" fillId="3" borderId="46" xfId="5" applyNumberFormat="1" applyFont="1" applyFill="1" applyBorder="1" applyAlignment="1">
      <alignment horizontal="center" vertical="center"/>
    </xf>
    <xf numFmtId="0" fontId="8" fillId="3" borderId="38" xfId="5" applyFont="1" applyFill="1" applyBorder="1" applyAlignment="1">
      <alignment horizontal="center" vertical="center"/>
    </xf>
    <xf numFmtId="0" fontId="8" fillId="3" borderId="17" xfId="5" applyFont="1" applyFill="1" applyBorder="1" applyAlignment="1">
      <alignment horizontal="center" vertical="center"/>
    </xf>
    <xf numFmtId="0" fontId="8" fillId="0" borderId="17" xfId="5" applyFont="1" applyBorder="1" applyAlignment="1">
      <alignment horizontal="center" vertical="center"/>
    </xf>
    <xf numFmtId="0" fontId="8" fillId="3" borderId="0" xfId="5" applyFont="1" applyFill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58" fillId="3" borderId="62" xfId="5" applyFont="1" applyFill="1" applyBorder="1" applyAlignment="1">
      <alignment horizontal="center" vertical="center"/>
    </xf>
    <xf numFmtId="0" fontId="58" fillId="3" borderId="2" xfId="5" applyFont="1" applyFill="1" applyBorder="1" applyAlignment="1">
      <alignment horizontal="center" vertical="center"/>
    </xf>
    <xf numFmtId="165" fontId="8" fillId="3" borderId="62" xfId="5" applyNumberFormat="1" applyFont="1" applyFill="1" applyBorder="1" applyAlignment="1">
      <alignment horizontal="center" vertical="center"/>
    </xf>
    <xf numFmtId="165" fontId="8" fillId="3" borderId="2" xfId="5" applyNumberFormat="1" applyFont="1" applyFill="1" applyBorder="1" applyAlignment="1">
      <alignment horizontal="center" vertical="center"/>
    </xf>
    <xf numFmtId="165" fontId="8" fillId="3" borderId="23" xfId="5" applyNumberFormat="1" applyFont="1" applyFill="1" applyBorder="1" applyAlignment="1">
      <alignment horizontal="center" vertical="center"/>
    </xf>
    <xf numFmtId="1" fontId="8" fillId="3" borderId="62" xfId="5" applyNumberFormat="1" applyFont="1" applyFill="1" applyBorder="1" applyAlignment="1">
      <alignment horizontal="center"/>
    </xf>
    <xf numFmtId="165" fontId="8" fillId="5" borderId="2" xfId="5" applyNumberFormat="1" applyFont="1" applyFill="1" applyBorder="1" applyAlignment="1">
      <alignment horizontal="center"/>
    </xf>
    <xf numFmtId="165" fontId="8" fillId="3" borderId="2" xfId="5" applyNumberFormat="1" applyFont="1" applyFill="1" applyBorder="1" applyAlignment="1">
      <alignment horizontal="center"/>
    </xf>
    <xf numFmtId="165" fontId="8" fillId="11" borderId="2" xfId="5" applyNumberFormat="1" applyFont="1" applyFill="1" applyBorder="1" applyAlignment="1">
      <alignment horizontal="center"/>
    </xf>
    <xf numFmtId="165" fontId="8" fillId="3" borderId="23" xfId="4" applyNumberFormat="1" applyFont="1" applyFill="1" applyBorder="1" applyAlignment="1">
      <alignment horizontal="center"/>
    </xf>
    <xf numFmtId="11" fontId="8" fillId="3" borderId="0" xfId="4" applyNumberFormat="1" applyFont="1" applyFill="1" applyAlignment="1">
      <alignment horizontal="center"/>
    </xf>
    <xf numFmtId="1" fontId="8" fillId="3" borderId="65" xfId="5" applyNumberFormat="1" applyFont="1" applyFill="1" applyBorder="1" applyAlignment="1">
      <alignment horizontal="center"/>
    </xf>
    <xf numFmtId="165" fontId="8" fillId="3" borderId="14" xfId="5" applyNumberFormat="1" applyFont="1" applyFill="1" applyBorder="1" applyAlignment="1">
      <alignment horizontal="center"/>
    </xf>
    <xf numFmtId="165" fontId="8" fillId="3" borderId="21" xfId="4" applyNumberFormat="1" applyFont="1" applyFill="1" applyBorder="1" applyAlignment="1">
      <alignment horizontal="center"/>
    </xf>
    <xf numFmtId="0" fontId="3" fillId="0" borderId="40" xfId="5" applyBorder="1"/>
    <xf numFmtId="166" fontId="6" fillId="3" borderId="0" xfId="4" applyNumberFormat="1" applyFont="1" applyFill="1" applyAlignment="1">
      <alignment horizontal="center"/>
    </xf>
    <xf numFmtId="165" fontId="8" fillId="3" borderId="65" xfId="5" applyNumberFormat="1" applyFont="1" applyFill="1" applyBorder="1" applyAlignment="1">
      <alignment horizontal="center" vertical="center"/>
    </xf>
    <xf numFmtId="165" fontId="8" fillId="3" borderId="14" xfId="5" applyNumberFormat="1" applyFont="1" applyFill="1" applyBorder="1" applyAlignment="1">
      <alignment horizontal="center" vertical="center"/>
    </xf>
    <xf numFmtId="165" fontId="8" fillId="3" borderId="21" xfId="5" applyNumberFormat="1" applyFont="1" applyFill="1" applyBorder="1" applyAlignment="1">
      <alignment horizontal="center" vertical="center"/>
    </xf>
    <xf numFmtId="0" fontId="8" fillId="3" borderId="17" xfId="5" applyFont="1" applyFill="1" applyBorder="1"/>
    <xf numFmtId="164" fontId="15" fillId="3" borderId="0" xfId="4" applyNumberFormat="1" applyFont="1" applyFill="1" applyAlignment="1">
      <alignment horizontal="center"/>
    </xf>
    <xf numFmtId="167" fontId="7" fillId="3" borderId="0" xfId="4" applyNumberFormat="1" applyFont="1" applyFill="1" applyAlignment="1">
      <alignment horizontal="center"/>
    </xf>
    <xf numFmtId="0" fontId="10" fillId="3" borderId="59" xfId="5" applyFont="1" applyFill="1" applyBorder="1" applyAlignment="1">
      <alignment horizontal="center" vertical="center"/>
    </xf>
    <xf numFmtId="165" fontId="10" fillId="3" borderId="60" xfId="5" applyNumberFormat="1" applyFont="1" applyFill="1" applyBorder="1" applyAlignment="1">
      <alignment horizontal="center"/>
    </xf>
    <xf numFmtId="165" fontId="10" fillId="3" borderId="61" xfId="5" applyNumberFormat="1" applyFont="1" applyFill="1" applyBorder="1" applyAlignment="1">
      <alignment horizontal="center"/>
    </xf>
    <xf numFmtId="0" fontId="58" fillId="3" borderId="0" xfId="5" applyFont="1" applyFill="1" applyAlignment="1">
      <alignment vertical="center"/>
    </xf>
    <xf numFmtId="0" fontId="10" fillId="3" borderId="45" xfId="5" applyFont="1" applyFill="1" applyBorder="1" applyAlignment="1">
      <alignment horizontal="center" vertical="center"/>
    </xf>
    <xf numFmtId="0" fontId="8" fillId="3" borderId="15" xfId="5" applyFont="1" applyFill="1" applyBorder="1"/>
    <xf numFmtId="0" fontId="8" fillId="3" borderId="0" xfId="4" applyFont="1" applyFill="1"/>
    <xf numFmtId="165" fontId="10" fillId="3" borderId="62" xfId="5" applyNumberFormat="1" applyFont="1" applyFill="1" applyBorder="1" applyAlignment="1">
      <alignment horizontal="center" vertical="center"/>
    </xf>
    <xf numFmtId="165" fontId="10" fillId="3" borderId="2" xfId="5" applyNumberFormat="1" applyFont="1" applyFill="1" applyBorder="1" applyAlignment="1">
      <alignment horizontal="center"/>
    </xf>
    <xf numFmtId="165" fontId="10" fillId="3" borderId="23" xfId="5" applyNumberFormat="1" applyFont="1" applyFill="1" applyBorder="1" applyAlignment="1">
      <alignment horizontal="center"/>
    </xf>
    <xf numFmtId="2" fontId="14" fillId="3" borderId="0" xfId="4" applyNumberFormat="1" applyFont="1" applyFill="1" applyAlignment="1">
      <alignment horizontal="center"/>
    </xf>
    <xf numFmtId="0" fontId="10" fillId="3" borderId="65" xfId="5" applyFont="1" applyFill="1" applyBorder="1" applyAlignment="1">
      <alignment horizontal="center" vertical="center"/>
    </xf>
    <xf numFmtId="165" fontId="10" fillId="3" borderId="63" xfId="5" applyNumberFormat="1" applyFont="1" applyFill="1" applyBorder="1" applyAlignment="1">
      <alignment horizontal="center"/>
    </xf>
    <xf numFmtId="165" fontId="10" fillId="3" borderId="14" xfId="5" applyNumberFormat="1" applyFont="1" applyFill="1" applyBorder="1" applyAlignment="1">
      <alignment horizontal="center"/>
    </xf>
    <xf numFmtId="165" fontId="10" fillId="3" borderId="64" xfId="5" applyNumberFormat="1" applyFont="1" applyFill="1" applyBorder="1" applyAlignment="1">
      <alignment horizontal="center"/>
    </xf>
    <xf numFmtId="164" fontId="8" fillId="3" borderId="56" xfId="5" applyNumberFormat="1" applyFont="1" applyFill="1" applyBorder="1" applyAlignment="1">
      <alignment horizontal="center"/>
    </xf>
    <xf numFmtId="0" fontId="8" fillId="3" borderId="56" xfId="5" applyFont="1" applyFill="1" applyBorder="1"/>
    <xf numFmtId="0" fontId="8" fillId="3" borderId="57" xfId="5" applyFont="1" applyFill="1" applyBorder="1"/>
    <xf numFmtId="2" fontId="8" fillId="3" borderId="0" xfId="4" applyNumberFormat="1" applyFont="1" applyFill="1" applyAlignment="1">
      <alignment horizontal="center"/>
    </xf>
    <xf numFmtId="0" fontId="3" fillId="0" borderId="0" xfId="5" applyProtection="1">
      <protection locked="0"/>
    </xf>
    <xf numFmtId="0" fontId="8" fillId="8" borderId="32" xfId="5" applyFont="1" applyFill="1" applyBorder="1" applyAlignment="1" applyProtection="1">
      <alignment vertical="center"/>
      <protection locked="0"/>
    </xf>
    <xf numFmtId="0" fontId="8" fillId="8" borderId="7" xfId="5" applyFont="1" applyFill="1" applyBorder="1" applyAlignment="1" applyProtection="1">
      <alignment horizontal="center" vertical="center"/>
      <protection locked="0"/>
    </xf>
    <xf numFmtId="0" fontId="8" fillId="8" borderId="7" xfId="5" applyFont="1" applyFill="1" applyBorder="1" applyAlignment="1" applyProtection="1">
      <alignment vertical="center"/>
      <protection locked="0"/>
    </xf>
    <xf numFmtId="0" fontId="8" fillId="8" borderId="6" xfId="5" applyFont="1" applyFill="1" applyBorder="1" applyAlignment="1" applyProtection="1">
      <alignment vertical="center"/>
      <protection locked="0"/>
    </xf>
    <xf numFmtId="0" fontId="8" fillId="8" borderId="8" xfId="5" applyFont="1" applyFill="1" applyBorder="1" applyAlignment="1" applyProtection="1">
      <alignment vertical="center"/>
      <protection locked="0"/>
    </xf>
    <xf numFmtId="0" fontId="8" fillId="8" borderId="59" xfId="5" applyFont="1" applyFill="1" applyBorder="1" applyAlignment="1" applyProtection="1">
      <alignment horizontal="center" vertical="center"/>
      <protection locked="0"/>
    </xf>
    <xf numFmtId="0" fontId="8" fillId="8" borderId="61" xfId="5" applyFont="1" applyFill="1" applyBorder="1" applyAlignment="1" applyProtection="1">
      <alignment horizontal="center" vertical="center"/>
      <protection locked="0"/>
    </xf>
    <xf numFmtId="0" fontId="8" fillId="8" borderId="54" xfId="5" applyFont="1" applyFill="1" applyBorder="1" applyAlignment="1" applyProtection="1">
      <alignment horizontal="center" vertical="center"/>
      <protection locked="0"/>
    </xf>
    <xf numFmtId="0" fontId="26" fillId="0" borderId="2" xfId="5" applyFont="1" applyBorder="1" applyAlignment="1">
      <alignment vertical="center"/>
    </xf>
    <xf numFmtId="0" fontId="8" fillId="8" borderId="62" xfId="5" applyFont="1" applyFill="1" applyBorder="1" applyAlignment="1" applyProtection="1">
      <alignment horizontal="center" vertical="center"/>
      <protection locked="0"/>
    </xf>
    <xf numFmtId="0" fontId="8" fillId="8" borderId="23" xfId="5" applyFont="1" applyFill="1" applyBorder="1" applyAlignment="1" applyProtection="1">
      <alignment horizontal="center" vertical="center"/>
      <protection locked="0"/>
    </xf>
    <xf numFmtId="0" fontId="8" fillId="3" borderId="2" xfId="5" applyFont="1" applyFill="1" applyBorder="1"/>
    <xf numFmtId="2" fontId="26" fillId="0" borderId="2" xfId="5" applyNumberFormat="1" applyFont="1" applyBorder="1" applyAlignment="1">
      <alignment horizontal="center" vertical="center"/>
    </xf>
    <xf numFmtId="0" fontId="8" fillId="8" borderId="51" xfId="5" applyFont="1" applyFill="1" applyBorder="1" applyAlignment="1" applyProtection="1">
      <alignment horizontal="center" vertical="center"/>
      <protection locked="0"/>
    </xf>
    <xf numFmtId="0" fontId="8" fillId="8" borderId="65" xfId="5" applyFont="1" applyFill="1" applyBorder="1" applyAlignment="1" applyProtection="1">
      <alignment horizontal="center" vertical="center"/>
      <protection locked="0"/>
    </xf>
    <xf numFmtId="0" fontId="8" fillId="8" borderId="21" xfId="5" applyFont="1" applyFill="1" applyBorder="1" applyAlignment="1" applyProtection="1">
      <alignment horizontal="center" vertical="center"/>
      <protection locked="0"/>
    </xf>
    <xf numFmtId="165" fontId="3" fillId="10" borderId="2" xfId="4" quotePrefix="1" applyNumberFormat="1" applyFill="1" applyBorder="1" applyAlignment="1" applyProtection="1">
      <alignment horizontal="center" vertical="center"/>
      <protection locked="0"/>
    </xf>
    <xf numFmtId="0" fontId="3" fillId="3" borderId="0" xfId="4" applyFill="1"/>
    <xf numFmtId="0" fontId="10" fillId="3" borderId="2" xfId="4" applyFont="1" applyFill="1" applyBorder="1" applyAlignment="1">
      <alignment horizontal="center" vertical="center"/>
    </xf>
    <xf numFmtId="164" fontId="10" fillId="3" borderId="2" xfId="4" applyNumberFormat="1" applyFont="1" applyFill="1" applyBorder="1" applyAlignment="1">
      <alignment horizontal="center" vertical="center"/>
    </xf>
    <xf numFmtId="2" fontId="10" fillId="3" borderId="2" xfId="4" applyNumberFormat="1" applyFont="1" applyFill="1" applyBorder="1" applyAlignment="1">
      <alignment horizontal="center" vertical="center"/>
    </xf>
    <xf numFmtId="165" fontId="37" fillId="2" borderId="0" xfId="0" applyNumberFormat="1" applyFont="1" applyFill="1" applyAlignment="1">
      <alignment horizontal="left" vertical="center"/>
    </xf>
    <xf numFmtId="0" fontId="32" fillId="0" borderId="0" xfId="5" applyFont="1"/>
    <xf numFmtId="0" fontId="32" fillId="0" borderId="0" xfId="5" applyFont="1" applyAlignment="1">
      <alignment horizontal="right"/>
    </xf>
    <xf numFmtId="0" fontId="22" fillId="0" borderId="0" xfId="5" applyFont="1"/>
    <xf numFmtId="0" fontId="22" fillId="0" borderId="0" xfId="1" applyFont="1"/>
    <xf numFmtId="0" fontId="23" fillId="0" borderId="0" xfId="5" applyFont="1"/>
    <xf numFmtId="0" fontId="0" fillId="0" borderId="0" xfId="1" applyFont="1" applyAlignment="1">
      <alignment horizontal="right"/>
    </xf>
    <xf numFmtId="0" fontId="32" fillId="0" borderId="0" xfId="1" applyFont="1" applyAlignment="1">
      <alignment horizontal="center"/>
    </xf>
    <xf numFmtId="0" fontId="42" fillId="0" borderId="0" xfId="5" applyFont="1" applyAlignment="1">
      <alignment vertical="center" wrapText="1"/>
    </xf>
    <xf numFmtId="164" fontId="32" fillId="0" borderId="0" xfId="5" applyNumberFormat="1" applyFont="1"/>
    <xf numFmtId="0" fontId="22" fillId="0" borderId="0" xfId="1" applyFont="1" applyAlignment="1">
      <alignment vertical="center" wrapText="1"/>
    </xf>
    <xf numFmtId="0" fontId="32" fillId="0" borderId="8" xfId="4" applyFont="1" applyBorder="1" applyAlignment="1">
      <alignment vertical="center"/>
    </xf>
    <xf numFmtId="0" fontId="32" fillId="0" borderId="6" xfId="4" applyFont="1" applyBorder="1" applyAlignment="1">
      <alignment vertical="center"/>
    </xf>
    <xf numFmtId="0" fontId="32" fillId="0" borderId="8" xfId="4" applyFont="1" applyBorder="1" applyAlignment="1">
      <alignment horizontal="right" vertical="center"/>
    </xf>
    <xf numFmtId="0" fontId="32" fillId="0" borderId="6" xfId="4" applyFont="1" applyBorder="1" applyAlignment="1">
      <alignment horizontal="left" vertical="center"/>
    </xf>
    <xf numFmtId="0" fontId="32" fillId="0" borderId="0" xfId="4" applyFont="1" applyAlignment="1">
      <alignment horizontal="left" vertical="center"/>
    </xf>
    <xf numFmtId="0" fontId="32" fillId="0" borderId="0" xfId="1" quotePrefix="1" applyFont="1" applyAlignment="1">
      <alignment horizontal="center"/>
    </xf>
    <xf numFmtId="0" fontId="39" fillId="0" borderId="0" xfId="1" applyFont="1" applyAlignment="1">
      <alignment horizontal="center"/>
    </xf>
    <xf numFmtId="0" fontId="32" fillId="0" borderId="0" xfId="1" applyFont="1" applyAlignment="1">
      <alignment horizontal="right" vertical="center"/>
    </xf>
    <xf numFmtId="165" fontId="32" fillId="0" borderId="0" xfId="1" applyNumberFormat="1" applyFont="1" applyAlignment="1">
      <alignment horizontal="left" vertical="center"/>
    </xf>
    <xf numFmtId="0" fontId="32" fillId="0" borderId="0" xfId="1" applyFont="1" applyAlignment="1">
      <alignment horizontal="right"/>
    </xf>
    <xf numFmtId="0" fontId="38" fillId="2" borderId="0" xfId="5" applyFont="1" applyFill="1"/>
    <xf numFmtId="0" fontId="37" fillId="2" borderId="0" xfId="5" applyFont="1" applyFill="1"/>
    <xf numFmtId="0" fontId="38" fillId="2" borderId="9" xfId="5" applyFont="1" applyFill="1" applyBorder="1" applyAlignment="1">
      <alignment horizontal="center"/>
    </xf>
    <xf numFmtId="0" fontId="38" fillId="2" borderId="0" xfId="5" applyFont="1" applyFill="1" applyAlignment="1">
      <alignment horizontal="center"/>
    </xf>
    <xf numFmtId="0" fontId="37" fillId="2" borderId="2" xfId="5" applyFont="1" applyFill="1" applyBorder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2" fillId="0" borderId="0" xfId="5" applyFont="1" applyAlignment="1">
      <alignment horizontal="right" vertical="center"/>
    </xf>
    <xf numFmtId="0" fontId="32" fillId="0" borderId="0" xfId="5" applyFont="1" applyAlignment="1">
      <alignment horizontal="left"/>
    </xf>
    <xf numFmtId="0" fontId="32" fillId="0" borderId="0" xfId="5" applyFont="1" applyProtection="1">
      <protection locked="0"/>
    </xf>
    <xf numFmtId="0" fontId="4" fillId="2" borderId="0" xfId="5" applyFont="1" applyFill="1"/>
    <xf numFmtId="0" fontId="4" fillId="0" borderId="0" xfId="5" applyFont="1"/>
    <xf numFmtId="0" fontId="53" fillId="0" borderId="0" xfId="5" applyFont="1"/>
    <xf numFmtId="0" fontId="5" fillId="0" borderId="0" xfId="5" applyFont="1" applyAlignment="1">
      <alignment horizontal="center"/>
    </xf>
    <xf numFmtId="0" fontId="43" fillId="0" borderId="0" xfId="5" applyFont="1" applyAlignment="1">
      <alignment horizontal="center"/>
    </xf>
    <xf numFmtId="164" fontId="79" fillId="0" borderId="0" xfId="5" applyNumberFormat="1" applyFont="1"/>
    <xf numFmtId="0" fontId="80" fillId="2" borderId="0" xfId="5" applyFont="1" applyFill="1"/>
    <xf numFmtId="0" fontId="81" fillId="0" borderId="0" xfId="1" applyFont="1"/>
    <xf numFmtId="0" fontId="80" fillId="0" borderId="0" xfId="1" applyFont="1"/>
    <xf numFmtId="0" fontId="82" fillId="0" borderId="0" xfId="5" applyFont="1" applyAlignment="1">
      <alignment horizontal="right"/>
    </xf>
    <xf numFmtId="0" fontId="3" fillId="0" borderId="0" xfId="3"/>
    <xf numFmtId="0" fontId="83" fillId="0" borderId="2" xfId="3" applyFont="1" applyBorder="1" applyAlignment="1">
      <alignment horizontal="center" vertical="center"/>
    </xf>
    <xf numFmtId="173" fontId="3" fillId="0" borderId="2" xfId="3" applyNumberFormat="1" applyBorder="1" applyAlignment="1">
      <alignment horizontal="center" vertical="center"/>
    </xf>
    <xf numFmtId="0" fontId="84" fillId="0" borderId="2" xfId="3" quotePrefix="1" applyFont="1" applyBorder="1" applyAlignment="1">
      <alignment horizontal="center" vertical="center"/>
    </xf>
    <xf numFmtId="0" fontId="84" fillId="0" borderId="2" xfId="3" applyFont="1" applyBorder="1" applyAlignment="1">
      <alignment horizontal="center" vertical="center"/>
    </xf>
    <xf numFmtId="0" fontId="3" fillId="0" borderId="2" xfId="3" applyBorder="1"/>
    <xf numFmtId="173" fontId="83" fillId="0" borderId="2" xfId="3" applyNumberFormat="1" applyFont="1" applyBorder="1" applyAlignment="1">
      <alignment horizontal="center" vertical="center"/>
    </xf>
    <xf numFmtId="0" fontId="83" fillId="0" borderId="2" xfId="3" applyFont="1" applyBorder="1" applyAlignment="1">
      <alignment vertical="center" wrapText="1"/>
    </xf>
    <xf numFmtId="0" fontId="50" fillId="0" borderId="2" xfId="3" applyFont="1" applyBorder="1" applyAlignment="1">
      <alignment horizontal="center" vertical="center"/>
    </xf>
    <xf numFmtId="0" fontId="85" fillId="0" borderId="0" xfId="3" applyFont="1"/>
    <xf numFmtId="0" fontId="37" fillId="2" borderId="0" xfId="0" applyFont="1" applyFill="1" applyProtection="1">
      <protection locked="0"/>
    </xf>
    <xf numFmtId="0" fontId="74" fillId="3" borderId="0" xfId="0" quotePrefix="1" applyFont="1" applyFill="1" applyAlignment="1" applyProtection="1">
      <alignment horizontal="left" vertical="center"/>
      <protection locked="0"/>
    </xf>
    <xf numFmtId="0" fontId="38" fillId="2" borderId="0" xfId="0" applyFont="1" applyFill="1" applyProtection="1">
      <protection locked="0"/>
    </xf>
    <xf numFmtId="0" fontId="74" fillId="3" borderId="8" xfId="1" applyFont="1" applyFill="1" applyBorder="1" applyAlignment="1" applyProtection="1">
      <alignment horizontal="right"/>
      <protection locked="0"/>
    </xf>
    <xf numFmtId="0" fontId="74" fillId="3" borderId="2" xfId="0" applyFont="1" applyFill="1" applyBorder="1" applyAlignment="1" applyProtection="1">
      <alignment horizontal="center" vertical="center"/>
      <protection locked="0"/>
    </xf>
    <xf numFmtId="1" fontId="37" fillId="2" borderId="0" xfId="0" applyNumberFormat="1" applyFont="1" applyFill="1" applyAlignment="1" applyProtection="1">
      <alignment horizontal="center" vertical="center"/>
      <protection locked="0"/>
    </xf>
    <xf numFmtId="0" fontId="22" fillId="0" borderId="0" xfId="0" applyFont="1" applyProtection="1">
      <protection locked="0"/>
    </xf>
    <xf numFmtId="0" fontId="0" fillId="0" borderId="0" xfId="0" applyProtection="1">
      <protection locked="0"/>
    </xf>
    <xf numFmtId="0" fontId="37" fillId="2" borderId="0" xfId="0" applyFont="1" applyFill="1" applyAlignment="1" applyProtection="1">
      <alignment horizontal="left"/>
      <protection locked="0"/>
    </xf>
    <xf numFmtId="0" fontId="66" fillId="0" borderId="0" xfId="3" applyFont="1" applyAlignment="1">
      <alignment horizontal="center" vertical="center"/>
    </xf>
    <xf numFmtId="0" fontId="67" fillId="0" borderId="0" xfId="3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3" fillId="0" borderId="0" xfId="3" applyFont="1" applyAlignment="1">
      <alignment horizontal="center" vertical="center"/>
    </xf>
    <xf numFmtId="164" fontId="56" fillId="0" borderId="0" xfId="0" applyNumberFormat="1" applyFont="1" applyAlignment="1">
      <alignment horizontal="center" vertical="center"/>
    </xf>
    <xf numFmtId="165" fontId="56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2" fillId="0" borderId="2" xfId="0" applyFont="1" applyBorder="1"/>
    <xf numFmtId="0" fontId="32" fillId="0" borderId="8" xfId="0" applyFont="1" applyBorder="1" applyAlignment="1">
      <alignment horizontal="right"/>
    </xf>
    <xf numFmtId="0" fontId="32" fillId="0" borderId="6" xfId="0" applyFont="1" applyBorder="1"/>
    <xf numFmtId="164" fontId="32" fillId="0" borderId="8" xfId="0" applyNumberFormat="1" applyFont="1" applyBorder="1" applyAlignment="1">
      <alignment horizontal="right"/>
    </xf>
    <xf numFmtId="165" fontId="32" fillId="0" borderId="8" xfId="0" applyNumberFormat="1" applyFont="1" applyBorder="1" applyAlignment="1">
      <alignment horizontal="right"/>
    </xf>
    <xf numFmtId="0" fontId="32" fillId="0" borderId="0" xfId="0" applyFont="1" applyAlignment="1">
      <alignment wrapText="1"/>
    </xf>
    <xf numFmtId="0" fontId="32" fillId="0" borderId="2" xfId="0" applyFont="1" applyBorder="1" applyAlignment="1">
      <alignment horizontal="center"/>
    </xf>
    <xf numFmtId="165" fontId="32" fillId="0" borderId="2" xfId="0" applyNumberFormat="1" applyFont="1" applyBorder="1" applyAlignment="1">
      <alignment horizontal="center"/>
    </xf>
    <xf numFmtId="165" fontId="32" fillId="0" borderId="6" xfId="0" applyNumberFormat="1" applyFont="1" applyBorder="1" applyAlignment="1">
      <alignment horizontal="left"/>
    </xf>
    <xf numFmtId="0" fontId="32" fillId="0" borderId="2" xfId="0" applyFont="1" applyBorder="1" applyAlignment="1">
      <alignment horizontal="right"/>
    </xf>
    <xf numFmtId="165" fontId="32" fillId="0" borderId="2" xfId="0" applyNumberFormat="1" applyFont="1" applyBorder="1" applyAlignment="1">
      <alignment horizontal="left"/>
    </xf>
    <xf numFmtId="0" fontId="32" fillId="0" borderId="9" xfId="0" applyFont="1" applyBorder="1"/>
    <xf numFmtId="0" fontId="32" fillId="0" borderId="0" xfId="0" applyFont="1" applyAlignment="1">
      <alignment vertical="top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164" fontId="32" fillId="0" borderId="8" xfId="0" applyNumberFormat="1" applyFont="1" applyBorder="1"/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0" fontId="32" fillId="0" borderId="3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2" fillId="0" borderId="2" xfId="0" applyFont="1" applyBorder="1" applyAlignment="1">
      <alignment vertical="center"/>
    </xf>
    <xf numFmtId="0" fontId="22" fillId="0" borderId="0" xfId="0" applyFont="1" applyAlignment="1">
      <alignment horizontal="left"/>
    </xf>
    <xf numFmtId="0" fontId="22" fillId="0" borderId="2" xfId="0" applyFont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0" fillId="0" borderId="2" xfId="3" applyFont="1" applyBorder="1"/>
    <xf numFmtId="0" fontId="32" fillId="2" borderId="0" xfId="0" applyFont="1" applyFill="1" applyAlignment="1" applyProtection="1">
      <alignment horizontal="left"/>
      <protection locked="0"/>
    </xf>
    <xf numFmtId="0" fontId="12" fillId="10" borderId="2" xfId="4" applyFont="1" applyFill="1" applyBorder="1" applyAlignment="1" applyProtection="1">
      <alignment horizontal="center" vertical="center"/>
      <protection locked="0"/>
    </xf>
    <xf numFmtId="0" fontId="14" fillId="10" borderId="2" xfId="4" applyFont="1" applyFill="1" applyBorder="1" applyAlignment="1" applyProtection="1">
      <alignment horizontal="center"/>
      <protection locked="0"/>
    </xf>
    <xf numFmtId="0" fontId="14" fillId="10" borderId="2" xfId="4" applyFont="1" applyFill="1" applyBorder="1" applyAlignment="1" applyProtection="1">
      <alignment horizontal="center" vertical="center"/>
      <protection locked="0"/>
    </xf>
    <xf numFmtId="0" fontId="12" fillId="10" borderId="1" xfId="4" applyFont="1" applyFill="1" applyBorder="1" applyAlignment="1" applyProtection="1">
      <alignment horizontal="center" vertical="center"/>
      <protection locked="0"/>
    </xf>
    <xf numFmtId="0" fontId="32" fillId="0" borderId="9" xfId="0" applyFont="1" applyBorder="1" applyAlignment="1">
      <alignment horizontal="right" vertical="center"/>
    </xf>
    <xf numFmtId="1" fontId="71" fillId="2" borderId="0" xfId="0" quotePrefix="1" applyNumberFormat="1" applyFont="1" applyFill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/>
    </xf>
    <xf numFmtId="0" fontId="3" fillId="0" borderId="0" xfId="4"/>
    <xf numFmtId="0" fontId="87" fillId="10" borderId="0" xfId="4" applyFont="1" applyFill="1" applyProtection="1">
      <protection locked="0"/>
    </xf>
    <xf numFmtId="167" fontId="3" fillId="10" borderId="2" xfId="4" applyNumberFormat="1" applyFill="1" applyBorder="1" applyAlignment="1" applyProtection="1">
      <alignment horizontal="center" vertical="center"/>
      <protection locked="0"/>
    </xf>
    <xf numFmtId="0" fontId="87" fillId="10" borderId="2" xfId="4" applyFont="1" applyFill="1" applyBorder="1" applyAlignment="1" applyProtection="1">
      <alignment horizontal="center" vertical="center"/>
      <protection locked="0"/>
    </xf>
    <xf numFmtId="0" fontId="3" fillId="10" borderId="17" xfId="4" applyFill="1" applyBorder="1" applyProtection="1">
      <protection locked="0"/>
    </xf>
    <xf numFmtId="0" fontId="14" fillId="10" borderId="1" xfId="4" applyFont="1" applyFill="1" applyBorder="1" applyAlignment="1" applyProtection="1">
      <alignment horizontal="center"/>
      <protection locked="0"/>
    </xf>
    <xf numFmtId="0" fontId="14" fillId="10" borderId="1" xfId="4" applyFont="1" applyFill="1" applyBorder="1" applyAlignment="1" applyProtection="1">
      <alignment horizontal="center" vertical="center"/>
      <protection locked="0"/>
    </xf>
    <xf numFmtId="0" fontId="87" fillId="0" borderId="0" xfId="4" applyFont="1"/>
    <xf numFmtId="2" fontId="3" fillId="10" borderId="4" xfId="4" quotePrefix="1" applyNumberFormat="1" applyFill="1" applyBorder="1" applyAlignment="1" applyProtection="1">
      <alignment horizontal="center" vertical="center"/>
      <protection locked="0"/>
    </xf>
    <xf numFmtId="2" fontId="3" fillId="10" borderId="1" xfId="4" quotePrefix="1" applyNumberFormat="1" applyFill="1" applyBorder="1" applyAlignment="1" applyProtection="1">
      <alignment horizontal="center" vertical="center"/>
      <protection locked="0"/>
    </xf>
    <xf numFmtId="0" fontId="53" fillId="7" borderId="35" xfId="4" applyFont="1" applyFill="1" applyBorder="1" applyAlignment="1" applyProtection="1">
      <alignment horizontal="center" vertical="center" wrapText="1"/>
      <protection locked="0"/>
    </xf>
    <xf numFmtId="0" fontId="53" fillId="7" borderId="36" xfId="4" applyFont="1" applyFill="1" applyBorder="1" applyAlignment="1" applyProtection="1">
      <alignment horizontal="center" vertical="center" wrapText="1"/>
      <protection locked="0"/>
    </xf>
    <xf numFmtId="0" fontId="3" fillId="7" borderId="36" xfId="4" applyFill="1" applyBorder="1" applyProtection="1">
      <protection locked="0"/>
    </xf>
    <xf numFmtId="0" fontId="3" fillId="7" borderId="58" xfId="4" applyFill="1" applyBorder="1" applyProtection="1">
      <protection locked="0"/>
    </xf>
    <xf numFmtId="0" fontId="3" fillId="0" borderId="17" xfId="4" applyBorder="1"/>
    <xf numFmtId="0" fontId="3" fillId="0" borderId="0" xfId="4" applyAlignment="1">
      <alignment horizontal="center" vertical="center"/>
    </xf>
    <xf numFmtId="0" fontId="88" fillId="3" borderId="0" xfId="4" applyFont="1" applyFill="1" applyAlignment="1">
      <alignment vertical="center"/>
    </xf>
    <xf numFmtId="0" fontId="3" fillId="3" borderId="41" xfId="4" applyFill="1" applyBorder="1"/>
    <xf numFmtId="0" fontId="12" fillId="3" borderId="2" xfId="9" applyFont="1" applyFill="1" applyBorder="1" applyAlignment="1">
      <alignment horizontal="center" vertical="center"/>
    </xf>
    <xf numFmtId="2" fontId="10" fillId="3" borderId="23" xfId="4" applyNumberFormat="1" applyFont="1" applyFill="1" applyBorder="1" applyAlignment="1">
      <alignment horizontal="center" vertical="center"/>
    </xf>
    <xf numFmtId="2" fontId="10" fillId="3" borderId="62" xfId="4" applyNumberFormat="1" applyFont="1" applyFill="1" applyBorder="1" applyAlignment="1">
      <alignment horizontal="center" vertical="center"/>
    </xf>
    <xf numFmtId="164" fontId="54" fillId="3" borderId="72" xfId="4" applyNumberFormat="1" applyFont="1" applyFill="1" applyBorder="1" applyAlignment="1">
      <alignment horizontal="center"/>
    </xf>
    <xf numFmtId="165" fontId="3" fillId="4" borderId="59" xfId="4" applyNumberFormat="1" applyFill="1" applyBorder="1" applyAlignment="1">
      <alignment horizontal="center" vertical="center" wrapText="1"/>
    </xf>
    <xf numFmtId="1" fontId="3" fillId="4" borderId="62" xfId="4" applyNumberFormat="1" applyFill="1" applyBorder="1" applyAlignment="1">
      <alignment horizontal="center" vertical="center" wrapText="1"/>
    </xf>
    <xf numFmtId="164" fontId="33" fillId="4" borderId="8" xfId="4" applyNumberFormat="1" applyFont="1" applyFill="1" applyBorder="1" applyAlignment="1">
      <alignment horizontal="center" vertical="center"/>
    </xf>
    <xf numFmtId="164" fontId="3" fillId="4" borderId="62" xfId="4" applyNumberFormat="1" applyFill="1" applyBorder="1" applyAlignment="1">
      <alignment horizontal="center" vertical="center" wrapText="1"/>
    </xf>
    <xf numFmtId="167" fontId="8" fillId="4" borderId="8" xfId="4" applyNumberFormat="1" applyFont="1" applyFill="1" applyBorder="1" applyAlignment="1">
      <alignment horizontal="center" vertical="center"/>
    </xf>
    <xf numFmtId="0" fontId="54" fillId="3" borderId="72" xfId="4" applyFont="1" applyFill="1" applyBorder="1" applyAlignment="1">
      <alignment horizontal="center"/>
    </xf>
    <xf numFmtId="164" fontId="10" fillId="3" borderId="23" xfId="4" applyNumberFormat="1" applyFont="1" applyFill="1" applyBorder="1" applyAlignment="1">
      <alignment horizontal="center" vertical="center"/>
    </xf>
    <xf numFmtId="164" fontId="10" fillId="3" borderId="62" xfId="4" applyNumberFormat="1" applyFont="1" applyFill="1" applyBorder="1" applyAlignment="1">
      <alignment horizontal="center" vertical="center"/>
    </xf>
    <xf numFmtId="165" fontId="10" fillId="3" borderId="62" xfId="4" applyNumberFormat="1" applyFont="1" applyFill="1" applyBorder="1" applyAlignment="1">
      <alignment horizontal="center" vertical="center"/>
    </xf>
    <xf numFmtId="0" fontId="13" fillId="0" borderId="0" xfId="4" applyFont="1"/>
    <xf numFmtId="0" fontId="10" fillId="0" borderId="0" xfId="4" applyFont="1" applyAlignment="1">
      <alignment horizontal="center" vertical="center"/>
    </xf>
    <xf numFmtId="2" fontId="10" fillId="0" borderId="0" xfId="4" applyNumberFormat="1" applyFont="1" applyAlignment="1">
      <alignment horizontal="center" vertical="center"/>
    </xf>
    <xf numFmtId="0" fontId="90" fillId="3" borderId="2" xfId="4" applyFont="1" applyFill="1" applyBorder="1" applyAlignment="1">
      <alignment horizontal="center" vertical="center"/>
    </xf>
    <xf numFmtId="2" fontId="90" fillId="3" borderId="2" xfId="4" applyNumberFormat="1" applyFont="1" applyFill="1" applyBorder="1" applyAlignment="1">
      <alignment horizontal="center" vertical="center"/>
    </xf>
    <xf numFmtId="0" fontId="3" fillId="0" borderId="0" xfId="4" applyProtection="1">
      <protection locked="0"/>
    </xf>
    <xf numFmtId="0" fontId="3" fillId="3" borderId="56" xfId="4" applyFill="1" applyBorder="1"/>
    <xf numFmtId="0" fontId="6" fillId="13" borderId="32" xfId="9" applyFont="1" applyFill="1" applyBorder="1"/>
    <xf numFmtId="0" fontId="6" fillId="13" borderId="7" xfId="9" applyFont="1" applyFill="1" applyBorder="1" applyAlignment="1">
      <alignment horizontal="center" vertical="center"/>
    </xf>
    <xf numFmtId="0" fontId="8" fillId="13" borderId="7" xfId="9" applyFont="1" applyFill="1" applyBorder="1" applyAlignment="1">
      <alignment horizontal="center" vertical="center"/>
    </xf>
    <xf numFmtId="0" fontId="8" fillId="13" borderId="7" xfId="9" applyFont="1" applyFill="1" applyBorder="1" applyAlignment="1">
      <alignment vertical="center"/>
    </xf>
    <xf numFmtId="0" fontId="8" fillId="13" borderId="2" xfId="9" applyFont="1" applyFill="1" applyBorder="1" applyAlignment="1">
      <alignment vertical="center"/>
    </xf>
    <xf numFmtId="0" fontId="8" fillId="13" borderId="23" xfId="9" applyFont="1" applyFill="1" applyBorder="1" applyAlignment="1">
      <alignment horizontal="center" vertical="center"/>
    </xf>
    <xf numFmtId="0" fontId="51" fillId="0" borderId="62" xfId="9" applyFont="1" applyBorder="1" applyAlignment="1">
      <alignment horizontal="center" vertical="center"/>
    </xf>
    <xf numFmtId="0" fontId="51" fillId="0" borderId="8" xfId="9" applyFont="1" applyBorder="1"/>
    <xf numFmtId="0" fontId="51" fillId="0" borderId="7" xfId="9" applyFont="1" applyBorder="1"/>
    <xf numFmtId="0" fontId="51" fillId="0" borderId="54" xfId="9" applyFont="1" applyBorder="1"/>
    <xf numFmtId="0" fontId="8" fillId="13" borderId="2" xfId="9" applyFont="1" applyFill="1" applyBorder="1" applyAlignment="1">
      <alignment horizontal="right" vertical="center"/>
    </xf>
    <xf numFmtId="0" fontId="8" fillId="13" borderId="9" xfId="9" applyFont="1" applyFill="1" applyBorder="1" applyAlignment="1">
      <alignment horizontal="center" vertical="center"/>
    </xf>
    <xf numFmtId="0" fontId="8" fillId="13" borderId="9" xfId="9" applyFont="1" applyFill="1" applyBorder="1" applyAlignment="1">
      <alignment vertical="center"/>
    </xf>
    <xf numFmtId="0" fontId="51" fillId="0" borderId="0" xfId="9" applyFont="1"/>
    <xf numFmtId="0" fontId="51" fillId="0" borderId="15" xfId="9" applyFont="1" applyBorder="1"/>
    <xf numFmtId="0" fontId="51" fillId="5" borderId="55" xfId="9" applyFont="1" applyFill="1" applyBorder="1"/>
    <xf numFmtId="0" fontId="51" fillId="5" borderId="56" xfId="9" applyFont="1" applyFill="1" applyBorder="1"/>
    <xf numFmtId="0" fontId="51" fillId="0" borderId="56" xfId="9" applyFont="1" applyBorder="1"/>
    <xf numFmtId="0" fontId="51" fillId="0" borderId="57" xfId="9" applyFont="1" applyBorder="1"/>
    <xf numFmtId="0" fontId="3" fillId="3" borderId="17" xfId="4" applyFill="1" applyBorder="1"/>
    <xf numFmtId="0" fontId="3" fillId="3" borderId="55" xfId="4" applyFill="1" applyBorder="1"/>
    <xf numFmtId="0" fontId="56" fillId="3" borderId="0" xfId="4" applyFont="1" applyFill="1" applyAlignment="1">
      <alignment horizontal="center" vertical="center"/>
    </xf>
    <xf numFmtId="2" fontId="56" fillId="3" borderId="0" xfId="4" applyNumberFormat="1" applyFont="1" applyFill="1" applyAlignment="1">
      <alignment horizontal="center" vertical="center"/>
    </xf>
    <xf numFmtId="2" fontId="55" fillId="3" borderId="0" xfId="4" applyNumberFormat="1" applyFont="1" applyFill="1" applyAlignment="1">
      <alignment horizontal="center" vertical="center" wrapText="1"/>
    </xf>
    <xf numFmtId="2" fontId="61" fillId="3" borderId="0" xfId="4" applyNumberFormat="1" applyFont="1" applyFill="1" applyAlignment="1">
      <alignment horizontal="center" vertical="center"/>
    </xf>
    <xf numFmtId="0" fontId="55" fillId="3" borderId="0" xfId="4" applyFont="1" applyFill="1"/>
    <xf numFmtId="2" fontId="90" fillId="3" borderId="62" xfId="4" applyNumberFormat="1" applyFont="1" applyFill="1" applyBorder="1" applyAlignment="1">
      <alignment horizontal="center" vertical="center"/>
    </xf>
    <xf numFmtId="167" fontId="8" fillId="4" borderId="10" xfId="4" applyNumberFormat="1" applyFont="1" applyFill="1" applyBorder="1" applyAlignment="1">
      <alignment horizontal="center" vertical="center"/>
    </xf>
    <xf numFmtId="165" fontId="3" fillId="4" borderId="62" xfId="4" applyNumberFormat="1" applyFill="1" applyBorder="1" applyAlignment="1">
      <alignment horizontal="center" vertical="center" wrapText="1"/>
    </xf>
    <xf numFmtId="165" fontId="3" fillId="4" borderId="32" xfId="4" applyNumberFormat="1" applyFill="1" applyBorder="1" applyAlignment="1">
      <alignment horizontal="center" vertical="center" wrapText="1"/>
    </xf>
    <xf numFmtId="0" fontId="3" fillId="4" borderId="71" xfId="4" applyFill="1" applyBorder="1" applyAlignment="1">
      <alignment horizontal="center"/>
    </xf>
    <xf numFmtId="0" fontId="10" fillId="3" borderId="0" xfId="4" applyFont="1" applyFill="1" applyAlignment="1">
      <alignment horizontal="center" vertical="center"/>
    </xf>
    <xf numFmtId="0" fontId="3" fillId="0" borderId="49" xfId="4" applyBorder="1" applyAlignment="1">
      <alignment horizontal="right"/>
    </xf>
    <xf numFmtId="0" fontId="3" fillId="0" borderId="74" xfId="4" applyBorder="1" applyAlignment="1">
      <alignment horizontal="right"/>
    </xf>
    <xf numFmtId="165" fontId="92" fillId="4" borderId="61" xfId="4" applyNumberFormat="1" applyFont="1" applyFill="1" applyBorder="1" applyAlignment="1">
      <alignment horizontal="center" vertical="center"/>
    </xf>
    <xf numFmtId="164" fontId="92" fillId="4" borderId="23" xfId="4" applyNumberFormat="1" applyFont="1" applyFill="1" applyBorder="1" applyAlignment="1">
      <alignment horizontal="center" vertical="center"/>
    </xf>
    <xf numFmtId="165" fontId="92" fillId="4" borderId="23" xfId="4" applyNumberFormat="1" applyFont="1" applyFill="1" applyBorder="1" applyAlignment="1">
      <alignment horizontal="center" vertical="center"/>
    </xf>
    <xf numFmtId="0" fontId="93" fillId="3" borderId="0" xfId="4" applyFont="1" applyFill="1"/>
    <xf numFmtId="165" fontId="92" fillId="4" borderId="6" xfId="4" applyNumberFormat="1" applyFont="1" applyFill="1" applyBorder="1" applyAlignment="1">
      <alignment horizontal="center" vertical="center"/>
    </xf>
    <xf numFmtId="165" fontId="92" fillId="4" borderId="8" xfId="4" applyNumberFormat="1" applyFont="1" applyFill="1" applyBorder="1" applyAlignment="1">
      <alignment horizontal="center" vertical="center"/>
    </xf>
    <xf numFmtId="0" fontId="7" fillId="5" borderId="18" xfId="9" quotePrefix="1" applyFont="1" applyFill="1" applyBorder="1" applyAlignment="1">
      <alignment horizontal="center" vertical="center"/>
    </xf>
    <xf numFmtId="0" fontId="7" fillId="5" borderId="30" xfId="9" quotePrefix="1" applyFont="1" applyFill="1" applyBorder="1" applyAlignment="1">
      <alignment horizontal="center" vertical="center"/>
    </xf>
    <xf numFmtId="0" fontId="51" fillId="0" borderId="39" xfId="9" applyFont="1" applyBorder="1" applyAlignment="1">
      <alignment horizontal="center"/>
    </xf>
    <xf numFmtId="0" fontId="51" fillId="0" borderId="18" xfId="9" applyFont="1" applyBorder="1" applyAlignment="1">
      <alignment horizontal="center"/>
    </xf>
    <xf numFmtId="0" fontId="51" fillId="0" borderId="30" xfId="9" applyFont="1" applyBorder="1" applyAlignment="1">
      <alignment horizontal="center"/>
    </xf>
    <xf numFmtId="0" fontId="3" fillId="0" borderId="0" xfId="4" applyAlignment="1">
      <alignment horizontal="center"/>
    </xf>
    <xf numFmtId="0" fontId="12" fillId="12" borderId="29" xfId="0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 vertical="center"/>
    </xf>
    <xf numFmtId="0" fontId="12" fillId="12" borderId="28" xfId="0" applyFont="1" applyFill="1" applyBorder="1" applyAlignment="1">
      <alignment horizontal="center" vertical="center"/>
    </xf>
    <xf numFmtId="0" fontId="12" fillId="12" borderId="27" xfId="0" applyFont="1" applyFill="1" applyBorder="1" applyAlignment="1">
      <alignment horizontal="center" vertical="center"/>
    </xf>
    <xf numFmtId="2" fontId="3" fillId="12" borderId="2" xfId="0" applyNumberFormat="1" applyFon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0" fontId="14" fillId="12" borderId="29" xfId="3" applyFont="1" applyFill="1" applyBorder="1" applyAlignment="1">
      <alignment horizontal="center" vertical="center"/>
    </xf>
    <xf numFmtId="0" fontId="0" fillId="12" borderId="62" xfId="0" applyFill="1" applyBorder="1" applyAlignment="1">
      <alignment horizontal="center"/>
    </xf>
    <xf numFmtId="2" fontId="0" fillId="12" borderId="23" xfId="0" applyNumberFormat="1" applyFill="1" applyBorder="1" applyAlignment="1">
      <alignment horizontal="center" vertical="center"/>
    </xf>
    <xf numFmtId="2" fontId="0" fillId="12" borderId="62" xfId="0" applyNumberFormat="1" applyFill="1" applyBorder="1" applyAlignment="1">
      <alignment horizontal="center"/>
    </xf>
    <xf numFmtId="2" fontId="0" fillId="12" borderId="65" xfId="0" applyNumberFormat="1" applyFill="1" applyBorder="1" applyAlignment="1">
      <alignment horizontal="center"/>
    </xf>
    <xf numFmtId="2" fontId="0" fillId="12" borderId="14" xfId="0" applyNumberFormat="1" applyFill="1" applyBorder="1" applyAlignment="1">
      <alignment horizontal="center"/>
    </xf>
    <xf numFmtId="2" fontId="3" fillId="12" borderId="14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5" fillId="12" borderId="48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12" fillId="12" borderId="9" xfId="0" applyFont="1" applyFill="1" applyBorder="1" applyAlignment="1">
      <alignment horizontal="center" vertical="center"/>
    </xf>
    <xf numFmtId="0" fontId="5" fillId="12" borderId="50" xfId="0" applyFont="1" applyFill="1" applyBorder="1" applyAlignment="1">
      <alignment horizontal="center" vertical="center"/>
    </xf>
    <xf numFmtId="0" fontId="12" fillId="12" borderId="52" xfId="0" applyFont="1" applyFill="1" applyBorder="1" applyAlignment="1">
      <alignment horizontal="center" vertical="center"/>
    </xf>
    <xf numFmtId="0" fontId="8" fillId="13" borderId="2" xfId="9" applyFont="1" applyFill="1" applyBorder="1" applyAlignment="1">
      <alignment horizontal="center" vertical="center"/>
    </xf>
    <xf numFmtId="0" fontId="6" fillId="6" borderId="62" xfId="3" applyFont="1" applyFill="1" applyBorder="1" applyAlignment="1">
      <alignment horizontal="center" vertical="center"/>
    </xf>
    <xf numFmtId="0" fontId="6" fillId="6" borderId="2" xfId="3" applyFont="1" applyFill="1" applyBorder="1" applyAlignment="1">
      <alignment horizontal="center" vertical="center"/>
    </xf>
    <xf numFmtId="0" fontId="6" fillId="6" borderId="23" xfId="3" applyFont="1" applyFill="1" applyBorder="1" applyAlignment="1">
      <alignment horizontal="center" vertical="center"/>
    </xf>
    <xf numFmtId="0" fontId="6" fillId="6" borderId="65" xfId="3" applyFont="1" applyFill="1" applyBorder="1" applyAlignment="1">
      <alignment horizontal="center" vertical="center"/>
    </xf>
    <xf numFmtId="0" fontId="6" fillId="6" borderId="14" xfId="3" applyFont="1" applyFill="1" applyBorder="1" applyAlignment="1">
      <alignment horizontal="center" vertical="center"/>
    </xf>
    <xf numFmtId="0" fontId="6" fillId="6" borderId="21" xfId="3" applyFont="1" applyFill="1" applyBorder="1" applyAlignment="1">
      <alignment horizontal="center" vertical="center"/>
    </xf>
    <xf numFmtId="2" fontId="56" fillId="0" borderId="16" xfId="0" applyNumberFormat="1" applyFont="1" applyBorder="1" applyAlignment="1">
      <alignment horizontal="center" vertical="center"/>
    </xf>
    <xf numFmtId="2" fontId="56" fillId="0" borderId="2" xfId="0" applyNumberFormat="1" applyFont="1" applyBorder="1" applyAlignment="1">
      <alignment horizontal="center" vertical="center"/>
    </xf>
    <xf numFmtId="2" fontId="56" fillId="0" borderId="23" xfId="0" applyNumberFormat="1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2" fontId="10" fillId="0" borderId="75" xfId="0" applyNumberFormat="1" applyFont="1" applyBorder="1" applyAlignment="1">
      <alignment horizontal="center" vertical="center"/>
    </xf>
    <xf numFmtId="0" fontId="94" fillId="2" borderId="0" xfId="0" applyFont="1" applyFill="1" applyProtection="1">
      <protection locked="0"/>
    </xf>
    <xf numFmtId="1" fontId="94" fillId="2" borderId="0" xfId="0" applyNumberFormat="1" applyFont="1" applyFill="1"/>
    <xf numFmtId="0" fontId="94" fillId="2" borderId="0" xfId="0" applyFont="1" applyFill="1"/>
    <xf numFmtId="0" fontId="79" fillId="3" borderId="5" xfId="0" applyFont="1" applyFill="1" applyBorder="1" applyAlignment="1" applyProtection="1">
      <alignment horizontal="left" vertical="top"/>
      <protection hidden="1"/>
    </xf>
    <xf numFmtId="0" fontId="95" fillId="3" borderId="33" xfId="0" quotePrefix="1" applyFont="1" applyFill="1" applyBorder="1" applyAlignment="1" applyProtection="1">
      <alignment vertical="center"/>
      <protection locked="0"/>
    </xf>
    <xf numFmtId="0" fontId="79" fillId="3" borderId="8" xfId="0" applyFont="1" applyFill="1" applyBorder="1" applyAlignment="1" applyProtection="1">
      <alignment horizontal="left" vertical="top"/>
      <protection hidden="1"/>
    </xf>
    <xf numFmtId="0" fontId="95" fillId="3" borderId="53" xfId="0" quotePrefix="1" applyFont="1" applyFill="1" applyBorder="1" applyAlignment="1" applyProtection="1">
      <alignment vertical="center"/>
      <protection locked="0"/>
    </xf>
    <xf numFmtId="0" fontId="40" fillId="0" borderId="0" xfId="0" applyFont="1"/>
    <xf numFmtId="0" fontId="95" fillId="0" borderId="7" xfId="0" applyFont="1" applyBorder="1" applyAlignment="1">
      <alignment horizontal="right"/>
    </xf>
    <xf numFmtId="0" fontId="79" fillId="0" borderId="8" xfId="1" applyFont="1" applyBorder="1" applyAlignment="1">
      <alignment vertical="center"/>
    </xf>
    <xf numFmtId="0" fontId="40" fillId="0" borderId="0" xfId="0" applyFont="1" applyProtection="1">
      <protection locked="0"/>
    </xf>
    <xf numFmtId="0" fontId="24" fillId="0" borderId="9" xfId="0" applyFont="1" applyBorder="1"/>
    <xf numFmtId="0" fontId="24" fillId="0" borderId="13" xfId="0" applyFont="1" applyBorder="1"/>
    <xf numFmtId="0" fontId="24" fillId="0" borderId="38" xfId="0" applyFont="1" applyBorder="1"/>
    <xf numFmtId="0" fontId="24" fillId="0" borderId="37" xfId="0" applyFont="1" applyBorder="1"/>
    <xf numFmtId="0" fontId="24" fillId="0" borderId="12" xfId="0" applyFont="1" applyBorder="1"/>
    <xf numFmtId="0" fontId="47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164" fontId="32" fillId="0" borderId="8" xfId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74" fontId="0" fillId="0" borderId="2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96" fillId="0" borderId="2" xfId="0" applyNumberFormat="1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5" fontId="97" fillId="0" borderId="10" xfId="0" applyNumberFormat="1" applyFont="1" applyBorder="1" applyAlignment="1">
      <alignment horizontal="center" vertical="center"/>
    </xf>
    <xf numFmtId="0" fontId="97" fillId="0" borderId="13" xfId="0" applyFont="1" applyBorder="1" applyAlignment="1">
      <alignment horizontal="center" vertical="center"/>
    </xf>
    <xf numFmtId="0" fontId="4" fillId="0" borderId="8" xfId="1" applyFont="1" applyBorder="1" applyAlignment="1">
      <alignment vertical="center"/>
    </xf>
    <xf numFmtId="0" fontId="4" fillId="0" borderId="7" xfId="0" applyFont="1" applyBorder="1"/>
    <xf numFmtId="0" fontId="4" fillId="0" borderId="6" xfId="0" applyFont="1" applyBorder="1"/>
    <xf numFmtId="0" fontId="4" fillId="0" borderId="2" xfId="0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7" fillId="4" borderId="2" xfId="0" applyFont="1" applyFill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0" fontId="4" fillId="0" borderId="37" xfId="0" applyFont="1" applyBorder="1"/>
    <xf numFmtId="0" fontId="4" fillId="0" borderId="12" xfId="0" applyFont="1" applyBorder="1"/>
    <xf numFmtId="0" fontId="4" fillId="3" borderId="1" xfId="0" applyFont="1" applyFill="1" applyBorder="1" applyAlignment="1">
      <alignment vertical="center"/>
    </xf>
    <xf numFmtId="0" fontId="4" fillId="0" borderId="1" xfId="0" applyFont="1" applyBorder="1"/>
    <xf numFmtId="2" fontId="8" fillId="4" borderId="2" xfId="4" applyNumberFormat="1" applyFont="1" applyFill="1" applyBorder="1" applyAlignment="1">
      <alignment horizontal="center" vertical="center"/>
    </xf>
    <xf numFmtId="2" fontId="10" fillId="3" borderId="0" xfId="4" applyNumberFormat="1" applyFont="1" applyFill="1" applyAlignment="1">
      <alignment horizontal="center" vertical="center"/>
    </xf>
    <xf numFmtId="0" fontId="90" fillId="3" borderId="0" xfId="4" applyFont="1" applyFill="1" applyAlignment="1">
      <alignment horizontal="center" vertical="center"/>
    </xf>
    <xf numFmtId="2" fontId="90" fillId="3" borderId="0" xfId="4" applyNumberFormat="1" applyFont="1" applyFill="1" applyAlignment="1">
      <alignment horizontal="center" vertical="center"/>
    </xf>
    <xf numFmtId="0" fontId="10" fillId="3" borderId="55" xfId="4" applyFont="1" applyFill="1" applyBorder="1" applyAlignment="1">
      <alignment horizontal="center" vertical="center"/>
    </xf>
    <xf numFmtId="0" fontId="10" fillId="3" borderId="56" xfId="4" applyFont="1" applyFill="1" applyBorder="1" applyAlignment="1">
      <alignment horizontal="center" vertical="center"/>
    </xf>
    <xf numFmtId="2" fontId="10" fillId="3" borderId="56" xfId="4" applyNumberFormat="1" applyFont="1" applyFill="1" applyBorder="1" applyAlignment="1">
      <alignment horizontal="center" vertical="center"/>
    </xf>
    <xf numFmtId="2" fontId="55" fillId="3" borderId="56" xfId="4" applyNumberFormat="1" applyFont="1" applyFill="1" applyBorder="1" applyAlignment="1">
      <alignment horizontal="center" vertical="center"/>
    </xf>
    <xf numFmtId="2" fontId="62" fillId="3" borderId="57" xfId="4" applyNumberFormat="1" applyFont="1" applyFill="1" applyBorder="1" applyAlignment="1">
      <alignment horizontal="center" vertical="center"/>
    </xf>
    <xf numFmtId="0" fontId="3" fillId="0" borderId="41" xfId="4" applyBorder="1"/>
    <xf numFmtId="0" fontId="5" fillId="3" borderId="0" xfId="4" applyFont="1" applyFill="1" applyAlignment="1">
      <alignment wrapText="1"/>
    </xf>
    <xf numFmtId="0" fontId="77" fillId="0" borderId="2" xfId="0" applyFont="1" applyBorder="1" applyAlignment="1">
      <alignment horizontal="center" vertical="center"/>
    </xf>
    <xf numFmtId="1" fontId="24" fillId="4" borderId="2" xfId="0" applyNumberFormat="1" applyFont="1" applyFill="1" applyBorder="1" applyAlignment="1" applyProtection="1">
      <alignment horizontal="center" vertical="center"/>
      <protection hidden="1"/>
    </xf>
    <xf numFmtId="0" fontId="24" fillId="0" borderId="2" xfId="1" applyFont="1" applyBorder="1" applyAlignment="1">
      <alignment horizontal="center"/>
    </xf>
    <xf numFmtId="1" fontId="99" fillId="2" borderId="2" xfId="0" applyNumberFormat="1" applyFont="1" applyFill="1" applyBorder="1" applyAlignment="1">
      <alignment horizontal="center" vertical="center"/>
    </xf>
    <xf numFmtId="1" fontId="79" fillId="0" borderId="2" xfId="0" applyNumberFormat="1" applyFont="1" applyBorder="1" applyAlignment="1">
      <alignment horizontal="center" vertical="center"/>
    </xf>
    <xf numFmtId="0" fontId="0" fillId="0" borderId="49" xfId="4" applyFont="1" applyBorder="1" applyAlignment="1">
      <alignment horizontal="right"/>
    </xf>
    <xf numFmtId="176" fontId="32" fillId="0" borderId="8" xfId="0" applyNumberFormat="1" applyFont="1" applyBorder="1" applyAlignment="1">
      <alignment horizontal="right" vertical="center"/>
    </xf>
    <xf numFmtId="178" fontId="32" fillId="0" borderId="8" xfId="0" applyNumberFormat="1" applyFont="1" applyBorder="1" applyAlignment="1">
      <alignment horizontal="right" vertical="center"/>
    </xf>
    <xf numFmtId="175" fontId="32" fillId="0" borderId="8" xfId="0" applyNumberFormat="1" applyFont="1" applyBorder="1" applyAlignment="1">
      <alignment horizontal="right" vertical="center"/>
    </xf>
    <xf numFmtId="175" fontId="32" fillId="0" borderId="8" xfId="0" applyNumberFormat="1" applyFont="1" applyBorder="1" applyAlignment="1">
      <alignment horizontal="right"/>
    </xf>
    <xf numFmtId="176" fontId="32" fillId="0" borderId="8" xfId="0" applyNumberFormat="1" applyFont="1" applyBorder="1" applyAlignment="1">
      <alignment horizontal="right"/>
    </xf>
    <xf numFmtId="178" fontId="32" fillId="0" borderId="8" xfId="0" applyNumberFormat="1" applyFont="1" applyBorder="1" applyAlignment="1">
      <alignment horizontal="right"/>
    </xf>
    <xf numFmtId="0" fontId="32" fillId="0" borderId="1" xfId="0" applyFont="1" applyBorder="1" applyAlignment="1">
      <alignment horizontal="center"/>
    </xf>
    <xf numFmtId="165" fontId="32" fillId="0" borderId="1" xfId="0" applyNumberFormat="1" applyFont="1" applyBorder="1" applyAlignment="1">
      <alignment horizontal="center"/>
    </xf>
    <xf numFmtId="0" fontId="32" fillId="0" borderId="11" xfId="0" applyFont="1" applyBorder="1" applyAlignment="1">
      <alignment horizontal="right"/>
    </xf>
    <xf numFmtId="165" fontId="32" fillId="0" borderId="12" xfId="0" applyNumberFormat="1" applyFont="1" applyBorder="1" applyAlignment="1">
      <alignment horizontal="left"/>
    </xf>
    <xf numFmtId="0" fontId="83" fillId="3" borderId="2" xfId="3" applyFont="1" applyFill="1" applyBorder="1" applyAlignment="1">
      <alignment vertical="center" wrapText="1"/>
    </xf>
    <xf numFmtId="0" fontId="22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" fontId="22" fillId="0" borderId="2" xfId="0" applyNumberFormat="1" applyFont="1" applyBorder="1" applyAlignment="1" applyProtection="1">
      <alignment horizontal="center"/>
      <protection locked="0"/>
    </xf>
    <xf numFmtId="0" fontId="32" fillId="2" borderId="2" xfId="0" applyFont="1" applyFill="1" applyBorder="1" applyAlignment="1" applyProtection="1">
      <alignment horizontal="left"/>
      <protection locked="0"/>
    </xf>
    <xf numFmtId="2" fontId="32" fillId="0" borderId="2" xfId="0" applyNumberFormat="1" applyFont="1" applyBorder="1" applyAlignment="1" applyProtection="1">
      <alignment horizontal="center"/>
      <protection locked="0"/>
    </xf>
    <xf numFmtId="0" fontId="101" fillId="2" borderId="0" xfId="0" applyFont="1" applyFill="1" applyAlignment="1">
      <alignment vertical="center"/>
    </xf>
    <xf numFmtId="0" fontId="102" fillId="2" borderId="0" xfId="0" applyFont="1" applyFill="1"/>
    <xf numFmtId="0" fontId="101" fillId="2" borderId="0" xfId="0" applyFont="1" applyFill="1" applyAlignment="1" applyProtection="1">
      <alignment vertical="center"/>
      <protection locked="0"/>
    </xf>
    <xf numFmtId="0" fontId="102" fillId="2" borderId="0" xfId="0" applyFont="1" applyFill="1" applyProtection="1">
      <protection locked="0"/>
    </xf>
    <xf numFmtId="0" fontId="103" fillId="2" borderId="0" xfId="0" applyFont="1" applyFill="1" applyAlignment="1" applyProtection="1">
      <alignment vertical="center"/>
      <protection locked="0"/>
    </xf>
    <xf numFmtId="0" fontId="103" fillId="2" borderId="0" xfId="0" applyFont="1" applyFill="1" applyAlignment="1" applyProtection="1">
      <alignment horizontal="right" vertical="center"/>
      <protection locked="0"/>
    </xf>
    <xf numFmtId="0" fontId="103" fillId="3" borderId="0" xfId="0" applyFont="1" applyFill="1" applyAlignment="1" applyProtection="1">
      <alignment vertical="center"/>
      <protection locked="0"/>
    </xf>
    <xf numFmtId="0" fontId="103" fillId="2" borderId="0" xfId="0" applyFont="1" applyFill="1" applyAlignment="1">
      <alignment vertical="center"/>
    </xf>
    <xf numFmtId="0" fontId="84" fillId="2" borderId="0" xfId="0" applyFont="1" applyFill="1" applyProtection="1">
      <protection locked="0"/>
    </xf>
    <xf numFmtId="0" fontId="84" fillId="2" borderId="0" xfId="0" applyFont="1" applyFill="1"/>
    <xf numFmtId="0" fontId="84" fillId="2" borderId="0" xfId="0" applyFont="1" applyFill="1" applyAlignment="1" applyProtection="1">
      <alignment horizontal="right"/>
      <protection locked="0"/>
    </xf>
    <xf numFmtId="0" fontId="84" fillId="3" borderId="0" xfId="0" applyFont="1" applyFill="1" applyAlignment="1" applyProtection="1">
      <alignment vertical="center"/>
      <protection locked="0"/>
    </xf>
    <xf numFmtId="0" fontId="84" fillId="3" borderId="0" xfId="1" applyFont="1" applyFill="1" applyAlignment="1" applyProtection="1">
      <alignment vertical="center"/>
      <protection locked="0"/>
    </xf>
    <xf numFmtId="0" fontId="102" fillId="3" borderId="0" xfId="0" applyFont="1" applyFill="1" applyAlignment="1" applyProtection="1">
      <alignment vertical="center"/>
      <protection locked="0"/>
    </xf>
    <xf numFmtId="0" fontId="102" fillId="2" borderId="0" xfId="2" applyFont="1" applyFill="1"/>
    <xf numFmtId="0" fontId="104" fillId="2" borderId="0" xfId="0" applyFont="1" applyFill="1"/>
    <xf numFmtId="0" fontId="84" fillId="3" borderId="0" xfId="0" quotePrefix="1" applyFont="1" applyFill="1" applyAlignment="1" applyProtection="1">
      <alignment vertical="center"/>
      <protection locked="0"/>
    </xf>
    <xf numFmtId="0" fontId="84" fillId="0" borderId="0" xfId="0" applyFont="1" applyProtection="1">
      <protection locked="0"/>
    </xf>
    <xf numFmtId="0" fontId="84" fillId="0" borderId="0" xfId="0" applyFont="1" applyAlignment="1" applyProtection="1">
      <alignment vertical="center"/>
      <protection locked="0"/>
    </xf>
    <xf numFmtId="0" fontId="84" fillId="2" borderId="0" xfId="0" applyFont="1" applyFill="1" applyAlignment="1" applyProtection="1">
      <alignment vertical="center"/>
      <protection locked="0"/>
    </xf>
    <xf numFmtId="0" fontId="102" fillId="2" borderId="0" xfId="0" applyFont="1" applyFill="1" applyAlignment="1" applyProtection="1">
      <alignment vertical="center"/>
      <protection locked="0"/>
    </xf>
    <xf numFmtId="0" fontId="105" fillId="0" borderId="0" xfId="1" applyFont="1"/>
    <xf numFmtId="0" fontId="106" fillId="2" borderId="0" xfId="0" applyFont="1" applyFill="1" applyProtection="1">
      <protection locked="0"/>
    </xf>
    <xf numFmtId="0" fontId="106" fillId="0" borderId="2" xfId="1" applyFont="1" applyBorder="1" applyAlignment="1" applyProtection="1">
      <alignment horizontal="center" vertical="center"/>
      <protection locked="0"/>
    </xf>
    <xf numFmtId="0" fontId="105" fillId="0" borderId="0" xfId="1" applyFont="1" applyAlignment="1">
      <alignment horizontal="right"/>
    </xf>
    <xf numFmtId="0" fontId="105" fillId="0" borderId="0" xfId="1" applyFont="1" applyAlignment="1">
      <alignment horizontal="center"/>
    </xf>
    <xf numFmtId="0" fontId="84" fillId="0" borderId="0" xfId="1" applyFont="1" applyProtection="1">
      <protection locked="0"/>
    </xf>
    <xf numFmtId="1" fontId="105" fillId="4" borderId="0" xfId="1" applyNumberFormat="1" applyFont="1" applyFill="1"/>
    <xf numFmtId="0" fontId="105" fillId="4" borderId="0" xfId="1" applyFont="1" applyFill="1" applyAlignment="1">
      <alignment horizontal="center"/>
    </xf>
    <xf numFmtId="2" fontId="84" fillId="0" borderId="0" xfId="1" applyNumberFormat="1" applyFont="1" applyAlignment="1" applyProtection="1">
      <alignment horizontal="center" vertical="center"/>
      <protection locked="0"/>
    </xf>
    <xf numFmtId="1" fontId="105" fillId="0" borderId="0" xfId="1" applyNumberFormat="1" applyFont="1"/>
    <xf numFmtId="1" fontId="105" fillId="0" borderId="0" xfId="1" applyNumberFormat="1" applyFont="1" applyAlignment="1">
      <alignment horizontal="center"/>
    </xf>
    <xf numFmtId="172" fontId="105" fillId="0" borderId="0" xfId="1" applyNumberFormat="1" applyFont="1" applyAlignment="1">
      <alignment horizontal="right"/>
    </xf>
    <xf numFmtId="0" fontId="105" fillId="4" borderId="0" xfId="1" applyFont="1" applyFill="1"/>
    <xf numFmtId="164" fontId="84" fillId="2" borderId="0" xfId="0" applyNumberFormat="1" applyFont="1" applyFill="1" applyProtection="1">
      <protection locked="0"/>
    </xf>
    <xf numFmtId="0" fontId="84" fillId="0" borderId="2" xfId="1" quotePrefix="1" applyFont="1" applyBorder="1" applyAlignment="1" applyProtection="1">
      <alignment horizontal="center"/>
      <protection locked="0"/>
    </xf>
    <xf numFmtId="0" fontId="84" fillId="0" borderId="8" xfId="1" applyFont="1" applyBorder="1" applyAlignment="1" applyProtection="1">
      <alignment vertical="center"/>
      <protection locked="0"/>
    </xf>
    <xf numFmtId="0" fontId="84" fillId="0" borderId="7" xfId="1" applyFont="1" applyBorder="1" applyAlignment="1" applyProtection="1">
      <alignment vertical="center"/>
      <protection locked="0"/>
    </xf>
    <xf numFmtId="0" fontId="83" fillId="0" borderId="7" xfId="1" applyFont="1" applyBorder="1" applyAlignment="1" applyProtection="1">
      <alignment vertical="center"/>
      <protection locked="0"/>
    </xf>
    <xf numFmtId="0" fontId="84" fillId="0" borderId="7" xfId="1" applyFont="1" applyBorder="1" applyProtection="1">
      <protection locked="0"/>
    </xf>
    <xf numFmtId="0" fontId="102" fillId="2" borderId="6" xfId="0" applyFont="1" applyFill="1" applyBorder="1" applyProtection="1">
      <protection locked="0"/>
    </xf>
    <xf numFmtId="165" fontId="84" fillId="2" borderId="6" xfId="0" applyNumberFormat="1" applyFont="1" applyFill="1" applyBorder="1" applyAlignment="1" applyProtection="1">
      <alignment vertical="center"/>
      <protection locked="0"/>
    </xf>
    <xf numFmtId="175" fontId="84" fillId="0" borderId="7" xfId="0" applyNumberFormat="1" applyFont="1" applyBorder="1" applyAlignment="1">
      <alignment horizontal="right"/>
    </xf>
    <xf numFmtId="0" fontId="84" fillId="0" borderId="6" xfId="0" applyFont="1" applyBorder="1" applyAlignment="1">
      <alignment horizontal="left"/>
    </xf>
    <xf numFmtId="176" fontId="84" fillId="0" borderId="7" xfId="0" applyNumberFormat="1" applyFont="1" applyBorder="1" applyAlignment="1">
      <alignment horizontal="right"/>
    </xf>
    <xf numFmtId="0" fontId="84" fillId="0" borderId="7" xfId="0" applyFont="1" applyBorder="1" applyAlignment="1">
      <alignment horizontal="left"/>
    </xf>
    <xf numFmtId="178" fontId="84" fillId="0" borderId="7" xfId="0" applyNumberFormat="1" applyFont="1" applyBorder="1" applyAlignment="1">
      <alignment horizontal="right"/>
    </xf>
    <xf numFmtId="0" fontId="83" fillId="0" borderId="2" xfId="0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 wrapText="1"/>
    </xf>
    <xf numFmtId="174" fontId="83" fillId="0" borderId="2" xfId="0" applyNumberFormat="1" applyFont="1" applyBorder="1" applyAlignment="1">
      <alignment horizontal="center" vertical="center"/>
    </xf>
    <xf numFmtId="0" fontId="108" fillId="0" borderId="0" xfId="0" applyFont="1" applyAlignment="1" applyProtection="1">
      <alignment vertical="center"/>
      <protection locked="0"/>
    </xf>
    <xf numFmtId="0" fontId="103" fillId="0" borderId="0" xfId="0" applyFont="1" applyAlignment="1" applyProtection="1">
      <alignment horizontal="center" vertical="center"/>
      <protection locked="0"/>
    </xf>
    <xf numFmtId="0" fontId="84" fillId="3" borderId="2" xfId="0" applyFont="1" applyFill="1" applyBorder="1" applyAlignment="1" applyProtection="1">
      <alignment horizontal="center" vertical="center"/>
      <protection locked="0"/>
    </xf>
    <xf numFmtId="2" fontId="84" fillId="2" borderId="2" xfId="0" applyNumberFormat="1" applyFont="1" applyFill="1" applyBorder="1" applyAlignment="1">
      <alignment horizontal="center" vertical="center"/>
    </xf>
    <xf numFmtId="0" fontId="84" fillId="3" borderId="2" xfId="0" applyFont="1" applyFill="1" applyBorder="1" applyAlignment="1" applyProtection="1">
      <alignment vertical="center"/>
      <protection locked="0"/>
    </xf>
    <xf numFmtId="2" fontId="84" fillId="2" borderId="2" xfId="0" applyNumberFormat="1" applyFont="1" applyFill="1" applyBorder="1" applyAlignment="1" applyProtection="1">
      <alignment horizontal="center" vertical="center"/>
      <protection locked="0"/>
    </xf>
    <xf numFmtId="0" fontId="84" fillId="2" borderId="0" xfId="0" applyFont="1" applyFill="1" applyAlignment="1" applyProtection="1">
      <alignment horizontal="center" vertical="center"/>
      <protection locked="0"/>
    </xf>
    <xf numFmtId="0" fontId="84" fillId="0" borderId="0" xfId="0" applyFont="1" applyAlignment="1" applyProtection="1">
      <alignment horizontal="center"/>
      <protection locked="0"/>
    </xf>
    <xf numFmtId="1" fontId="84" fillId="0" borderId="0" xfId="0" applyNumberFormat="1" applyFont="1" applyAlignment="1" applyProtection="1">
      <alignment horizontal="center" vertical="center"/>
      <protection locked="0"/>
    </xf>
    <xf numFmtId="1" fontId="84" fillId="2" borderId="0" xfId="0" applyNumberFormat="1" applyFont="1" applyFill="1" applyAlignment="1" applyProtection="1">
      <alignment horizontal="center" vertical="center"/>
      <protection locked="0"/>
    </xf>
    <xf numFmtId="2" fontId="84" fillId="2" borderId="0" xfId="0" applyNumberFormat="1" applyFont="1" applyFill="1" applyAlignment="1" applyProtection="1">
      <alignment horizontal="center" vertical="center"/>
      <protection locked="0"/>
    </xf>
    <xf numFmtId="2" fontId="84" fillId="2" borderId="0" xfId="0" quotePrefix="1" applyNumberFormat="1" applyFont="1" applyFill="1" applyAlignment="1" applyProtection="1">
      <alignment horizontal="center" vertical="center"/>
      <protection locked="0"/>
    </xf>
    <xf numFmtId="2" fontId="84" fillId="2" borderId="0" xfId="0" applyNumberFormat="1" applyFont="1" applyFill="1" applyAlignment="1">
      <alignment horizontal="center" vertical="center"/>
    </xf>
    <xf numFmtId="0" fontId="84" fillId="0" borderId="0" xfId="1" applyFont="1" applyAlignment="1" applyProtection="1">
      <alignment horizontal="left"/>
      <protection locked="0"/>
    </xf>
    <xf numFmtId="168" fontId="84" fillId="2" borderId="0" xfId="0" applyNumberFormat="1" applyFont="1" applyFill="1" applyAlignment="1" applyProtection="1">
      <alignment horizontal="left"/>
      <protection locked="0"/>
    </xf>
    <xf numFmtId="0" fontId="83" fillId="0" borderId="0" xfId="0" applyFont="1" applyAlignment="1">
      <alignment vertical="center"/>
    </xf>
    <xf numFmtId="0" fontId="84" fillId="3" borderId="0" xfId="0" applyFont="1" applyFill="1" applyProtection="1">
      <protection locked="0"/>
    </xf>
    <xf numFmtId="0" fontId="83" fillId="0" borderId="0" xfId="1" applyFont="1" applyAlignment="1" applyProtection="1">
      <alignment vertical="center"/>
      <protection locked="0"/>
    </xf>
    <xf numFmtId="0" fontId="84" fillId="2" borderId="0" xfId="0" quotePrefix="1" applyFont="1" applyFill="1" applyAlignment="1" applyProtection="1">
      <alignment horizontal="left"/>
      <protection locked="0"/>
    </xf>
    <xf numFmtId="0" fontId="105" fillId="3" borderId="0" xfId="0" applyFont="1" applyFill="1" applyAlignment="1">
      <alignment vertical="center"/>
    </xf>
    <xf numFmtId="0" fontId="105" fillId="0" borderId="0" xfId="0" applyFont="1" applyAlignment="1">
      <alignment vertical="center"/>
    </xf>
    <xf numFmtId="0" fontId="106" fillId="0" borderId="0" xfId="0" applyFont="1" applyProtection="1">
      <protection locked="0"/>
    </xf>
    <xf numFmtId="0" fontId="110" fillId="0" borderId="0" xfId="1" applyFont="1"/>
    <xf numFmtId="0" fontId="102" fillId="2" borderId="0" xfId="1" applyFont="1" applyFill="1"/>
    <xf numFmtId="0" fontId="102" fillId="0" borderId="0" xfId="1" applyFont="1"/>
    <xf numFmtId="0" fontId="111" fillId="3" borderId="0" xfId="0" quotePrefix="1" applyFont="1" applyFill="1" applyAlignment="1" applyProtection="1">
      <alignment vertical="center"/>
      <protection locked="0"/>
    </xf>
    <xf numFmtId="0" fontId="84" fillId="0" borderId="0" xfId="0" applyFont="1"/>
    <xf numFmtId="0" fontId="84" fillId="0" borderId="0" xfId="1" applyFont="1"/>
    <xf numFmtId="0" fontId="112" fillId="0" borderId="0" xfId="1" applyFont="1"/>
    <xf numFmtId="0" fontId="113" fillId="2" borderId="0" xfId="0" applyFont="1" applyFill="1"/>
    <xf numFmtId="0" fontId="113" fillId="2" borderId="0" xfId="0" applyFont="1" applyFill="1" applyAlignment="1">
      <alignment horizontal="center"/>
    </xf>
    <xf numFmtId="0" fontId="106" fillId="2" borderId="0" xfId="0" applyFont="1" applyFill="1"/>
    <xf numFmtId="0" fontId="112" fillId="2" borderId="0" xfId="0" applyFont="1" applyFill="1" applyAlignment="1">
      <alignment horizontal="left"/>
    </xf>
    <xf numFmtId="0" fontId="112" fillId="2" borderId="0" xfId="0" applyFont="1" applyFill="1"/>
    <xf numFmtId="0" fontId="105" fillId="3" borderId="0" xfId="0" applyFont="1" applyFill="1" applyAlignment="1" applyProtection="1">
      <alignment vertical="center"/>
      <protection locked="0"/>
    </xf>
    <xf numFmtId="0" fontId="105" fillId="3" borderId="0" xfId="0" applyFont="1" applyFill="1" applyAlignment="1" applyProtection="1">
      <alignment horizontal="left" vertical="center"/>
      <protection locked="0"/>
    </xf>
    <xf numFmtId="165" fontId="84" fillId="3" borderId="7" xfId="1" applyNumberFormat="1" applyFont="1" applyFill="1" applyBorder="1" applyAlignment="1" applyProtection="1">
      <protection locked="0"/>
    </xf>
    <xf numFmtId="165" fontId="84" fillId="3" borderId="6" xfId="1" applyNumberFormat="1" applyFont="1" applyFill="1" applyBorder="1" applyAlignment="1" applyProtection="1">
      <protection locked="0"/>
    </xf>
    <xf numFmtId="165" fontId="74" fillId="3" borderId="8" xfId="1" applyNumberFormat="1" applyFont="1" applyFill="1" applyBorder="1" applyAlignment="1" applyProtection="1">
      <protection locked="0"/>
    </xf>
    <xf numFmtId="0" fontId="114" fillId="0" borderId="2" xfId="0" applyFont="1" applyBorder="1" applyAlignment="1" applyProtection="1">
      <alignment horizontal="center" vertical="center"/>
      <protection locked="0"/>
    </xf>
    <xf numFmtId="0" fontId="74" fillId="3" borderId="0" xfId="0" applyFont="1" applyFill="1" applyAlignment="1">
      <alignment horizontal="left" vertical="center"/>
    </xf>
    <xf numFmtId="0" fontId="74" fillId="0" borderId="0" xfId="0" applyFont="1"/>
    <xf numFmtId="179" fontId="74" fillId="0" borderId="8" xfId="1" applyNumberFormat="1" applyFont="1" applyBorder="1" applyAlignment="1">
      <alignment horizontal="right" vertical="center"/>
    </xf>
    <xf numFmtId="164" fontId="74" fillId="0" borderId="8" xfId="1" applyNumberFormat="1" applyFont="1" applyBorder="1" applyAlignment="1">
      <alignment horizontal="right" vertical="center"/>
    </xf>
    <xf numFmtId="165" fontId="74" fillId="0" borderId="8" xfId="1" applyNumberFormat="1" applyFont="1" applyBorder="1" applyAlignment="1">
      <alignment horizontal="right" vertical="center"/>
    </xf>
    <xf numFmtId="165" fontId="74" fillId="0" borderId="6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165" fontId="74" fillId="0" borderId="6" xfId="0" applyNumberFormat="1" applyFont="1" applyBorder="1" applyAlignment="1">
      <alignment horizontal="left" vertical="center"/>
    </xf>
    <xf numFmtId="0" fontId="74" fillId="0" borderId="0" xfId="0" applyFont="1" applyProtection="1">
      <protection locked="0"/>
    </xf>
    <xf numFmtId="0" fontId="74" fillId="2" borderId="0" xfId="0" applyFont="1" applyFill="1" applyAlignment="1" applyProtection="1">
      <alignment horizontal="left"/>
      <protection locked="0"/>
    </xf>
    <xf numFmtId="0" fontId="3" fillId="0" borderId="0" xfId="10"/>
    <xf numFmtId="0" fontId="115" fillId="4" borderId="0" xfId="1" applyFont="1" applyFill="1" applyAlignment="1">
      <alignment horizontal="center"/>
    </xf>
    <xf numFmtId="0" fontId="3" fillId="0" borderId="0" xfId="10" applyProtection="1">
      <protection locked="0"/>
    </xf>
    <xf numFmtId="0" fontId="117" fillId="0" borderId="0" xfId="10" applyFont="1" applyAlignment="1">
      <alignment horizontal="center" vertical="center" wrapText="1"/>
    </xf>
    <xf numFmtId="0" fontId="5" fillId="0" borderId="0" xfId="10" applyFont="1" applyProtection="1">
      <protection locked="0"/>
    </xf>
    <xf numFmtId="0" fontId="7" fillId="0" borderId="8" xfId="10" applyFont="1" applyBorder="1" applyAlignment="1">
      <alignment horizontal="left" vertical="top" wrapText="1"/>
    </xf>
    <xf numFmtId="0" fontId="7" fillId="0" borderId="6" xfId="10" applyFont="1" applyBorder="1" applyAlignment="1">
      <alignment horizontal="left" vertical="top" wrapText="1"/>
    </xf>
    <xf numFmtId="0" fontId="3" fillId="0" borderId="0" xfId="10" applyAlignment="1">
      <alignment horizontal="left" vertical="top"/>
    </xf>
    <xf numFmtId="0" fontId="7" fillId="0" borderId="6" xfId="10" applyFont="1" applyBorder="1" applyAlignment="1">
      <alignment horizontal="left" vertical="top"/>
    </xf>
    <xf numFmtId="0" fontId="7" fillId="0" borderId="0" xfId="10" applyFont="1" applyAlignment="1">
      <alignment vertical="center" wrapText="1"/>
    </xf>
    <xf numFmtId="0" fontId="7" fillId="0" borderId="0" xfId="10" applyFont="1" applyAlignment="1">
      <alignment horizontal="center" vertical="center" wrapText="1"/>
    </xf>
    <xf numFmtId="0" fontId="119" fillId="0" borderId="0" xfId="10" applyFont="1"/>
    <xf numFmtId="0" fontId="7" fillId="0" borderId="0" xfId="10" applyFont="1" applyAlignment="1" applyProtection="1">
      <alignment horizontal="center" vertical="center" wrapText="1"/>
      <protection locked="0"/>
    </xf>
    <xf numFmtId="1" fontId="7" fillId="0" borderId="0" xfId="10" quotePrefix="1" applyNumberFormat="1" applyFont="1" applyAlignment="1" applyProtection="1">
      <alignment horizontal="left"/>
      <protection locked="0"/>
    </xf>
    <xf numFmtId="0" fontId="7" fillId="0" borderId="0" xfId="10" applyFont="1" applyProtection="1">
      <protection locked="0"/>
    </xf>
    <xf numFmtId="1" fontId="118" fillId="0" borderId="0" xfId="10" quotePrefix="1" applyNumberFormat="1" applyFont="1" applyProtection="1">
      <protection locked="0"/>
    </xf>
    <xf numFmtId="0" fontId="119" fillId="0" borderId="0" xfId="10" applyFont="1" applyProtection="1">
      <protection locked="0"/>
    </xf>
    <xf numFmtId="180" fontId="7" fillId="0" borderId="0" xfId="10" quotePrefix="1" applyNumberFormat="1" applyFont="1" applyAlignment="1" applyProtection="1">
      <alignment horizontal="left"/>
      <protection locked="0"/>
    </xf>
    <xf numFmtId="2" fontId="118" fillId="0" borderId="0" xfId="10" quotePrefix="1" applyNumberFormat="1" applyFont="1" applyProtection="1">
      <protection locked="0"/>
    </xf>
    <xf numFmtId="0" fontId="3" fillId="0" borderId="0" xfId="10" applyAlignment="1">
      <alignment vertical="top" wrapText="1"/>
    </xf>
    <xf numFmtId="0" fontId="7" fillId="0" borderId="8" xfId="10" applyFont="1" applyBorder="1" applyAlignment="1">
      <alignment vertical="top"/>
    </xf>
    <xf numFmtId="0" fontId="7" fillId="0" borderId="6" xfId="10" applyFont="1" applyBorder="1" applyAlignment="1" applyProtection="1">
      <alignment vertical="top" wrapText="1"/>
      <protection locked="0"/>
    </xf>
    <xf numFmtId="0" fontId="7" fillId="0" borderId="6" xfId="10" applyFont="1" applyBorder="1" applyAlignment="1" applyProtection="1">
      <alignment vertical="top"/>
      <protection locked="0"/>
    </xf>
    <xf numFmtId="0" fontId="77" fillId="0" borderId="0" xfId="10" applyFont="1" applyAlignment="1">
      <alignment vertical="top"/>
    </xf>
    <xf numFmtId="0" fontId="7" fillId="0" borderId="0" xfId="10" applyFont="1" applyAlignment="1" applyProtection="1">
      <alignment horizontal="center" vertical="top" wrapText="1"/>
      <protection locked="0"/>
    </xf>
    <xf numFmtId="0" fontId="117" fillId="0" borderId="0" xfId="10" applyFont="1" applyAlignment="1">
      <alignment wrapText="1"/>
    </xf>
    <xf numFmtId="0" fontId="100" fillId="0" borderId="0" xfId="10" applyFont="1" applyAlignment="1">
      <alignment horizontal="center"/>
    </xf>
    <xf numFmtId="0" fontId="52" fillId="0" borderId="0" xfId="10" applyFont="1"/>
    <xf numFmtId="0" fontId="7" fillId="0" borderId="0" xfId="10" applyFont="1" applyAlignment="1">
      <alignment horizontal="center" vertical="top" wrapText="1"/>
    </xf>
    <xf numFmtId="0" fontId="7" fillId="0" borderId="0" xfId="10" applyFont="1" applyAlignment="1">
      <alignment vertical="top" wrapText="1"/>
    </xf>
    <xf numFmtId="0" fontId="7" fillId="0" borderId="0" xfId="10" applyFont="1" applyAlignment="1">
      <alignment horizontal="justify" vertical="center" wrapText="1"/>
    </xf>
    <xf numFmtId="0" fontId="120" fillId="0" borderId="0" xfId="10" applyFont="1" applyAlignment="1">
      <alignment vertical="center"/>
    </xf>
    <xf numFmtId="0" fontId="3" fillId="0" borderId="42" xfId="10" applyBorder="1"/>
    <xf numFmtId="0" fontId="121" fillId="0" borderId="40" xfId="10" applyFont="1" applyBorder="1"/>
    <xf numFmtId="0" fontId="3" fillId="0" borderId="17" xfId="10" applyBorder="1"/>
    <xf numFmtId="0" fontId="3" fillId="0" borderId="15" xfId="10" applyBorder="1"/>
    <xf numFmtId="0" fontId="3" fillId="0" borderId="17" xfId="10" applyBorder="1" applyAlignment="1">
      <alignment wrapText="1"/>
    </xf>
    <xf numFmtId="0" fontId="3" fillId="0" borderId="15" xfId="10" applyBorder="1" applyAlignment="1">
      <alignment wrapText="1"/>
    </xf>
    <xf numFmtId="0" fontId="121" fillId="0" borderId="15" xfId="10" applyFont="1" applyBorder="1"/>
    <xf numFmtId="0" fontId="122" fillId="0" borderId="15" xfId="10" applyFont="1" applyBorder="1" applyAlignment="1">
      <alignment horizontal="left" wrapText="1"/>
    </xf>
    <xf numFmtId="0" fontId="3" fillId="0" borderId="0" xfId="10" applyAlignment="1">
      <alignment wrapText="1"/>
    </xf>
    <xf numFmtId="0" fontId="122" fillId="0" borderId="17" xfId="10" applyFont="1" applyBorder="1" applyAlignment="1">
      <alignment wrapText="1"/>
    </xf>
    <xf numFmtId="173" fontId="122" fillId="0" borderId="15" xfId="10" applyNumberFormat="1" applyFont="1" applyBorder="1" applyAlignment="1">
      <alignment horizontal="left"/>
    </xf>
    <xf numFmtId="173" fontId="3" fillId="0" borderId="15" xfId="10" applyNumberFormat="1" applyBorder="1"/>
    <xf numFmtId="0" fontId="123" fillId="0" borderId="15" xfId="10" applyFont="1" applyBorder="1" applyAlignment="1">
      <alignment horizontal="left" wrapText="1"/>
    </xf>
    <xf numFmtId="0" fontId="122" fillId="0" borderId="15" xfId="10" applyFont="1" applyBorder="1" applyAlignment="1">
      <alignment wrapText="1"/>
    </xf>
    <xf numFmtId="0" fontId="122" fillId="0" borderId="17" xfId="10" applyFont="1" applyBorder="1"/>
    <xf numFmtId="0" fontId="122" fillId="0" borderId="55" xfId="10" applyFont="1" applyBorder="1"/>
    <xf numFmtId="0" fontId="122" fillId="0" borderId="57" xfId="10" applyFont="1" applyBorder="1" applyAlignment="1">
      <alignment wrapText="1"/>
    </xf>
    <xf numFmtId="2" fontId="74" fillId="3" borderId="2" xfId="0" applyNumberFormat="1" applyFont="1" applyFill="1" applyBorder="1" applyAlignment="1" applyProtection="1">
      <alignment horizontal="center" vertical="center"/>
      <protection locked="0"/>
    </xf>
    <xf numFmtId="0" fontId="106" fillId="2" borderId="2" xfId="0" applyFont="1" applyFill="1" applyBorder="1" applyAlignment="1" applyProtection="1">
      <alignment horizontal="center" vertical="center"/>
      <protection locked="0"/>
    </xf>
    <xf numFmtId="0" fontId="106" fillId="2" borderId="2" xfId="0" applyFont="1" applyFill="1" applyBorder="1" applyAlignment="1" applyProtection="1">
      <alignment horizontal="center" vertical="center" wrapText="1"/>
      <protection locked="0"/>
    </xf>
    <xf numFmtId="0" fontId="84" fillId="6" borderId="0" xfId="0" applyFont="1" applyFill="1" applyProtection="1">
      <protection locked="0"/>
    </xf>
    <xf numFmtId="0" fontId="1" fillId="0" borderId="0" xfId="1" applyFont="1" applyAlignment="1">
      <alignment vertical="center"/>
    </xf>
    <xf numFmtId="0" fontId="1" fillId="0" borderId="0" xfId="1" applyFont="1"/>
    <xf numFmtId="0" fontId="1" fillId="0" borderId="0" xfId="1" applyFont="1" applyProtection="1">
      <protection locked="0"/>
    </xf>
    <xf numFmtId="0" fontId="124" fillId="3" borderId="0" xfId="0" applyFont="1" applyFill="1" applyAlignment="1" applyProtection="1">
      <alignment horizontal="left" vertical="center"/>
      <protection locked="0"/>
    </xf>
    <xf numFmtId="0" fontId="125" fillId="2" borderId="0" xfId="0" applyFont="1" applyFill="1"/>
    <xf numFmtId="0" fontId="83" fillId="0" borderId="0" xfId="0" applyFont="1"/>
    <xf numFmtId="0" fontId="126" fillId="2" borderId="0" xfId="0" applyFont="1" applyFill="1"/>
    <xf numFmtId="0" fontId="1" fillId="2" borderId="0" xfId="0" applyFont="1" applyFill="1"/>
    <xf numFmtId="0" fontId="105" fillId="0" borderId="0" xfId="1" quotePrefix="1" applyFont="1"/>
    <xf numFmtId="0" fontId="127" fillId="0" borderId="0" xfId="0" applyFont="1" applyAlignment="1">
      <alignment wrapText="1"/>
    </xf>
    <xf numFmtId="0" fontId="106" fillId="0" borderId="0" xfId="1" applyFont="1" applyAlignment="1">
      <alignment horizontal="center"/>
    </xf>
    <xf numFmtId="0" fontId="84" fillId="3" borderId="0" xfId="0" applyFont="1" applyFill="1"/>
    <xf numFmtId="165" fontId="84" fillId="3" borderId="0" xfId="1" applyNumberFormat="1" applyFont="1" applyFill="1" applyAlignment="1" applyProtection="1">
      <alignment horizontal="left" vertical="center"/>
      <protection locked="0"/>
    </xf>
    <xf numFmtId="2" fontId="84" fillId="0" borderId="0" xfId="1" applyNumberFormat="1" applyFont="1" applyAlignment="1">
      <alignment horizontal="center" vertical="center"/>
    </xf>
    <xf numFmtId="165" fontId="84" fillId="3" borderId="0" xfId="0" applyNumberFormat="1" applyFont="1" applyFill="1" applyAlignment="1">
      <alignment horizontal="left"/>
    </xf>
    <xf numFmtId="0" fontId="128" fillId="0" borderId="0" xfId="1" applyFont="1"/>
    <xf numFmtId="0" fontId="129" fillId="0" borderId="0" xfId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164" fontId="84" fillId="2" borderId="0" xfId="0" applyNumberFormat="1" applyFont="1" applyFill="1"/>
    <xf numFmtId="0" fontId="83" fillId="0" borderId="0" xfId="0" applyFont="1" applyAlignment="1">
      <alignment vertical="top"/>
    </xf>
    <xf numFmtId="0" fontId="106" fillId="2" borderId="2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/>
    </xf>
    <xf numFmtId="0" fontId="129" fillId="0" borderId="0" xfId="0" applyFont="1" applyAlignment="1">
      <alignment vertical="top"/>
    </xf>
    <xf numFmtId="0" fontId="129" fillId="0" borderId="0" xfId="1" applyFont="1" applyAlignment="1">
      <alignment vertical="top"/>
    </xf>
    <xf numFmtId="0" fontId="84" fillId="0" borderId="2" xfId="1" quotePrefix="1" applyFont="1" applyBorder="1" applyAlignment="1">
      <alignment horizontal="center"/>
    </xf>
    <xf numFmtId="0" fontId="84" fillId="0" borderId="8" xfId="1" applyFont="1" applyBorder="1" applyAlignment="1">
      <alignment vertical="center"/>
    </xf>
    <xf numFmtId="0" fontId="84" fillId="0" borderId="7" xfId="1" applyFont="1" applyBorder="1" applyAlignment="1">
      <alignment vertical="center"/>
    </xf>
    <xf numFmtId="0" fontId="84" fillId="0" borderId="6" xfId="1" applyFont="1" applyBorder="1" applyAlignment="1">
      <alignment vertical="center"/>
    </xf>
    <xf numFmtId="170" fontId="84" fillId="0" borderId="6" xfId="1" applyNumberFormat="1" applyFont="1" applyBorder="1" applyAlignment="1">
      <alignment vertical="center"/>
    </xf>
    <xf numFmtId="177" fontId="84" fillId="0" borderId="8" xfId="0" applyNumberFormat="1" applyFont="1" applyBorder="1"/>
    <xf numFmtId="171" fontId="84" fillId="0" borderId="6" xfId="0" applyNumberFormat="1" applyFont="1" applyBorder="1"/>
    <xf numFmtId="0" fontId="129" fillId="0" borderId="0" xfId="0" applyFont="1"/>
    <xf numFmtId="176" fontId="84" fillId="2" borderId="8" xfId="0" applyNumberFormat="1" applyFont="1" applyFill="1" applyBorder="1"/>
    <xf numFmtId="178" fontId="84" fillId="2" borderId="8" xfId="0" applyNumberFormat="1" applyFont="1" applyFill="1" applyBorder="1"/>
    <xf numFmtId="0" fontId="106" fillId="0" borderId="0" xfId="0" applyFont="1"/>
    <xf numFmtId="2" fontId="129" fillId="0" borderId="0" xfId="0" applyNumberFormat="1" applyFont="1"/>
    <xf numFmtId="0" fontId="130" fillId="3" borderId="0" xfId="0" applyFont="1" applyFill="1" applyAlignment="1">
      <alignment horizontal="center" vertical="center"/>
    </xf>
    <xf numFmtId="0" fontId="1" fillId="0" borderId="0" xfId="0" applyFont="1"/>
    <xf numFmtId="0" fontId="130" fillId="0" borderId="0" xfId="0" applyFont="1" applyAlignment="1">
      <alignment horizontal="center" vertical="center"/>
    </xf>
    <xf numFmtId="0" fontId="130" fillId="0" borderId="0" xfId="0" applyFont="1" applyAlignment="1">
      <alignment vertical="center"/>
    </xf>
    <xf numFmtId="2" fontId="1" fillId="0" borderId="0" xfId="0" applyNumberFormat="1" applyFont="1"/>
    <xf numFmtId="2" fontId="83" fillId="0" borderId="0" xfId="0" applyNumberFormat="1" applyFont="1"/>
    <xf numFmtId="2" fontId="83" fillId="0" borderId="0" xfId="0" applyNumberFormat="1" applyFont="1" applyAlignment="1">
      <alignment vertical="top"/>
    </xf>
    <xf numFmtId="0" fontId="106" fillId="2" borderId="4" xfId="0" applyFont="1" applyFill="1" applyBorder="1" applyAlignment="1">
      <alignment horizontal="center" vertical="top"/>
    </xf>
    <xf numFmtId="0" fontId="130" fillId="4" borderId="0" xfId="0" applyFont="1" applyFill="1" applyAlignment="1">
      <alignment horizontal="center" vertical="top"/>
    </xf>
    <xf numFmtId="0" fontId="130" fillId="0" borderId="0" xfId="0" applyFont="1" applyAlignment="1">
      <alignment vertical="top"/>
    </xf>
    <xf numFmtId="2" fontId="1" fillId="0" borderId="0" xfId="0" applyNumberFormat="1" applyFont="1" applyAlignment="1">
      <alignment vertical="top"/>
    </xf>
    <xf numFmtId="2" fontId="129" fillId="0" borderId="0" xfId="0" applyNumberFormat="1" applyFont="1" applyAlignment="1">
      <alignment vertical="top"/>
    </xf>
    <xf numFmtId="0" fontId="106" fillId="2" borderId="1" xfId="0" applyFont="1" applyFill="1" applyBorder="1" applyAlignment="1">
      <alignment horizontal="center" vertical="top"/>
    </xf>
    <xf numFmtId="2" fontId="83" fillId="0" borderId="0" xfId="0" applyNumberFormat="1" applyFont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83" fillId="0" borderId="8" xfId="0" applyFont="1" applyBorder="1" applyAlignment="1">
      <alignment horizontal="right" vertical="center"/>
    </xf>
    <xf numFmtId="0" fontId="129" fillId="0" borderId="0" xfId="0" applyFont="1" applyAlignment="1">
      <alignment vertical="center"/>
    </xf>
    <xf numFmtId="10" fontId="129" fillId="0" borderId="0" xfId="0" applyNumberFormat="1" applyFont="1" applyAlignment="1">
      <alignment vertical="center"/>
    </xf>
    <xf numFmtId="0" fontId="130" fillId="4" borderId="0" xfId="0" applyFont="1" applyFill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129" fillId="0" borderId="0" xfId="0" applyNumberFormat="1" applyFont="1" applyAlignment="1">
      <alignment vertical="center"/>
    </xf>
    <xf numFmtId="0" fontId="84" fillId="2" borderId="0" xfId="0" applyFont="1" applyFill="1" applyAlignment="1">
      <alignment horizontal="center" vertical="center"/>
    </xf>
    <xf numFmtId="0" fontId="84" fillId="2" borderId="0" xfId="0" applyFont="1" applyFill="1" applyAlignment="1">
      <alignment horizontal="center" vertical="center" wrapText="1"/>
    </xf>
    <xf numFmtId="165" fontId="84" fillId="2" borderId="0" xfId="0" applyNumberFormat="1" applyFont="1" applyFill="1" applyAlignment="1">
      <alignment horizontal="center" vertical="center"/>
    </xf>
    <xf numFmtId="9" fontId="131" fillId="0" borderId="0" xfId="0" quotePrefix="1" applyNumberFormat="1" applyFont="1" applyAlignment="1">
      <alignment horizontal="center" vertical="center"/>
    </xf>
    <xf numFmtId="0" fontId="84" fillId="0" borderId="0" xfId="0" applyFont="1" applyAlignment="1">
      <alignment horizontal="right" vertical="center"/>
    </xf>
    <xf numFmtId="1" fontId="84" fillId="2" borderId="0" xfId="0" applyNumberFormat="1" applyFont="1" applyFill="1" applyAlignment="1">
      <alignment horizontal="center" vertical="center"/>
    </xf>
    <xf numFmtId="2" fontId="84" fillId="2" borderId="0" xfId="0" quotePrefix="1" applyNumberFormat="1" applyFont="1" applyFill="1" applyAlignment="1">
      <alignment horizontal="center" vertical="center"/>
    </xf>
    <xf numFmtId="9" fontId="131" fillId="0" borderId="0" xfId="0" quotePrefix="1" applyNumberFormat="1" applyFont="1" applyAlignment="1">
      <alignment vertical="center"/>
    </xf>
    <xf numFmtId="0" fontId="106" fillId="2" borderId="0" xfId="0" applyFont="1" applyFill="1" applyAlignment="1">
      <alignment vertical="top" wrapText="1"/>
    </xf>
    <xf numFmtId="0" fontId="83" fillId="0" borderId="8" xfId="0" applyFont="1" applyBorder="1" applyAlignment="1">
      <alignment horizontal="right"/>
    </xf>
    <xf numFmtId="9" fontId="132" fillId="0" borderId="0" xfId="0" quotePrefix="1" applyNumberFormat="1" applyFont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9" fontId="132" fillId="0" borderId="0" xfId="0" quotePrefix="1" applyNumberFormat="1" applyFont="1" applyAlignment="1" applyProtection="1">
      <alignment vertical="center"/>
      <protection locked="0"/>
    </xf>
    <xf numFmtId="0" fontId="83" fillId="0" borderId="0" xfId="0" applyFont="1" applyProtection="1">
      <protection locked="0"/>
    </xf>
    <xf numFmtId="0" fontId="84" fillId="2" borderId="0" xfId="0" applyFont="1" applyFill="1" applyAlignment="1" applyProtection="1">
      <alignment horizontal="left"/>
      <protection locked="0"/>
    </xf>
    <xf numFmtId="0" fontId="129" fillId="0" borderId="0" xfId="0" applyFont="1" applyAlignment="1" applyProtection="1">
      <alignment vertical="center"/>
      <protection locked="0"/>
    </xf>
    <xf numFmtId="2" fontId="1" fillId="2" borderId="0" xfId="0" applyNumberFormat="1" applyFont="1" applyFill="1"/>
    <xf numFmtId="0" fontId="1" fillId="2" borderId="0" xfId="0" applyFont="1" applyFill="1" applyProtection="1">
      <protection locked="0"/>
    </xf>
    <xf numFmtId="0" fontId="129" fillId="0" borderId="0" xfId="0" applyFont="1" applyProtection="1">
      <protection locked="0"/>
    </xf>
    <xf numFmtId="0" fontId="133" fillId="0" borderId="0" xfId="1" applyFont="1"/>
    <xf numFmtId="0" fontId="84" fillId="3" borderId="0" xfId="0" applyFont="1" applyFill="1" applyAlignment="1" applyProtection="1">
      <alignment horizontal="center" vertical="center"/>
      <protection locked="0"/>
    </xf>
    <xf numFmtId="0" fontId="106" fillId="3" borderId="0" xfId="1" applyFont="1" applyFill="1" applyAlignment="1" applyProtection="1">
      <alignment vertical="center"/>
      <protection locked="0"/>
    </xf>
    <xf numFmtId="0" fontId="134" fillId="0" borderId="0" xfId="0" applyFont="1" applyProtection="1">
      <protection locked="0"/>
    </xf>
    <xf numFmtId="0" fontId="84" fillId="2" borderId="0" xfId="0" applyFont="1" applyFill="1" applyAlignment="1">
      <alignment horizontal="left"/>
    </xf>
    <xf numFmtId="0" fontId="134" fillId="0" borderId="0" xfId="0" applyFont="1" applyAlignment="1" applyProtection="1">
      <alignment horizontal="right"/>
      <protection locked="0"/>
    </xf>
    <xf numFmtId="0" fontId="74" fillId="0" borderId="0" xfId="0" applyFont="1" applyAlignment="1">
      <alignment horizontal="left"/>
    </xf>
    <xf numFmtId="0" fontId="74" fillId="3" borderId="0" xfId="0" applyFont="1" applyFill="1" applyProtection="1">
      <protection locked="0"/>
    </xf>
    <xf numFmtId="0" fontId="6" fillId="13" borderId="7" xfId="9" applyFont="1" applyFill="1" applyBorder="1"/>
    <xf numFmtId="0" fontId="24" fillId="5" borderId="9" xfId="0" applyFont="1" applyFill="1" applyBorder="1"/>
    <xf numFmtId="0" fontId="24" fillId="5" borderId="0" xfId="0" applyFont="1" applyFill="1"/>
    <xf numFmtId="2" fontId="87" fillId="3" borderId="0" xfId="0" applyNumberFormat="1" applyFont="1" applyFill="1" applyAlignment="1">
      <alignment horizontal="center" vertical="center"/>
    </xf>
    <xf numFmtId="165" fontId="3" fillId="0" borderId="0" xfId="4" applyNumberFormat="1"/>
    <xf numFmtId="165" fontId="8" fillId="4" borderId="47" xfId="4" applyNumberFormat="1" applyFont="1" applyFill="1" applyBorder="1" applyAlignment="1">
      <alignment horizontal="center" vertical="center"/>
    </xf>
    <xf numFmtId="0" fontId="74" fillId="3" borderId="0" xfId="0" applyNumberFormat="1" applyFont="1" applyFill="1" applyAlignment="1">
      <alignment horizontal="left" vertical="center"/>
    </xf>
    <xf numFmtId="0" fontId="74" fillId="3" borderId="0" xfId="0" applyNumberFormat="1" applyFont="1" applyFill="1" applyAlignment="1">
      <alignment horizontal="center" vertical="center"/>
    </xf>
    <xf numFmtId="0" fontId="7" fillId="0" borderId="8" xfId="10" applyFont="1" applyBorder="1" applyAlignment="1">
      <alignment horizontal="left" vertical="top" wrapText="1"/>
    </xf>
    <xf numFmtId="0" fontId="7" fillId="0" borderId="7" xfId="10" applyFont="1" applyBorder="1" applyAlignment="1">
      <alignment horizontal="left" vertical="top" wrapText="1"/>
    </xf>
    <xf numFmtId="0" fontId="116" fillId="0" borderId="0" xfId="10" applyFont="1" applyAlignment="1" applyProtection="1">
      <alignment horizontal="center" vertical="center"/>
      <protection locked="0"/>
    </xf>
    <xf numFmtId="173" fontId="118" fillId="0" borderId="0" xfId="10" quotePrefix="1" applyNumberFormat="1" applyFont="1" applyAlignment="1" applyProtection="1">
      <alignment horizontal="center" vertical="center"/>
      <protection locked="0"/>
    </xf>
    <xf numFmtId="173" fontId="118" fillId="0" borderId="0" xfId="10" applyNumberFormat="1" applyFont="1" applyAlignment="1" applyProtection="1">
      <alignment horizontal="center" vertical="center"/>
      <protection locked="0"/>
    </xf>
    <xf numFmtId="0" fontId="7" fillId="0" borderId="0" xfId="10" applyFont="1" applyAlignment="1">
      <alignment horizontal="center"/>
    </xf>
    <xf numFmtId="0" fontId="80" fillId="0" borderId="0" xfId="10" applyFont="1" applyAlignment="1">
      <alignment horizontal="right" vertical="center"/>
    </xf>
    <xf numFmtId="0" fontId="78" fillId="0" borderId="0" xfId="10" applyFont="1" applyAlignment="1">
      <alignment horizontal="center"/>
    </xf>
    <xf numFmtId="0" fontId="118" fillId="0" borderId="0" xfId="10" quotePrefix="1" applyFont="1" applyAlignment="1" applyProtection="1">
      <alignment horizontal="left"/>
      <protection locked="0"/>
    </xf>
    <xf numFmtId="0" fontId="7" fillId="0" borderId="0" xfId="10" applyFont="1" applyAlignment="1">
      <alignment horizontal="left" vertical="center" wrapText="1"/>
    </xf>
    <xf numFmtId="1" fontId="7" fillId="0" borderId="0" xfId="10" applyNumberFormat="1" applyFont="1" applyAlignment="1">
      <alignment horizontal="left" vertical="center" wrapText="1"/>
    </xf>
    <xf numFmtId="0" fontId="119" fillId="0" borderId="0" xfId="10" quotePrefix="1" applyFont="1" applyAlignment="1" applyProtection="1">
      <alignment horizontal="left" vertical="center" wrapText="1"/>
      <protection locked="0"/>
    </xf>
    <xf numFmtId="11" fontId="118" fillId="0" borderId="0" xfId="10" quotePrefix="1" applyNumberFormat="1" applyFont="1" applyAlignment="1" applyProtection="1">
      <alignment horizontal="left"/>
      <protection locked="0"/>
    </xf>
    <xf numFmtId="0" fontId="118" fillId="0" borderId="0" xfId="10" applyFont="1" applyAlignment="1" applyProtection="1">
      <alignment horizontal="left"/>
      <protection locked="0"/>
    </xf>
    <xf numFmtId="0" fontId="7" fillId="0" borderId="0" xfId="10" applyFont="1" applyAlignment="1" applyProtection="1">
      <alignment horizontal="left" vertical="center" wrapText="1"/>
      <protection locked="0"/>
    </xf>
    <xf numFmtId="173" fontId="7" fillId="0" borderId="0" xfId="10" applyNumberFormat="1" applyFont="1" applyAlignment="1">
      <alignment horizontal="left" vertical="center" wrapText="1"/>
    </xf>
    <xf numFmtId="0" fontId="119" fillId="0" borderId="0" xfId="10" applyFont="1" applyAlignment="1" applyProtection="1">
      <alignment horizontal="left" vertical="center" wrapText="1"/>
      <protection locked="0"/>
    </xf>
    <xf numFmtId="0" fontId="7" fillId="0" borderId="0" xfId="10" applyFont="1" applyAlignment="1" applyProtection="1">
      <alignment horizontal="left" vertical="top" wrapText="1"/>
      <protection locked="0"/>
    </xf>
    <xf numFmtId="0" fontId="7" fillId="0" borderId="0" xfId="10" applyFont="1" applyAlignment="1" applyProtection="1">
      <alignment horizontal="justify" vertical="top" wrapText="1"/>
      <protection locked="0"/>
    </xf>
    <xf numFmtId="181" fontId="118" fillId="0" borderId="0" xfId="10" quotePrefix="1" applyNumberFormat="1" applyFont="1" applyAlignment="1" applyProtection="1">
      <alignment horizontal="left" vertical="center"/>
      <protection locked="0"/>
    </xf>
    <xf numFmtId="181" fontId="118" fillId="0" borderId="0" xfId="10" applyNumberFormat="1" applyFont="1" applyAlignment="1" applyProtection="1">
      <alignment horizontal="left" vertical="center"/>
      <protection locked="0"/>
    </xf>
    <xf numFmtId="1" fontId="7" fillId="0" borderId="0" xfId="10" applyNumberFormat="1" applyFont="1" applyAlignment="1">
      <alignment horizontal="left" vertical="top" wrapText="1"/>
    </xf>
    <xf numFmtId="0" fontId="7" fillId="0" borderId="0" xfId="10" applyFont="1" applyAlignment="1">
      <alignment horizontal="left" vertical="top" wrapText="1"/>
    </xf>
    <xf numFmtId="0" fontId="100" fillId="0" borderId="0" xfId="10" applyFont="1" applyAlignment="1">
      <alignment horizontal="center"/>
    </xf>
    <xf numFmtId="0" fontId="7" fillId="4" borderId="0" xfId="10" applyFont="1" applyFill="1" applyAlignment="1">
      <alignment horizontal="justify" vertical="center" wrapText="1"/>
    </xf>
    <xf numFmtId="0" fontId="6" fillId="0" borderId="0" xfId="10" applyFont="1" applyAlignment="1">
      <alignment horizontal="left" vertical="center" wrapText="1"/>
    </xf>
    <xf numFmtId="173" fontId="7" fillId="0" borderId="0" xfId="10" applyNumberFormat="1" applyFont="1" applyAlignment="1">
      <alignment horizontal="left" vertical="top" wrapText="1"/>
    </xf>
    <xf numFmtId="0" fontId="83" fillId="0" borderId="2" xfId="3" applyFont="1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0" fontId="32" fillId="0" borderId="0" xfId="5" applyFont="1" applyAlignment="1">
      <alignment horizontal="left" vertical="top" wrapText="1"/>
    </xf>
    <xf numFmtId="0" fontId="82" fillId="0" borderId="0" xfId="5" applyFont="1" applyAlignment="1">
      <alignment horizontal="center"/>
    </xf>
    <xf numFmtId="0" fontId="3" fillId="0" borderId="2" xfId="5" applyBorder="1" applyAlignment="1"/>
    <xf numFmtId="0" fontId="32" fillId="0" borderId="2" xfId="5" applyFont="1" applyBorder="1" applyAlignment="1"/>
    <xf numFmtId="165" fontId="32" fillId="0" borderId="8" xfId="5" applyNumberFormat="1" applyFont="1" applyBorder="1" applyAlignment="1">
      <alignment horizontal="center"/>
    </xf>
    <xf numFmtId="165" fontId="32" fillId="0" borderId="6" xfId="5" applyNumberFormat="1" applyFont="1" applyBorder="1" applyAlignment="1">
      <alignment horizontal="center"/>
    </xf>
    <xf numFmtId="165" fontId="32" fillId="0" borderId="8" xfId="5" applyNumberFormat="1" applyFont="1" applyBorder="1" applyAlignment="1"/>
    <xf numFmtId="165" fontId="32" fillId="0" borderId="6" xfId="5" applyNumberFormat="1" applyFont="1" applyBorder="1" applyAlignment="1"/>
    <xf numFmtId="165" fontId="37" fillId="2" borderId="4" xfId="5" quotePrefix="1" applyNumberFormat="1" applyFont="1" applyFill="1" applyBorder="1" applyAlignment="1">
      <alignment horizontal="center" vertical="center"/>
    </xf>
    <xf numFmtId="165" fontId="37" fillId="2" borderId="3" xfId="5" applyNumberFormat="1" applyFont="1" applyFill="1" applyBorder="1" applyAlignment="1">
      <alignment horizontal="center" vertical="center"/>
    </xf>
    <xf numFmtId="165" fontId="37" fillId="2" borderId="1" xfId="5" applyNumberFormat="1" applyFont="1" applyFill="1" applyBorder="1" applyAlignment="1">
      <alignment horizontal="center" vertical="center"/>
    </xf>
    <xf numFmtId="0" fontId="37" fillId="2" borderId="4" xfId="5" applyFont="1" applyFill="1" applyBorder="1" applyAlignment="1">
      <alignment horizontal="center" vertical="center" wrapText="1"/>
    </xf>
    <xf numFmtId="0" fontId="37" fillId="2" borderId="3" xfId="5" applyFont="1" applyFill="1" applyBorder="1" applyAlignment="1">
      <alignment horizontal="center" vertical="center" wrapText="1"/>
    </xf>
    <xf numFmtId="0" fontId="37" fillId="2" borderId="1" xfId="5" applyFont="1" applyFill="1" applyBorder="1" applyAlignment="1">
      <alignment horizontal="center" vertical="center" wrapText="1"/>
    </xf>
    <xf numFmtId="0" fontId="3" fillId="0" borderId="3" xfId="5" applyBorder="1" applyAlignment="1"/>
    <xf numFmtId="0" fontId="3" fillId="0" borderId="1" xfId="5" applyBorder="1" applyAlignment="1"/>
    <xf numFmtId="0" fontId="3" fillId="0" borderId="8" xfId="5" applyBorder="1" applyAlignment="1"/>
    <xf numFmtId="0" fontId="3" fillId="0" borderId="6" xfId="5" applyBorder="1" applyAlignment="1"/>
    <xf numFmtId="0" fontId="38" fillId="2" borderId="4" xfId="5" applyFont="1" applyFill="1" applyBorder="1" applyAlignment="1">
      <alignment horizontal="center" vertical="center"/>
    </xf>
    <xf numFmtId="0" fontId="38" fillId="2" borderId="3" xfId="5" applyFont="1" applyFill="1" applyBorder="1" applyAlignment="1">
      <alignment horizontal="center" vertical="center"/>
    </xf>
    <xf numFmtId="0" fontId="38" fillId="2" borderId="1" xfId="5" applyFont="1" applyFill="1" applyBorder="1" applyAlignment="1">
      <alignment horizontal="center" vertical="center"/>
    </xf>
    <xf numFmtId="0" fontId="38" fillId="2" borderId="2" xfId="5" applyFont="1" applyFill="1" applyBorder="1" applyAlignment="1">
      <alignment horizontal="center" vertical="center"/>
    </xf>
    <xf numFmtId="0" fontId="22" fillId="0" borderId="10" xfId="5" applyFont="1" applyBorder="1" applyAlignment="1">
      <alignment horizontal="center" vertical="center"/>
    </xf>
    <xf numFmtId="0" fontId="22" fillId="0" borderId="13" xfId="5" applyFont="1" applyBorder="1" applyAlignment="1">
      <alignment horizontal="center" vertical="center"/>
    </xf>
    <xf numFmtId="0" fontId="22" fillId="0" borderId="11" xfId="5" applyFont="1" applyBorder="1" applyAlignment="1">
      <alignment horizontal="center" vertical="center"/>
    </xf>
    <xf numFmtId="0" fontId="22" fillId="0" borderId="12" xfId="5" applyFont="1" applyBorder="1" applyAlignment="1">
      <alignment horizontal="center" vertical="center"/>
    </xf>
    <xf numFmtId="0" fontId="32" fillId="0" borderId="8" xfId="1" applyFont="1" applyBorder="1" applyAlignment="1">
      <alignment vertical="center"/>
    </xf>
    <xf numFmtId="0" fontId="32" fillId="0" borderId="7" xfId="1" applyFont="1" applyBorder="1" applyAlignment="1">
      <alignment vertical="center"/>
    </xf>
    <xf numFmtId="0" fontId="32" fillId="0" borderId="6" xfId="1" applyFont="1" applyBorder="1" applyAlignment="1">
      <alignment vertical="center"/>
    </xf>
    <xf numFmtId="0" fontId="32" fillId="0" borderId="8" xfId="1" applyFont="1" applyBorder="1" applyAlignment="1"/>
    <xf numFmtId="0" fontId="32" fillId="0" borderId="7" xfId="1" applyFont="1" applyBorder="1" applyAlignment="1"/>
    <xf numFmtId="0" fontId="22" fillId="0" borderId="2" xfId="1" applyFont="1" applyBorder="1" applyAlignment="1"/>
    <xf numFmtId="0" fontId="32" fillId="0" borderId="6" xfId="1" applyFont="1" applyBorder="1" applyAlignment="1"/>
    <xf numFmtId="0" fontId="42" fillId="0" borderId="0" xfId="5" applyFont="1" applyAlignment="1">
      <alignment horizontal="center" vertical="center" wrapText="1"/>
    </xf>
    <xf numFmtId="0" fontId="22" fillId="0" borderId="4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13" xfId="1" applyFont="1" applyBorder="1" applyAlignment="1">
      <alignment horizontal="center" vertical="center"/>
    </xf>
    <xf numFmtId="0" fontId="22" fillId="0" borderId="11" xfId="1" applyFont="1" applyBorder="1" applyAlignment="1">
      <alignment horizontal="center" vertical="center"/>
    </xf>
    <xf numFmtId="0" fontId="22" fillId="0" borderId="37" xfId="1" applyFont="1" applyBorder="1" applyAlignment="1">
      <alignment horizontal="center" vertical="center"/>
    </xf>
    <xf numFmtId="0" fontId="22" fillId="0" borderId="12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11" xfId="1" applyFont="1" applyBorder="1" applyAlignment="1">
      <alignment horizontal="center" vertical="center" wrapText="1"/>
    </xf>
    <xf numFmtId="0" fontId="22" fillId="0" borderId="12" xfId="1" applyFont="1" applyBorder="1" applyAlignment="1">
      <alignment horizontal="center" vertical="center" wrapText="1"/>
    </xf>
    <xf numFmtId="0" fontId="21" fillId="0" borderId="0" xfId="5" applyFont="1" applyAlignment="1">
      <alignment horizontal="center"/>
    </xf>
    <xf numFmtId="0" fontId="32" fillId="0" borderId="0" xfId="5" applyFont="1" applyAlignment="1">
      <alignment horizontal="center"/>
    </xf>
    <xf numFmtId="0" fontId="22" fillId="0" borderId="8" xfId="1" applyFont="1" applyBorder="1" applyAlignment="1">
      <alignment horizontal="center" vertical="center"/>
    </xf>
    <xf numFmtId="0" fontId="22" fillId="0" borderId="7" xfId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107" fillId="0" borderId="2" xfId="0" applyFont="1" applyBorder="1" applyAlignment="1" applyProtection="1">
      <alignment horizontal="center" vertical="center"/>
      <protection locked="0"/>
    </xf>
    <xf numFmtId="0" fontId="84" fillId="0" borderId="2" xfId="0" applyFont="1" applyBorder="1" applyAlignment="1">
      <alignment horizontal="center" vertical="center"/>
    </xf>
    <xf numFmtId="0" fontId="106" fillId="2" borderId="4" xfId="0" applyFont="1" applyFill="1" applyBorder="1" applyAlignment="1" applyProtection="1">
      <alignment horizontal="center" vertical="center" wrapText="1"/>
      <protection locked="0"/>
    </xf>
    <xf numFmtId="0" fontId="106" fillId="2" borderId="1" xfId="0" applyFont="1" applyFill="1" applyBorder="1" applyAlignment="1" applyProtection="1">
      <alignment horizontal="center" vertical="center" wrapText="1"/>
      <protection locked="0"/>
    </xf>
    <xf numFmtId="0" fontId="106" fillId="2" borderId="2" xfId="0" applyFont="1" applyFill="1" applyBorder="1" applyAlignment="1" applyProtection="1">
      <alignment horizontal="center"/>
      <protection locked="0"/>
    </xf>
    <xf numFmtId="0" fontId="106" fillId="2" borderId="2" xfId="0" applyFont="1" applyFill="1" applyBorder="1" applyAlignment="1" applyProtection="1">
      <alignment horizontal="center" vertical="center" wrapText="1"/>
      <protection locked="0"/>
    </xf>
    <xf numFmtId="0" fontId="106" fillId="2" borderId="2" xfId="0" applyFont="1" applyFill="1" applyBorder="1" applyAlignment="1" applyProtection="1">
      <alignment horizontal="center" vertical="center"/>
      <protection locked="0"/>
    </xf>
    <xf numFmtId="1" fontId="84" fillId="3" borderId="2" xfId="0" applyNumberFormat="1" applyFont="1" applyFill="1" applyBorder="1" applyAlignment="1" applyProtection="1">
      <alignment horizontal="center" vertical="center"/>
      <protection locked="0"/>
    </xf>
    <xf numFmtId="0" fontId="74" fillId="6" borderId="8" xfId="1" applyFont="1" applyFill="1" applyBorder="1" applyAlignment="1" applyProtection="1">
      <alignment horizontal="left" vertical="center"/>
      <protection locked="0"/>
    </xf>
    <xf numFmtId="0" fontId="74" fillId="6" borderId="7" xfId="1" applyFont="1" applyFill="1" applyBorder="1" applyAlignment="1" applyProtection="1">
      <alignment horizontal="left" vertical="center"/>
      <protection locked="0"/>
    </xf>
    <xf numFmtId="0" fontId="74" fillId="6" borderId="6" xfId="1" applyFont="1" applyFill="1" applyBorder="1" applyAlignment="1" applyProtection="1">
      <alignment horizontal="left" vertical="center"/>
      <protection locked="0"/>
    </xf>
    <xf numFmtId="2" fontId="84" fillId="3" borderId="8" xfId="0" applyNumberFormat="1" applyFont="1" applyFill="1" applyBorder="1" applyAlignment="1" applyProtection="1">
      <alignment horizontal="center" vertical="center"/>
      <protection locked="0"/>
    </xf>
    <xf numFmtId="2" fontId="84" fillId="3" borderId="6" xfId="0" applyNumberFormat="1" applyFont="1" applyFill="1" applyBorder="1" applyAlignment="1" applyProtection="1">
      <alignment horizontal="center" vertical="center"/>
      <protection locked="0"/>
    </xf>
    <xf numFmtId="0" fontId="106" fillId="2" borderId="3" xfId="0" applyFont="1" applyFill="1" applyBorder="1" applyAlignment="1" applyProtection="1">
      <alignment horizontal="center" vertical="center" wrapText="1"/>
      <protection locked="0"/>
    </xf>
    <xf numFmtId="2" fontId="74" fillId="3" borderId="8" xfId="0" applyNumberFormat="1" applyFont="1" applyFill="1" applyBorder="1" applyAlignment="1" applyProtection="1">
      <alignment horizontal="center" vertical="center"/>
      <protection locked="0"/>
    </xf>
    <xf numFmtId="2" fontId="74" fillId="3" borderId="6" xfId="0" applyNumberFormat="1" applyFont="1" applyFill="1" applyBorder="1" applyAlignment="1" applyProtection="1">
      <alignment horizontal="center" vertical="center"/>
      <protection locked="0"/>
    </xf>
    <xf numFmtId="0" fontId="106" fillId="0" borderId="4" xfId="1" applyFont="1" applyBorder="1" applyAlignment="1">
      <alignment horizontal="center" vertical="center"/>
    </xf>
    <xf numFmtId="0" fontId="106" fillId="0" borderId="3" xfId="1" applyFont="1" applyBorder="1" applyAlignment="1">
      <alignment horizontal="center" vertical="center"/>
    </xf>
    <xf numFmtId="0" fontId="106" fillId="2" borderId="4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106" fillId="0" borderId="4" xfId="1" applyFont="1" applyBorder="1" applyAlignment="1">
      <alignment horizontal="center" vertical="center" wrapText="1"/>
    </xf>
    <xf numFmtId="0" fontId="106" fillId="0" borderId="3" xfId="1" applyFont="1" applyBorder="1" applyAlignment="1">
      <alignment horizontal="center" vertical="center" wrapText="1"/>
    </xf>
    <xf numFmtId="2" fontId="74" fillId="3" borderId="2" xfId="0" applyNumberFormat="1" applyFont="1" applyFill="1" applyBorder="1" applyAlignment="1" applyProtection="1">
      <alignment horizontal="center" vertical="center"/>
      <protection locked="0"/>
    </xf>
    <xf numFmtId="0" fontId="106" fillId="2" borderId="4" xfId="0" applyFont="1" applyFill="1" applyBorder="1" applyAlignment="1" applyProtection="1">
      <alignment horizontal="center" vertical="center"/>
      <protection locked="0"/>
    </xf>
    <xf numFmtId="0" fontId="106" fillId="2" borderId="3" xfId="0" applyFont="1" applyFill="1" applyBorder="1" applyAlignment="1" applyProtection="1">
      <alignment horizontal="center" vertical="center"/>
      <protection locked="0"/>
    </xf>
    <xf numFmtId="0" fontId="74" fillId="3" borderId="0" xfId="0" applyFont="1" applyFill="1" applyAlignment="1" applyProtection="1">
      <alignment horizontal="left"/>
      <protection locked="0"/>
    </xf>
    <xf numFmtId="0" fontId="84" fillId="2" borderId="0" xfId="0" applyFont="1" applyFill="1" applyAlignment="1" applyProtection="1">
      <alignment horizontal="left" wrapText="1"/>
      <protection locked="0"/>
    </xf>
    <xf numFmtId="0" fontId="74" fillId="3" borderId="10" xfId="0" applyFont="1" applyFill="1" applyBorder="1" applyAlignment="1" applyProtection="1">
      <alignment horizontal="center" vertical="center"/>
      <protection locked="0"/>
    </xf>
    <xf numFmtId="0" fontId="74" fillId="3" borderId="13" xfId="0" applyFont="1" applyFill="1" applyBorder="1" applyAlignment="1" applyProtection="1">
      <alignment horizontal="center" vertical="center"/>
      <protection locked="0"/>
    </xf>
    <xf numFmtId="0" fontId="74" fillId="3" borderId="5" xfId="0" applyFont="1" applyFill="1" applyBorder="1" applyAlignment="1" applyProtection="1">
      <alignment horizontal="center" vertical="center"/>
      <protection locked="0"/>
    </xf>
    <xf numFmtId="0" fontId="74" fillId="3" borderId="38" xfId="0" applyFont="1" applyFill="1" applyBorder="1" applyAlignment="1" applyProtection="1">
      <alignment horizontal="center" vertical="center"/>
      <protection locked="0"/>
    </xf>
    <xf numFmtId="0" fontId="74" fillId="3" borderId="11" xfId="0" applyFont="1" applyFill="1" applyBorder="1" applyAlignment="1" applyProtection="1">
      <alignment horizontal="center" vertical="center"/>
      <protection locked="0"/>
    </xf>
    <xf numFmtId="0" fontId="74" fillId="3" borderId="12" xfId="0" applyFont="1" applyFill="1" applyBorder="1" applyAlignment="1" applyProtection="1">
      <alignment horizontal="center" vertical="center"/>
      <protection locked="0"/>
    </xf>
    <xf numFmtId="0" fontId="84" fillId="3" borderId="0" xfId="0" applyFont="1" applyFill="1" applyAlignment="1" applyProtection="1">
      <alignment horizontal="left" vertical="center" wrapText="1"/>
      <protection locked="0"/>
    </xf>
    <xf numFmtId="0" fontId="84" fillId="3" borderId="0" xfId="0" quotePrefix="1" applyFont="1" applyFill="1" applyAlignment="1" applyProtection="1">
      <protection locked="0"/>
    </xf>
    <xf numFmtId="0" fontId="74" fillId="3" borderId="0" xfId="0" quotePrefix="1" applyFont="1" applyFill="1" applyAlignment="1">
      <alignment horizontal="left"/>
    </xf>
    <xf numFmtId="0" fontId="74" fillId="3" borderId="0" xfId="0" applyFont="1" applyFill="1" applyAlignment="1">
      <alignment horizontal="left"/>
    </xf>
    <xf numFmtId="0" fontId="101" fillId="2" borderId="0" xfId="0" applyFont="1" applyFill="1" applyAlignment="1" applyProtection="1">
      <alignment horizontal="center" vertical="center"/>
      <protection locked="0"/>
    </xf>
    <xf numFmtId="0" fontId="106" fillId="0" borderId="4" xfId="1" applyFont="1" applyBorder="1" applyAlignment="1" applyProtection="1">
      <alignment horizontal="center" vertical="center" wrapText="1"/>
      <protection locked="0"/>
    </xf>
    <xf numFmtId="0" fontId="106" fillId="0" borderId="3" xfId="1" applyFont="1" applyBorder="1" applyAlignment="1" applyProtection="1">
      <alignment horizontal="center" vertical="center" wrapText="1"/>
      <protection locked="0"/>
    </xf>
    <xf numFmtId="0" fontId="106" fillId="0" borderId="8" xfId="1" applyFont="1" applyBorder="1" applyAlignment="1" applyProtection="1">
      <alignment horizontal="center" wrapText="1"/>
      <protection locked="0"/>
    </xf>
    <xf numFmtId="0" fontId="106" fillId="0" borderId="6" xfId="1" applyFont="1" applyBorder="1" applyAlignment="1" applyProtection="1">
      <alignment horizontal="center" wrapText="1"/>
      <protection locked="0"/>
    </xf>
    <xf numFmtId="165" fontId="84" fillId="0" borderId="8" xfId="1" applyNumberFormat="1" applyFont="1" applyBorder="1" applyAlignment="1">
      <alignment horizontal="center" vertical="center"/>
    </xf>
    <xf numFmtId="165" fontId="84" fillId="0" borderId="6" xfId="1" applyNumberFormat="1" applyFont="1" applyBorder="1" applyAlignment="1">
      <alignment horizontal="center" vertical="center"/>
    </xf>
    <xf numFmtId="0" fontId="84" fillId="3" borderId="0" xfId="0" applyFont="1" applyFill="1" applyAlignment="1" applyProtection="1">
      <alignment horizontal="left" vertical="center"/>
      <protection locked="0"/>
    </xf>
    <xf numFmtId="165" fontId="84" fillId="3" borderId="2" xfId="0" applyNumberFormat="1" applyFont="1" applyFill="1" applyBorder="1" applyAlignment="1" applyProtection="1">
      <alignment horizontal="center" vertical="center"/>
      <protection locked="0"/>
    </xf>
    <xf numFmtId="0" fontId="106" fillId="0" borderId="2" xfId="1" applyFont="1" applyBorder="1" applyAlignment="1" applyProtection="1">
      <alignment horizontal="center" vertical="center" wrapText="1"/>
      <protection locked="0"/>
    </xf>
    <xf numFmtId="165" fontId="84" fillId="0" borderId="2" xfId="1" applyNumberFormat="1" applyFont="1" applyBorder="1" applyAlignment="1" applyProtection="1">
      <alignment horizontal="center" vertical="center" wrapText="1"/>
      <protection locked="0"/>
    </xf>
    <xf numFmtId="0" fontId="106" fillId="0" borderId="4" xfId="1" applyFont="1" applyBorder="1" applyAlignment="1" applyProtection="1">
      <alignment horizontal="center" vertical="center"/>
      <protection locked="0"/>
    </xf>
    <xf numFmtId="0" fontId="106" fillId="0" borderId="3" xfId="1" applyFont="1" applyBorder="1" applyAlignment="1" applyProtection="1">
      <alignment horizontal="center" vertical="center"/>
      <protection locked="0"/>
    </xf>
    <xf numFmtId="0" fontId="106" fillId="2" borderId="7" xfId="0" applyFont="1" applyFill="1" applyBorder="1" applyAlignment="1" applyProtection="1">
      <alignment horizontal="left"/>
      <protection locked="0"/>
    </xf>
    <xf numFmtId="0" fontId="106" fillId="2" borderId="10" xfId="0" applyFont="1" applyFill="1" applyBorder="1" applyAlignment="1" applyProtection="1">
      <alignment horizontal="center" vertical="center" wrapText="1"/>
      <protection locked="0"/>
    </xf>
    <xf numFmtId="0" fontId="106" fillId="2" borderId="13" xfId="0" applyFont="1" applyFill="1" applyBorder="1" applyAlignment="1" applyProtection="1">
      <alignment horizontal="center" vertical="center" wrapText="1"/>
      <protection locked="0"/>
    </xf>
    <xf numFmtId="0" fontId="106" fillId="2" borderId="37" xfId="0" applyFont="1" applyFill="1" applyBorder="1" applyAlignment="1" applyProtection="1">
      <alignment horizontal="left"/>
      <protection locked="0"/>
    </xf>
    <xf numFmtId="165" fontId="84" fillId="2" borderId="2" xfId="0" applyNumberFormat="1" applyFont="1" applyFill="1" applyBorder="1" applyAlignment="1" applyProtection="1">
      <alignment horizontal="center" vertical="center"/>
      <protection locked="0"/>
    </xf>
    <xf numFmtId="0" fontId="66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63" fillId="0" borderId="0" xfId="3" applyFont="1" applyAlignment="1">
      <alignment horizontal="center"/>
    </xf>
    <xf numFmtId="0" fontId="64" fillId="0" borderId="0" xfId="0" applyFont="1" applyAlignment="1">
      <alignment horizontal="center" vertical="center"/>
    </xf>
    <xf numFmtId="0" fontId="67" fillId="0" borderId="0" xfId="3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66" fillId="0" borderId="0" xfId="3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63" fillId="0" borderId="0" xfId="3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9" fillId="0" borderId="8" xfId="1" applyFont="1" applyBorder="1" applyAlignment="1">
      <alignment horizontal="center" vertical="center"/>
    </xf>
    <xf numFmtId="0" fontId="59" fillId="0" borderId="7" xfId="1" applyFont="1" applyBorder="1" applyAlignment="1">
      <alignment horizontal="center" vertical="center"/>
    </xf>
    <xf numFmtId="0" fontId="59" fillId="0" borderId="6" xfId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6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0" fontId="38" fillId="2" borderId="4" xfId="0" applyFont="1" applyFill="1" applyBorder="1" applyAlignment="1">
      <alignment horizontal="center" vertical="top"/>
    </xf>
    <xf numFmtId="0" fontId="38" fillId="2" borderId="3" xfId="0" applyFont="1" applyFill="1" applyBorder="1" applyAlignment="1">
      <alignment horizontal="center" vertical="top"/>
    </xf>
    <xf numFmtId="0" fontId="38" fillId="2" borderId="4" xfId="0" applyFont="1" applyFill="1" applyBorder="1" applyAlignment="1">
      <alignment horizontal="center" vertical="top" wrapText="1"/>
    </xf>
    <xf numFmtId="0" fontId="38" fillId="2" borderId="3" xfId="0" applyFont="1" applyFill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5" xfId="0" applyFont="1" applyBorder="1" applyAlignment="1">
      <alignment horizontal="center" vertical="top" wrapText="1"/>
    </xf>
    <xf numFmtId="0" fontId="38" fillId="2" borderId="2" xfId="0" applyFont="1" applyFill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22" fillId="2" borderId="10" xfId="0" applyFont="1" applyFill="1" applyBorder="1" applyAlignment="1">
      <alignment horizontal="center" vertical="top" wrapText="1"/>
    </xf>
    <xf numFmtId="0" fontId="22" fillId="2" borderId="13" xfId="0" applyFont="1" applyFill="1" applyBorder="1" applyAlignment="1">
      <alignment horizontal="center" vertical="top" wrapText="1"/>
    </xf>
    <xf numFmtId="0" fontId="22" fillId="2" borderId="5" xfId="0" applyFont="1" applyFill="1" applyBorder="1" applyAlignment="1">
      <alignment horizontal="center" vertical="top" wrapText="1"/>
    </xf>
    <xf numFmtId="0" fontId="22" fillId="2" borderId="38" xfId="0" applyFont="1" applyFill="1" applyBorder="1" applyAlignment="1">
      <alignment horizontal="center" vertical="top" wrapText="1"/>
    </xf>
    <xf numFmtId="0" fontId="37" fillId="2" borderId="4" xfId="0" applyFont="1" applyFill="1" applyBorder="1" applyAlignment="1">
      <alignment horizontal="center" vertical="center" wrapText="1"/>
    </xf>
    <xf numFmtId="0" fontId="37" fillId="2" borderId="3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9" fontId="39" fillId="0" borderId="4" xfId="0" quotePrefix="1" applyNumberFormat="1" applyFont="1" applyBorder="1" applyAlignment="1">
      <alignment horizontal="center" vertical="center"/>
    </xf>
    <xf numFmtId="9" fontId="39" fillId="0" borderId="3" xfId="0" quotePrefix="1" applyNumberFormat="1" applyFont="1" applyBorder="1" applyAlignment="1">
      <alignment horizontal="center" vertical="center"/>
    </xf>
    <xf numFmtId="9" fontId="39" fillId="0" borderId="1" xfId="0" quotePrefix="1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165" fontId="32" fillId="0" borderId="2" xfId="0" applyNumberFormat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2" fontId="32" fillId="0" borderId="0" xfId="1" applyNumberFormat="1" applyFont="1" applyAlignment="1">
      <alignment horizontal="center" vertical="center"/>
    </xf>
    <xf numFmtId="0" fontId="38" fillId="2" borderId="8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6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 applyProtection="1">
      <alignment horizontal="center"/>
      <protection locked="0"/>
    </xf>
    <xf numFmtId="0" fontId="22" fillId="2" borderId="2" xfId="0" applyFont="1" applyFill="1" applyBorder="1" applyAlignment="1" applyProtection="1">
      <alignment horizontal="center"/>
      <protection locked="0"/>
    </xf>
    <xf numFmtId="14" fontId="32" fillId="2" borderId="2" xfId="0" applyNumberFormat="1" applyFont="1" applyFill="1" applyBorder="1" applyAlignment="1" applyProtection="1">
      <alignment horizontal="center"/>
      <protection locked="0"/>
    </xf>
    <xf numFmtId="1" fontId="41" fillId="0" borderId="2" xfId="1" applyNumberFormat="1" applyFont="1" applyBorder="1" applyAlignment="1" applyProtection="1">
      <alignment horizontal="center" vertical="center"/>
      <protection locked="0"/>
    </xf>
    <xf numFmtId="0" fontId="41" fillId="0" borderId="2" xfId="1" applyFont="1" applyBorder="1" applyAlignment="1" applyProtection="1">
      <alignment horizontal="center" vertical="center"/>
      <protection locked="0"/>
    </xf>
    <xf numFmtId="1" fontId="72" fillId="0" borderId="0" xfId="0" applyNumberFormat="1" applyFont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32" fillId="0" borderId="0" xfId="0" applyFont="1" applyAlignment="1" applyProtection="1">
      <alignment horizontal="left" vertical="top" wrapText="1"/>
      <protection locked="0"/>
    </xf>
    <xf numFmtId="165" fontId="32" fillId="0" borderId="1" xfId="0" applyNumberFormat="1" applyFont="1" applyBorder="1" applyAlignment="1">
      <alignment horizontal="center" vertical="center"/>
    </xf>
    <xf numFmtId="0" fontId="0" fillId="0" borderId="2" xfId="1" applyFont="1" applyBorder="1" applyAlignment="1" applyProtection="1">
      <alignment horizontal="center"/>
      <protection locked="0"/>
    </xf>
    <xf numFmtId="0" fontId="38" fillId="2" borderId="1" xfId="0" applyFont="1" applyFill="1" applyBorder="1" applyAlignment="1">
      <alignment horizontal="center" vertical="top" wrapText="1"/>
    </xf>
    <xf numFmtId="165" fontId="32" fillId="0" borderId="0" xfId="0" applyNumberFormat="1" applyFont="1" applyAlignment="1">
      <alignment horizontal="center"/>
    </xf>
    <xf numFmtId="0" fontId="106" fillId="2" borderId="8" xfId="0" applyFont="1" applyFill="1" applyBorder="1" applyAlignment="1">
      <alignment horizontal="center" vertical="top" wrapText="1"/>
    </xf>
    <xf numFmtId="0" fontId="106" fillId="2" borderId="6" xfId="0" applyFont="1" applyFill="1" applyBorder="1" applyAlignment="1">
      <alignment horizontal="center" vertical="top" wrapText="1"/>
    </xf>
    <xf numFmtId="0" fontId="106" fillId="2" borderId="2" xfId="0" applyFont="1" applyFill="1" applyBorder="1" applyAlignment="1">
      <alignment horizontal="center" vertical="top" wrapText="1"/>
    </xf>
    <xf numFmtId="0" fontId="106" fillId="2" borderId="7" xfId="0" applyFont="1" applyFill="1" applyBorder="1" applyAlignment="1">
      <alignment horizontal="center" vertical="top" wrapText="1"/>
    </xf>
    <xf numFmtId="0" fontId="106" fillId="2" borderId="4" xfId="0" applyFont="1" applyFill="1" applyBorder="1" applyAlignment="1">
      <alignment horizontal="center" vertical="top" wrapText="1"/>
    </xf>
    <xf numFmtId="0" fontId="106" fillId="2" borderId="1" xfId="0" applyFont="1" applyFill="1" applyBorder="1" applyAlignment="1">
      <alignment horizontal="center" vertical="top" wrapText="1"/>
    </xf>
    <xf numFmtId="0" fontId="106" fillId="0" borderId="4" xfId="0" applyFont="1" applyBorder="1" applyAlignment="1">
      <alignment horizontal="center" vertical="top" wrapText="1"/>
    </xf>
    <xf numFmtId="0" fontId="106" fillId="0" borderId="1" xfId="0" applyFont="1" applyBorder="1" applyAlignment="1">
      <alignment horizontal="center" vertical="top" wrapText="1"/>
    </xf>
    <xf numFmtId="9" fontId="131" fillId="0" borderId="2" xfId="0" quotePrefix="1" applyNumberFormat="1" applyFont="1" applyBorder="1" applyAlignment="1">
      <alignment horizontal="center" vertical="center"/>
    </xf>
    <xf numFmtId="0" fontId="106" fillId="0" borderId="2" xfId="0" applyFont="1" applyBorder="1" applyAlignment="1">
      <alignment horizontal="center" vertical="top" wrapText="1"/>
    </xf>
    <xf numFmtId="0" fontId="101" fillId="2" borderId="0" xfId="0" applyFont="1" applyFill="1" applyAlignment="1">
      <alignment horizontal="center"/>
    </xf>
    <xf numFmtId="0" fontId="84" fillId="2" borderId="0" xfId="0" applyFont="1" applyFill="1" applyAlignment="1">
      <alignment horizontal="center"/>
    </xf>
    <xf numFmtId="0" fontId="84" fillId="0" borderId="0" xfId="0" applyFont="1" applyAlignment="1" applyProtection="1">
      <alignment horizontal="left" vertical="center" wrapText="1"/>
      <protection locked="0"/>
    </xf>
    <xf numFmtId="0" fontId="106" fillId="2" borderId="10" xfId="0" applyFont="1" applyFill="1" applyBorder="1" applyAlignment="1">
      <alignment horizontal="center" vertical="top" wrapText="1"/>
    </xf>
    <xf numFmtId="0" fontId="106" fillId="2" borderId="9" xfId="0" applyFont="1" applyFill="1" applyBorder="1" applyAlignment="1">
      <alignment horizontal="center" vertical="top" wrapText="1"/>
    </xf>
    <xf numFmtId="0" fontId="106" fillId="2" borderId="11" xfId="0" applyFont="1" applyFill="1" applyBorder="1" applyAlignment="1">
      <alignment horizontal="center" vertical="top" wrapText="1"/>
    </xf>
    <xf numFmtId="0" fontId="106" fillId="2" borderId="37" xfId="0" applyFont="1" applyFill="1" applyBorder="1" applyAlignment="1">
      <alignment horizontal="center" vertical="top" wrapText="1"/>
    </xf>
    <xf numFmtId="0" fontId="106" fillId="2" borderId="13" xfId="0" applyFont="1" applyFill="1" applyBorder="1" applyAlignment="1">
      <alignment horizontal="center" vertical="top" wrapText="1"/>
    </xf>
    <xf numFmtId="0" fontId="106" fillId="2" borderId="12" xfId="0" applyFont="1" applyFill="1" applyBorder="1" applyAlignment="1">
      <alignment horizontal="center" vertical="top" wrapText="1"/>
    </xf>
    <xf numFmtId="0" fontId="106" fillId="2" borderId="10" xfId="0" applyFont="1" applyFill="1" applyBorder="1" applyAlignment="1">
      <alignment horizontal="center" vertical="top"/>
    </xf>
    <xf numFmtId="0" fontId="106" fillId="2" borderId="13" xfId="0" applyFont="1" applyFill="1" applyBorder="1" applyAlignment="1">
      <alignment horizontal="center" vertical="top"/>
    </xf>
    <xf numFmtId="0" fontId="106" fillId="2" borderId="11" xfId="0" applyFont="1" applyFill="1" applyBorder="1" applyAlignment="1">
      <alignment horizontal="center" vertical="top"/>
    </xf>
    <xf numFmtId="0" fontId="106" fillId="2" borderId="12" xfId="0" applyFont="1" applyFill="1" applyBorder="1" applyAlignment="1">
      <alignment horizontal="center" vertical="top"/>
    </xf>
    <xf numFmtId="0" fontId="84" fillId="2" borderId="10" xfId="0" applyFont="1" applyFill="1" applyBorder="1" applyAlignment="1">
      <alignment horizontal="center" vertical="center" wrapText="1"/>
    </xf>
    <xf numFmtId="0" fontId="84" fillId="2" borderId="13" xfId="0" applyFont="1" applyFill="1" applyBorder="1" applyAlignment="1">
      <alignment horizontal="center" vertical="center" wrapText="1"/>
    </xf>
    <xf numFmtId="0" fontId="84" fillId="2" borderId="5" xfId="0" applyFont="1" applyFill="1" applyBorder="1" applyAlignment="1">
      <alignment horizontal="center" vertical="center" wrapText="1"/>
    </xf>
    <xf numFmtId="0" fontId="84" fillId="2" borderId="38" xfId="0" applyFont="1" applyFill="1" applyBorder="1" applyAlignment="1">
      <alignment horizontal="center" vertical="center" wrapText="1"/>
    </xf>
    <xf numFmtId="0" fontId="84" fillId="2" borderId="11" xfId="0" applyFont="1" applyFill="1" applyBorder="1" applyAlignment="1">
      <alignment horizontal="center" vertical="center" wrapText="1"/>
    </xf>
    <xf numFmtId="0" fontId="84" fillId="2" borderId="12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22" fillId="0" borderId="2" xfId="0" applyFont="1" applyBorder="1" applyAlignment="1">
      <alignment horizontal="center" vertical="center"/>
    </xf>
    <xf numFmtId="0" fontId="32" fillId="0" borderId="2" xfId="0" applyFont="1" applyBorder="1" applyAlignment="1"/>
    <xf numFmtId="0" fontId="32" fillId="0" borderId="0" xfId="0" applyFont="1" applyAlignment="1" applyProtection="1">
      <alignment horizontal="left" wrapText="1"/>
      <protection locked="0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wrapText="1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8" fillId="3" borderId="66" xfId="5" applyFont="1" applyFill="1" applyBorder="1" applyAlignment="1">
      <alignment horizontal="center" vertical="center"/>
    </xf>
    <xf numFmtId="0" fontId="8" fillId="3" borderId="69" xfId="5" applyFont="1" applyFill="1" applyBorder="1" applyAlignment="1">
      <alignment horizontal="center" vertical="center"/>
    </xf>
    <xf numFmtId="0" fontId="10" fillId="3" borderId="35" xfId="5" applyFont="1" applyFill="1" applyBorder="1" applyAlignment="1">
      <alignment horizontal="center" vertical="center"/>
    </xf>
    <xf numFmtId="0" fontId="10" fillId="3" borderId="36" xfId="5" applyFont="1" applyFill="1" applyBorder="1" applyAlignment="1">
      <alignment horizontal="center" vertical="center"/>
    </xf>
    <xf numFmtId="0" fontId="10" fillId="3" borderId="58" xfId="5" applyFont="1" applyFill="1" applyBorder="1" applyAlignment="1">
      <alignment horizontal="center" vertical="center"/>
    </xf>
    <xf numFmtId="0" fontId="13" fillId="8" borderId="39" xfId="5" applyFont="1" applyFill="1" applyBorder="1" applyAlignment="1" applyProtection="1">
      <alignment horizontal="center" vertical="center"/>
      <protection locked="0"/>
    </xf>
    <xf numFmtId="0" fontId="13" fillId="8" borderId="18" xfId="5" applyFont="1" applyFill="1" applyBorder="1" applyAlignment="1" applyProtection="1">
      <alignment horizontal="center" vertical="center"/>
      <protection locked="0"/>
    </xf>
    <xf numFmtId="0" fontId="13" fillId="8" borderId="41" xfId="5" applyFont="1" applyFill="1" applyBorder="1" applyAlignment="1" applyProtection="1">
      <alignment horizontal="center" vertical="center"/>
      <protection locked="0"/>
    </xf>
    <xf numFmtId="0" fontId="13" fillId="8" borderId="30" xfId="5" applyFont="1" applyFill="1" applyBorder="1" applyAlignment="1" applyProtection="1">
      <alignment horizontal="center" vertical="center"/>
      <protection locked="0"/>
    </xf>
    <xf numFmtId="0" fontId="13" fillId="3" borderId="2" xfId="4" applyFont="1" applyFill="1" applyBorder="1" applyAlignment="1">
      <alignment horizontal="center" vertical="center"/>
    </xf>
    <xf numFmtId="0" fontId="13" fillId="8" borderId="65" xfId="5" applyFont="1" applyFill="1" applyBorder="1" applyAlignment="1" applyProtection="1">
      <alignment horizontal="center" vertical="center"/>
      <protection locked="0"/>
    </xf>
    <xf numFmtId="0" fontId="13" fillId="8" borderId="14" xfId="5" applyFont="1" applyFill="1" applyBorder="1" applyAlignment="1" applyProtection="1">
      <alignment horizontal="center" vertical="center"/>
      <protection locked="0"/>
    </xf>
    <xf numFmtId="0" fontId="13" fillId="8" borderId="63" xfId="5" applyFont="1" applyFill="1" applyBorder="1" applyAlignment="1" applyProtection="1">
      <alignment horizontal="center" vertical="center"/>
      <protection locked="0"/>
    </xf>
    <xf numFmtId="0" fontId="13" fillId="8" borderId="21" xfId="5" applyFont="1" applyFill="1" applyBorder="1" applyAlignment="1" applyProtection="1">
      <alignment horizontal="center" vertical="center"/>
      <protection locked="0"/>
    </xf>
    <xf numFmtId="0" fontId="10" fillId="3" borderId="47" xfId="4" applyFont="1" applyFill="1" applyBorder="1" applyAlignment="1">
      <alignment horizontal="left" vertical="center" wrapText="1"/>
    </xf>
    <xf numFmtId="0" fontId="10" fillId="3" borderId="18" xfId="4" applyFont="1" applyFill="1" applyBorder="1" applyAlignment="1">
      <alignment horizontal="left" vertical="center" wrapText="1"/>
    </xf>
    <xf numFmtId="0" fontId="10" fillId="3" borderId="30" xfId="4" applyFont="1" applyFill="1" applyBorder="1" applyAlignment="1">
      <alignment horizontal="left" vertical="center" wrapText="1"/>
    </xf>
    <xf numFmtId="0" fontId="58" fillId="3" borderId="2" xfId="5" applyFont="1" applyFill="1" applyBorder="1" applyAlignment="1">
      <alignment horizontal="center" vertical="center"/>
    </xf>
    <xf numFmtId="0" fontId="58" fillId="3" borderId="23" xfId="5" applyFont="1" applyFill="1" applyBorder="1" applyAlignment="1">
      <alignment horizontal="center" vertical="center"/>
    </xf>
    <xf numFmtId="0" fontId="10" fillId="3" borderId="51" xfId="5" applyFont="1" applyFill="1" applyBorder="1" applyAlignment="1">
      <alignment horizontal="center" vertical="center" wrapText="1"/>
    </xf>
    <xf numFmtId="0" fontId="10" fillId="3" borderId="52" xfId="5" applyFont="1" applyFill="1" applyBorder="1" applyAlignment="1">
      <alignment horizontal="center" vertical="center" wrapText="1"/>
    </xf>
    <xf numFmtId="0" fontId="10" fillId="3" borderId="45" xfId="5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3" fillId="3" borderId="23" xfId="4" applyFont="1" applyFill="1" applyBorder="1" applyAlignment="1">
      <alignment horizontal="center" vertical="center" wrapText="1"/>
    </xf>
    <xf numFmtId="0" fontId="8" fillId="8" borderId="62" xfId="5" applyFont="1" applyFill="1" applyBorder="1" applyAlignment="1">
      <alignment horizontal="center" vertical="center"/>
    </xf>
    <xf numFmtId="0" fontId="8" fillId="8" borderId="2" xfId="5" applyFont="1" applyFill="1" applyBorder="1" applyAlignment="1">
      <alignment horizontal="center" vertical="center"/>
    </xf>
    <xf numFmtId="0" fontId="10" fillId="3" borderId="60" xfId="4" applyFont="1" applyFill="1" applyBorder="1" applyAlignment="1">
      <alignment horizontal="left" vertical="center" wrapText="1"/>
    </xf>
    <xf numFmtId="0" fontId="10" fillId="3" borderId="61" xfId="4" applyFont="1" applyFill="1" applyBorder="1" applyAlignment="1">
      <alignment horizontal="left" vertical="center" wrapText="1"/>
    </xf>
    <xf numFmtId="1" fontId="10" fillId="4" borderId="2" xfId="5" applyNumberFormat="1" applyFont="1" applyFill="1" applyBorder="1" applyAlignment="1">
      <alignment horizontal="center" vertical="center"/>
    </xf>
    <xf numFmtId="1" fontId="10" fillId="4" borderId="8" xfId="5" applyNumberFormat="1" applyFont="1" applyFill="1" applyBorder="1" applyAlignment="1">
      <alignment horizontal="center" vertical="center"/>
    </xf>
    <xf numFmtId="0" fontId="13" fillId="4" borderId="2" xfId="5" applyFont="1" applyFill="1" applyBorder="1" applyAlignment="1">
      <alignment horizontal="center" vertical="center"/>
    </xf>
    <xf numFmtId="0" fontId="13" fillId="4" borderId="8" xfId="5" applyFont="1" applyFill="1" applyBorder="1" applyAlignment="1">
      <alignment horizontal="center" vertical="center"/>
    </xf>
    <xf numFmtId="0" fontId="10" fillId="8" borderId="60" xfId="4" applyFont="1" applyFill="1" applyBorder="1" applyAlignment="1">
      <alignment horizontal="center" vertical="center"/>
    </xf>
    <xf numFmtId="1" fontId="10" fillId="4" borderId="60" xfId="5" applyNumberFormat="1" applyFont="1" applyFill="1" applyBorder="1" applyAlignment="1">
      <alignment horizontal="center" vertical="center"/>
    </xf>
    <xf numFmtId="1" fontId="10" fillId="4" borderId="47" xfId="5" applyNumberFormat="1" applyFont="1" applyFill="1" applyBorder="1" applyAlignment="1">
      <alignment horizontal="center" vertical="center"/>
    </xf>
    <xf numFmtId="0" fontId="58" fillId="8" borderId="2" xfId="5" applyFont="1" applyFill="1" applyBorder="1" applyAlignment="1">
      <alignment horizontal="center" vertical="center"/>
    </xf>
    <xf numFmtId="0" fontId="13" fillId="8" borderId="59" xfId="5" applyFont="1" applyFill="1" applyBorder="1" applyAlignment="1">
      <alignment horizontal="center" vertical="center"/>
    </xf>
    <xf numFmtId="0" fontId="13" fillId="8" borderId="62" xfId="5" applyFont="1" applyFill="1" applyBorder="1" applyAlignment="1">
      <alignment horizontal="center" vertical="center"/>
    </xf>
    <xf numFmtId="0" fontId="13" fillId="8" borderId="60" xfId="5" applyFont="1" applyFill="1" applyBorder="1" applyAlignment="1">
      <alignment horizontal="center" vertical="center" wrapText="1"/>
    </xf>
    <xf numFmtId="0" fontId="13" fillId="8" borderId="2" xfId="5" applyFont="1" applyFill="1" applyBorder="1" applyAlignment="1">
      <alignment horizontal="center" vertical="center" wrapText="1"/>
    </xf>
    <xf numFmtId="0" fontId="13" fillId="8" borderId="60" xfId="5" applyFont="1" applyFill="1" applyBorder="1" applyAlignment="1">
      <alignment horizontal="center" vertical="center"/>
    </xf>
    <xf numFmtId="0" fontId="13" fillId="8" borderId="2" xfId="5" applyFont="1" applyFill="1" applyBorder="1" applyAlignment="1">
      <alignment horizontal="center" vertical="center"/>
    </xf>
    <xf numFmtId="0" fontId="3" fillId="0" borderId="66" xfId="5" applyBorder="1" applyAlignment="1">
      <alignment horizontal="center" vertical="center"/>
    </xf>
    <xf numFmtId="0" fontId="3" fillId="0" borderId="22" xfId="5" applyBorder="1" applyAlignment="1">
      <alignment horizontal="center" vertical="center"/>
    </xf>
    <xf numFmtId="0" fontId="3" fillId="0" borderId="69" xfId="5" applyBorder="1" applyAlignment="1">
      <alignment horizontal="center" vertical="center"/>
    </xf>
    <xf numFmtId="0" fontId="10" fillId="8" borderId="42" xfId="4" applyFont="1" applyFill="1" applyBorder="1" applyAlignment="1">
      <alignment horizontal="center" vertical="center"/>
    </xf>
    <xf numFmtId="0" fontId="10" fillId="8" borderId="41" xfId="4" applyFont="1" applyFill="1" applyBorder="1" applyAlignment="1">
      <alignment horizontal="center" vertical="center"/>
    </xf>
    <xf numFmtId="0" fontId="10" fillId="8" borderId="40" xfId="4" applyFont="1" applyFill="1" applyBorder="1" applyAlignment="1">
      <alignment horizontal="center" vertical="center"/>
    </xf>
    <xf numFmtId="0" fontId="12" fillId="8" borderId="35" xfId="5" applyFont="1" applyFill="1" applyBorder="1" applyAlignment="1">
      <alignment horizontal="center" vertical="center"/>
    </xf>
    <xf numFmtId="0" fontId="12" fillId="8" borderId="34" xfId="5" applyFont="1" applyFill="1" applyBorder="1" applyAlignment="1">
      <alignment horizontal="center" vertical="center"/>
    </xf>
    <xf numFmtId="0" fontId="12" fillId="8" borderId="67" xfId="5" applyFont="1" applyFill="1" applyBorder="1" applyAlignment="1">
      <alignment horizontal="center" vertical="center"/>
    </xf>
    <xf numFmtId="0" fontId="12" fillId="8" borderId="36" xfId="5" applyFont="1" applyFill="1" applyBorder="1" applyAlignment="1">
      <alignment horizontal="center" vertical="center"/>
    </xf>
    <xf numFmtId="0" fontId="12" fillId="8" borderId="66" xfId="5" applyFont="1" applyFill="1" applyBorder="1" applyAlignment="1">
      <alignment horizontal="center" vertical="center"/>
    </xf>
    <xf numFmtId="0" fontId="12" fillId="8" borderId="69" xfId="5" applyFont="1" applyFill="1" applyBorder="1" applyAlignment="1">
      <alignment horizontal="center" vertical="center"/>
    </xf>
    <xf numFmtId="0" fontId="14" fillId="8" borderId="35" xfId="4" applyFont="1" applyFill="1" applyBorder="1" applyAlignment="1">
      <alignment horizontal="center" vertical="center"/>
    </xf>
    <xf numFmtId="0" fontId="14" fillId="8" borderId="34" xfId="4" applyFont="1" applyFill="1" applyBorder="1" applyAlignment="1">
      <alignment horizontal="center" vertical="center"/>
    </xf>
    <xf numFmtId="0" fontId="19" fillId="8" borderId="55" xfId="4" applyFont="1" applyFill="1" applyBorder="1" applyAlignment="1">
      <alignment horizontal="center" vertical="center"/>
    </xf>
    <xf numFmtId="0" fontId="14" fillId="8" borderId="70" xfId="4" applyFont="1" applyFill="1" applyBorder="1" applyAlignment="1">
      <alignment horizontal="center" vertical="center"/>
    </xf>
    <xf numFmtId="1" fontId="54" fillId="8" borderId="42" xfId="5" applyNumberFormat="1" applyFont="1" applyFill="1" applyBorder="1" applyAlignment="1">
      <alignment horizontal="center" vertical="center"/>
    </xf>
    <xf numFmtId="1" fontId="54" fillId="8" borderId="40" xfId="5" applyNumberFormat="1" applyFont="1" applyFill="1" applyBorder="1" applyAlignment="1">
      <alignment horizontal="center" vertical="center"/>
    </xf>
    <xf numFmtId="0" fontId="10" fillId="8" borderId="35" xfId="4" applyFont="1" applyFill="1" applyBorder="1" applyAlignment="1">
      <alignment horizontal="center" vertical="center"/>
    </xf>
    <xf numFmtId="0" fontId="10" fillId="8" borderId="36" xfId="4" applyFont="1" applyFill="1" applyBorder="1" applyAlignment="1">
      <alignment horizontal="center" vertical="center"/>
    </xf>
    <xf numFmtId="0" fontId="10" fillId="8" borderId="58" xfId="4" applyFont="1" applyFill="1" applyBorder="1" applyAlignment="1">
      <alignment horizontal="center" vertical="center"/>
    </xf>
    <xf numFmtId="0" fontId="14" fillId="8" borderId="2" xfId="4" applyFont="1" applyFill="1" applyBorder="1" applyAlignment="1">
      <alignment horizontal="center" vertical="center"/>
    </xf>
    <xf numFmtId="0" fontId="19" fillId="8" borderId="2" xfId="4" applyFont="1" applyFill="1" applyBorder="1" applyAlignment="1">
      <alignment horizontal="center" vertical="center"/>
    </xf>
    <xf numFmtId="0" fontId="3" fillId="0" borderId="42" xfId="5" applyBorder="1" applyAlignment="1">
      <alignment horizontal="center" vertical="center"/>
    </xf>
    <xf numFmtId="0" fontId="3" fillId="0" borderId="17" xfId="5" applyBorder="1" applyAlignment="1">
      <alignment horizontal="center" vertical="center"/>
    </xf>
    <xf numFmtId="0" fontId="3" fillId="0" borderId="55" xfId="5" applyBorder="1" applyAlignment="1">
      <alignment horizontal="center" vertical="center"/>
    </xf>
    <xf numFmtId="0" fontId="10" fillId="8" borderId="2" xfId="4" applyFont="1" applyFill="1" applyBorder="1" applyAlignment="1">
      <alignment horizontal="center" vertical="center"/>
    </xf>
    <xf numFmtId="1" fontId="54" fillId="8" borderId="2" xfId="5" applyNumberFormat="1" applyFont="1" applyFill="1" applyBorder="1" applyAlignment="1">
      <alignment horizontal="center" vertical="center"/>
    </xf>
    <xf numFmtId="0" fontId="12" fillId="8" borderId="2" xfId="5" applyFont="1" applyFill="1" applyBorder="1" applyAlignment="1">
      <alignment horizontal="center" vertical="center"/>
    </xf>
    <xf numFmtId="0" fontId="57" fillId="7" borderId="35" xfId="5" applyFont="1" applyFill="1" applyBorder="1" applyAlignment="1">
      <alignment horizontal="center" vertical="center"/>
    </xf>
    <xf numFmtId="0" fontId="57" fillId="7" borderId="41" xfId="5" applyFont="1" applyFill="1" applyBorder="1" applyAlignment="1">
      <alignment horizontal="center" vertical="center"/>
    </xf>
    <xf numFmtId="0" fontId="57" fillId="7" borderId="36" xfId="5" applyFont="1" applyFill="1" applyBorder="1" applyAlignment="1">
      <alignment horizontal="center" vertical="center"/>
    </xf>
    <xf numFmtId="0" fontId="57" fillId="7" borderId="40" xfId="5" applyFont="1" applyFill="1" applyBorder="1" applyAlignment="1">
      <alignment horizontal="center" vertical="center"/>
    </xf>
    <xf numFmtId="0" fontId="13" fillId="14" borderId="20" xfId="0" applyFont="1" applyFill="1" applyBorder="1" applyAlignment="1">
      <alignment horizontal="center"/>
    </xf>
    <xf numFmtId="0" fontId="13" fillId="14" borderId="19" xfId="0" applyFont="1" applyFill="1" applyBorder="1" applyAlignment="1">
      <alignment horizontal="center"/>
    </xf>
    <xf numFmtId="0" fontId="13" fillId="14" borderId="43" xfId="0" applyFont="1" applyFill="1" applyBorder="1" applyAlignment="1">
      <alignment horizontal="center"/>
    </xf>
    <xf numFmtId="0" fontId="13" fillId="14" borderId="76" xfId="0" applyFont="1" applyFill="1" applyBorder="1" applyAlignment="1">
      <alignment horizontal="center"/>
    </xf>
    <xf numFmtId="0" fontId="6" fillId="6" borderId="8" xfId="3" applyFont="1" applyFill="1" applyBorder="1" applyAlignment="1">
      <alignment horizontal="center" vertical="center"/>
    </xf>
    <xf numFmtId="0" fontId="6" fillId="6" borderId="7" xfId="3" applyFont="1" applyFill="1" applyBorder="1" applyAlignment="1">
      <alignment horizontal="center" vertical="center"/>
    </xf>
    <xf numFmtId="0" fontId="6" fillId="6" borderId="6" xfId="3" applyFont="1" applyFill="1" applyBorder="1" applyAlignment="1">
      <alignment horizontal="center" vertical="center"/>
    </xf>
    <xf numFmtId="0" fontId="13" fillId="14" borderId="77" xfId="0" applyFont="1" applyFill="1" applyBorder="1" applyAlignment="1">
      <alignment horizontal="center"/>
    </xf>
    <xf numFmtId="0" fontId="6" fillId="6" borderId="39" xfId="3" applyFont="1" applyFill="1" applyBorder="1" applyAlignment="1">
      <alignment horizontal="center" vertical="center"/>
    </xf>
    <xf numFmtId="0" fontId="6" fillId="6" borderId="18" xfId="3" applyFont="1" applyFill="1" applyBorder="1" applyAlignment="1">
      <alignment horizontal="center" vertical="center"/>
    </xf>
    <xf numFmtId="0" fontId="6" fillId="6" borderId="30" xfId="3" applyFont="1" applyFill="1" applyBorder="1" applyAlignment="1">
      <alignment horizontal="center" vertical="center"/>
    </xf>
    <xf numFmtId="0" fontId="6" fillId="6" borderId="32" xfId="3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3" xfId="3" applyFont="1" applyFill="1" applyBorder="1" applyAlignment="1">
      <alignment horizontal="center" vertical="center"/>
    </xf>
    <xf numFmtId="0" fontId="6" fillId="6" borderId="1" xfId="3" applyFont="1" applyFill="1" applyBorder="1" applyAlignment="1">
      <alignment horizontal="center" vertical="center"/>
    </xf>
    <xf numFmtId="0" fontId="6" fillId="6" borderId="73" xfId="3" applyFont="1" applyFill="1" applyBorder="1" applyAlignment="1">
      <alignment horizontal="center" vertical="center"/>
    </xf>
    <xf numFmtId="0" fontId="6" fillId="6" borderId="46" xfId="3" applyFont="1" applyFill="1" applyBorder="1" applyAlignment="1">
      <alignment horizontal="center" vertical="center"/>
    </xf>
    <xf numFmtId="0" fontId="6" fillId="6" borderId="26" xfId="3" applyFont="1" applyFill="1" applyBorder="1" applyAlignment="1">
      <alignment horizontal="center" vertical="center"/>
    </xf>
    <xf numFmtId="0" fontId="12" fillId="12" borderId="67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58" xfId="0" applyFont="1" applyFill="1" applyBorder="1" applyAlignment="1">
      <alignment horizontal="center" vertical="center"/>
    </xf>
    <xf numFmtId="0" fontId="24" fillId="12" borderId="35" xfId="0" applyFont="1" applyFill="1" applyBorder="1" applyAlignment="1">
      <alignment horizontal="center" wrapText="1"/>
    </xf>
    <xf numFmtId="0" fontId="24" fillId="12" borderId="36" xfId="0" applyFont="1" applyFill="1" applyBorder="1" applyAlignment="1">
      <alignment horizontal="center" wrapText="1"/>
    </xf>
    <xf numFmtId="0" fontId="24" fillId="12" borderId="58" xfId="0" applyFont="1" applyFill="1" applyBorder="1" applyAlignment="1">
      <alignment horizontal="center" wrapText="1"/>
    </xf>
    <xf numFmtId="0" fontId="24" fillId="12" borderId="35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4" fillId="12" borderId="58" xfId="0" applyFont="1" applyFill="1" applyBorder="1" applyAlignment="1">
      <alignment horizontal="center" vertical="center" wrapText="1"/>
    </xf>
    <xf numFmtId="0" fontId="14" fillId="12" borderId="35" xfId="3" applyFont="1" applyFill="1" applyBorder="1" applyAlignment="1">
      <alignment horizontal="center"/>
    </xf>
    <xf numFmtId="0" fontId="14" fillId="12" borderId="36" xfId="3" applyFont="1" applyFill="1" applyBorder="1" applyAlignment="1">
      <alignment horizontal="center"/>
    </xf>
    <xf numFmtId="0" fontId="14" fillId="12" borderId="58" xfId="3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2" fillId="12" borderId="15" xfId="0" applyFont="1" applyFill="1" applyBorder="1" applyAlignment="1">
      <alignment horizontal="center" vertical="center"/>
    </xf>
    <xf numFmtId="0" fontId="53" fillId="10" borderId="4" xfId="4" applyFont="1" applyFill="1" applyBorder="1" applyAlignment="1" applyProtection="1">
      <alignment horizontal="center" vertical="center" wrapText="1"/>
      <protection locked="0"/>
    </xf>
    <xf numFmtId="0" fontId="53" fillId="10" borderId="3" xfId="4" applyFont="1" applyFill="1" applyBorder="1" applyAlignment="1" applyProtection="1">
      <alignment horizontal="center" vertical="center" wrapText="1"/>
      <protection locked="0"/>
    </xf>
    <xf numFmtId="0" fontId="53" fillId="10" borderId="1" xfId="4" applyFont="1" applyFill="1" applyBorder="1" applyAlignment="1" applyProtection="1">
      <alignment horizontal="center" vertical="center" wrapText="1"/>
      <protection locked="0"/>
    </xf>
    <xf numFmtId="0" fontId="3" fillId="4" borderId="22" xfId="4" applyFill="1" applyBorder="1" applyAlignment="1">
      <alignment horizontal="center" wrapText="1"/>
    </xf>
    <xf numFmtId="0" fontId="3" fillId="4" borderId="69" xfId="4" applyFill="1" applyBorder="1" applyAlignment="1">
      <alignment horizontal="center" wrapText="1"/>
    </xf>
    <xf numFmtId="0" fontId="56" fillId="3" borderId="0" xfId="4" applyFont="1" applyFill="1" applyAlignment="1">
      <alignment horizontal="center" vertical="center" wrapText="1"/>
    </xf>
    <xf numFmtId="0" fontId="12" fillId="3" borderId="8" xfId="9" applyFont="1" applyFill="1" applyBorder="1" applyAlignment="1">
      <alignment horizontal="center" vertical="center"/>
    </xf>
    <xf numFmtId="0" fontId="12" fillId="3" borderId="7" xfId="9" applyFont="1" applyFill="1" applyBorder="1" applyAlignment="1">
      <alignment horizontal="center" vertical="center"/>
    </xf>
    <xf numFmtId="0" fontId="12" fillId="3" borderId="6" xfId="9" applyFont="1" applyFill="1" applyBorder="1" applyAlignment="1">
      <alignment horizontal="center" vertical="center"/>
    </xf>
    <xf numFmtId="0" fontId="90" fillId="3" borderId="62" xfId="4" applyFont="1" applyFill="1" applyBorder="1" applyAlignment="1">
      <alignment horizontal="center" vertical="center" wrapText="1"/>
    </xf>
    <xf numFmtId="0" fontId="90" fillId="3" borderId="2" xfId="4" applyFont="1" applyFill="1" applyBorder="1" applyAlignment="1">
      <alignment horizontal="center" vertical="center" wrapText="1"/>
    </xf>
    <xf numFmtId="0" fontId="91" fillId="3" borderId="0" xfId="4" applyFont="1" applyFill="1" applyAlignment="1">
      <alignment horizontal="left" wrapText="1"/>
    </xf>
    <xf numFmtId="0" fontId="10" fillId="4" borderId="62" xfId="4" applyFont="1" applyFill="1" applyBorder="1" applyAlignment="1">
      <alignment horizontal="center" vertical="center" wrapText="1"/>
    </xf>
    <xf numFmtId="0" fontId="10" fillId="4" borderId="2" xfId="4" applyFont="1" applyFill="1" applyBorder="1" applyAlignment="1">
      <alignment horizontal="center" vertical="center" wrapText="1"/>
    </xf>
    <xf numFmtId="0" fontId="10" fillId="4" borderId="23" xfId="4" applyFont="1" applyFill="1" applyBorder="1" applyAlignment="1">
      <alignment horizontal="center" vertical="center" wrapText="1"/>
    </xf>
    <xf numFmtId="0" fontId="12" fillId="10" borderId="8" xfId="4" applyFont="1" applyFill="1" applyBorder="1" applyAlignment="1" applyProtection="1">
      <alignment horizontal="center" vertical="center" wrapText="1"/>
      <protection locked="0"/>
    </xf>
    <xf numFmtId="0" fontId="12" fillId="10" borderId="7" xfId="4" applyFont="1" applyFill="1" applyBorder="1" applyAlignment="1" applyProtection="1">
      <alignment horizontal="center" vertical="center" wrapText="1"/>
      <protection locked="0"/>
    </xf>
    <xf numFmtId="0" fontId="12" fillId="10" borderId="6" xfId="4" applyFont="1" applyFill="1" applyBorder="1" applyAlignment="1" applyProtection="1">
      <alignment horizontal="center" vertical="center" wrapText="1"/>
      <protection locked="0"/>
    </xf>
    <xf numFmtId="0" fontId="10" fillId="4" borderId="59" xfId="4" applyFont="1" applyFill="1" applyBorder="1" applyAlignment="1">
      <alignment horizontal="center" vertical="center"/>
    </xf>
    <xf numFmtId="0" fontId="10" fillId="4" borderId="60" xfId="4" applyFont="1" applyFill="1" applyBorder="1" applyAlignment="1">
      <alignment horizontal="center" vertical="center"/>
    </xf>
    <xf numFmtId="0" fontId="10" fillId="4" borderId="61" xfId="4" applyFont="1" applyFill="1" applyBorder="1" applyAlignment="1">
      <alignment horizontal="center" vertical="center"/>
    </xf>
    <xf numFmtId="0" fontId="54" fillId="3" borderId="59" xfId="4" applyFont="1" applyFill="1" applyBorder="1" applyAlignment="1">
      <alignment horizontal="center" vertical="center" wrapText="1"/>
    </xf>
    <xf numFmtId="0" fontId="54" fillId="3" borderId="62" xfId="4" applyFont="1" applyFill="1" applyBorder="1" applyAlignment="1">
      <alignment horizontal="center" vertical="center" wrapText="1"/>
    </xf>
    <xf numFmtId="0" fontId="54" fillId="3" borderId="51" xfId="4" applyFont="1" applyFill="1" applyBorder="1" applyAlignment="1">
      <alignment horizontal="center" vertical="center" wrapText="1"/>
    </xf>
    <xf numFmtId="0" fontId="54" fillId="3" borderId="47" xfId="4" applyFont="1" applyFill="1" applyBorder="1" applyAlignment="1">
      <alignment horizontal="center" vertical="center" wrapText="1"/>
    </xf>
    <xf numFmtId="0" fontId="54" fillId="3" borderId="8" xfId="4" applyFont="1" applyFill="1" applyBorder="1" applyAlignment="1">
      <alignment horizontal="center" vertical="center" wrapText="1"/>
    </xf>
    <xf numFmtId="0" fontId="54" fillId="3" borderId="10" xfId="4" applyFont="1" applyFill="1" applyBorder="1" applyAlignment="1">
      <alignment horizontal="center" vertical="center" wrapText="1"/>
    </xf>
    <xf numFmtId="0" fontId="5" fillId="3" borderId="27" xfId="4" applyFont="1" applyFill="1" applyBorder="1" applyAlignment="1">
      <alignment horizontal="center" vertical="center" wrapText="1"/>
    </xf>
    <xf numFmtId="0" fontId="5" fillId="3" borderId="46" xfId="4" applyFont="1" applyFill="1" applyBorder="1" applyAlignment="1">
      <alignment horizontal="center" vertical="center" wrapText="1"/>
    </xf>
    <xf numFmtId="0" fontId="14" fillId="10" borderId="1" xfId="4" applyFont="1" applyFill="1" applyBorder="1" applyAlignment="1" applyProtection="1">
      <alignment horizontal="center"/>
      <protection locked="0"/>
    </xf>
    <xf numFmtId="0" fontId="12" fillId="10" borderId="8" xfId="4" applyFont="1" applyFill="1" applyBorder="1" applyAlignment="1" applyProtection="1">
      <alignment horizontal="center" vertical="center"/>
      <protection locked="0"/>
    </xf>
    <xf numFmtId="0" fontId="12" fillId="10" borderId="7" xfId="4" applyFont="1" applyFill="1" applyBorder="1" applyAlignment="1" applyProtection="1">
      <alignment horizontal="center" vertical="center"/>
      <protection locked="0"/>
    </xf>
    <xf numFmtId="0" fontId="12" fillId="10" borderId="6" xfId="4" applyFont="1" applyFill="1" applyBorder="1" applyAlignment="1" applyProtection="1">
      <alignment horizontal="center" vertical="center"/>
      <protection locked="0"/>
    </xf>
    <xf numFmtId="0" fontId="12" fillId="10" borderId="11" xfId="4" applyFont="1" applyFill="1" applyBorder="1" applyAlignment="1" applyProtection="1">
      <alignment horizontal="center" vertical="center"/>
      <protection locked="0"/>
    </xf>
    <xf numFmtId="0" fontId="12" fillId="10" borderId="37" xfId="4" applyFont="1" applyFill="1" applyBorder="1" applyAlignment="1" applyProtection="1">
      <alignment horizontal="center" vertical="center"/>
      <protection locked="0"/>
    </xf>
    <xf numFmtId="0" fontId="12" fillId="10" borderId="12" xfId="4" applyFont="1" applyFill="1" applyBorder="1" applyAlignment="1" applyProtection="1">
      <alignment horizontal="center" vertical="center"/>
      <protection locked="0"/>
    </xf>
    <xf numFmtId="0" fontId="5" fillId="10" borderId="2" xfId="4" applyFont="1" applyFill="1" applyBorder="1" applyAlignment="1" applyProtection="1">
      <alignment horizontal="center" vertical="center"/>
      <protection locked="0"/>
    </xf>
    <xf numFmtId="0" fontId="52" fillId="10" borderId="2" xfId="4" applyFont="1" applyFill="1" applyBorder="1" applyAlignment="1" applyProtection="1">
      <alignment horizontal="center" vertical="center"/>
      <protection locked="0"/>
    </xf>
    <xf numFmtId="0" fontId="14" fillId="10" borderId="2" xfId="4" applyFont="1" applyFill="1" applyBorder="1" applyAlignment="1" applyProtection="1">
      <alignment horizontal="center"/>
      <protection locked="0"/>
    </xf>
    <xf numFmtId="0" fontId="14" fillId="10" borderId="8" xfId="4" applyFont="1" applyFill="1" applyBorder="1" applyAlignment="1" applyProtection="1">
      <alignment horizontal="center" vertical="center"/>
      <protection locked="0"/>
    </xf>
    <xf numFmtId="0" fontId="14" fillId="10" borderId="7" xfId="4" applyFont="1" applyFill="1" applyBorder="1" applyAlignment="1" applyProtection="1">
      <alignment horizontal="center" vertical="center"/>
      <protection locked="0"/>
    </xf>
    <xf numFmtId="0" fontId="14" fillId="10" borderId="6" xfId="4" applyFont="1" applyFill="1" applyBorder="1" applyAlignment="1" applyProtection="1">
      <alignment horizontal="center" vertical="center"/>
      <protection locked="0"/>
    </xf>
    <xf numFmtId="0" fontId="86" fillId="6" borderId="17" xfId="4" applyFont="1" applyFill="1" applyBorder="1" applyAlignment="1">
      <alignment horizontal="center" vertical="center"/>
    </xf>
    <xf numFmtId="0" fontId="86" fillId="6" borderId="0" xfId="4" applyFont="1" applyFill="1" applyAlignment="1">
      <alignment horizontal="center" vertical="center"/>
    </xf>
    <xf numFmtId="0" fontId="86" fillId="6" borderId="15" xfId="4" applyFont="1" applyFill="1" applyBorder="1" applyAlignment="1">
      <alignment horizontal="center" vertical="center"/>
    </xf>
  </cellXfs>
  <cellStyles count="11">
    <cellStyle name="Normal" xfId="0" builtinId="0"/>
    <cellStyle name="Normal 2" xfId="3" xr:uid="{00000000-0005-0000-0000-000001000000}"/>
    <cellStyle name="Normal 2 2" xfId="4" xr:uid="{00000000-0005-0000-0000-000002000000}"/>
    <cellStyle name="Normal 2 3" xfId="10" xr:uid="{2A865C5A-2DA2-4D19-BC61-345EA5318B26}"/>
    <cellStyle name="Normal 3" xfId="5" xr:uid="{00000000-0005-0000-0000-000003000000}"/>
    <cellStyle name="Normal 4" xfId="6" xr:uid="{00000000-0005-0000-0000-000004000000}"/>
    <cellStyle name="Normal 4 2" xfId="7" xr:uid="{00000000-0005-0000-0000-000005000000}"/>
    <cellStyle name="Normal 5" xfId="9" xr:uid="{3C0DD1C2-4ED1-471A-969C-8A7D88A6846C}"/>
    <cellStyle name="Normal 6" xfId="8" xr:uid="{00000000-0005-0000-0000-000006000000}"/>
    <cellStyle name="Normal_Daftar kelistrikan (ecg)" xfId="1" xr:uid="{00000000-0005-0000-0000-000007000000}"/>
    <cellStyle name="Normal_Sheet1" xfId="2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4F0F92D7-49B7-474D-BCF2-7BC492FAA097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EDA5F3A2-03A7-44FF-BEDC-C1848C558590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4" name="Text Box 6">
          <a:extLst>
            <a:ext uri="{FF2B5EF4-FFF2-40B4-BE49-F238E27FC236}">
              <a16:creationId xmlns:a16="http://schemas.microsoft.com/office/drawing/2014/main" id="{271D3BA9-8852-460D-A48D-17A6533BAA3F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6D9EEC40-5632-4DB2-BEEB-042F2291EE0A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8160A403-2C8F-4848-B082-50311F37D03B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BDCC61BE-36AF-46D9-B4CD-503B5E0FF231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7278D508-8C86-4991-A4BE-0E4CE00551B1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9" name="Text Box 7">
          <a:extLst>
            <a:ext uri="{FF2B5EF4-FFF2-40B4-BE49-F238E27FC236}">
              <a16:creationId xmlns:a16="http://schemas.microsoft.com/office/drawing/2014/main" id="{7F103079-40D3-47F4-A683-A94D08F4832F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10" name="Text Box 6">
          <a:extLst>
            <a:ext uri="{FF2B5EF4-FFF2-40B4-BE49-F238E27FC236}">
              <a16:creationId xmlns:a16="http://schemas.microsoft.com/office/drawing/2014/main" id="{186F579C-9D5B-4650-8CBD-3BE454495F6F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11" name="Text Box 7">
          <a:extLst>
            <a:ext uri="{FF2B5EF4-FFF2-40B4-BE49-F238E27FC236}">
              <a16:creationId xmlns:a16="http://schemas.microsoft.com/office/drawing/2014/main" id="{BF7E0F4D-0F0F-433B-8D91-7355E6B9FD61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8082DC33-23ED-475D-9493-C2DE5C06CDB0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1E5A604F-E494-43FB-A9A2-FC7E32AF0E3A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4" name="Text Box 6">
          <a:extLst>
            <a:ext uri="{FF2B5EF4-FFF2-40B4-BE49-F238E27FC236}">
              <a16:creationId xmlns:a16="http://schemas.microsoft.com/office/drawing/2014/main" id="{ABB3120A-2D21-4723-87EE-E0E2FFFF4B9B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AD20E02E-3E4F-479E-B28F-7E2A43F136DA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9A7F77F5-B3A9-4E5C-BFF9-AD549AF12893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717714ED-398A-46AE-B311-4B5FDF54D913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8" name="Text Box 6">
          <a:extLst>
            <a:ext uri="{FF2B5EF4-FFF2-40B4-BE49-F238E27FC236}">
              <a16:creationId xmlns:a16="http://schemas.microsoft.com/office/drawing/2014/main" id="{D1B9D0D8-4AA9-42F8-A76D-21E624ABE4B5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13</xdr:col>
      <xdr:colOff>413092</xdr:colOff>
      <xdr:row>37</xdr:row>
      <xdr:rowOff>157490</xdr:rowOff>
    </xdr:from>
    <xdr:to>
      <xdr:col>13</xdr:col>
      <xdr:colOff>734011</xdr:colOff>
      <xdr:row>37</xdr:row>
      <xdr:rowOff>157490</xdr:rowOff>
    </xdr:to>
    <xdr:sp macro="" textlink="">
      <xdr:nvSpPr>
        <xdr:cNvPr id="19" name="Text Box 7">
          <a:extLst>
            <a:ext uri="{FF2B5EF4-FFF2-40B4-BE49-F238E27FC236}">
              <a16:creationId xmlns:a16="http://schemas.microsoft.com/office/drawing/2014/main" id="{8E3BB6CF-A03A-4F65-B225-57EB2D886E12}"/>
            </a:ext>
          </a:extLst>
        </xdr:cNvPr>
        <xdr:cNvSpPr txBox="1">
          <a:spLocks noChangeArrowheads="1"/>
        </xdr:cNvSpPr>
      </xdr:nvSpPr>
      <xdr:spPr bwMode="auto">
        <a:xfrm>
          <a:off x="6451942" y="7167890"/>
          <a:ext cx="1399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574FD7BA-4291-4B46-8041-1763D7065776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1" name="Text Box 7">
          <a:extLst>
            <a:ext uri="{FF2B5EF4-FFF2-40B4-BE49-F238E27FC236}">
              <a16:creationId xmlns:a16="http://schemas.microsoft.com/office/drawing/2014/main" id="{E33F6B84-9BA3-4383-AF75-8CE4324B0699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8AA61CE3-B814-4733-9C42-148C1184A8F6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94A1EA4B-0181-49AE-A219-A24A7761A962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733787EF-9A85-4C18-9707-F9CBA35B448E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96A36D7C-6642-4A9A-AFE0-A03DA297C1B3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1CC46C92-058F-4C5D-86F7-637B6B1866F7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14</xdr:col>
      <xdr:colOff>413092</xdr:colOff>
      <xdr:row>37</xdr:row>
      <xdr:rowOff>157490</xdr:rowOff>
    </xdr:from>
    <xdr:to>
      <xdr:col>14</xdr:col>
      <xdr:colOff>734011</xdr:colOff>
      <xdr:row>37</xdr:row>
      <xdr:rowOff>157490</xdr:rowOff>
    </xdr:to>
    <xdr:sp macro="" textlink="">
      <xdr:nvSpPr>
        <xdr:cNvPr id="27" name="Text Box 7">
          <a:extLst>
            <a:ext uri="{FF2B5EF4-FFF2-40B4-BE49-F238E27FC236}">
              <a16:creationId xmlns:a16="http://schemas.microsoft.com/office/drawing/2014/main" id="{5D1F0E4B-0E40-4D0F-913D-1250FE898624}"/>
            </a:ext>
          </a:extLst>
        </xdr:cNvPr>
        <xdr:cNvSpPr txBox="1">
          <a:spLocks noChangeArrowheads="1"/>
        </xdr:cNvSpPr>
      </xdr:nvSpPr>
      <xdr:spPr bwMode="auto">
        <a:xfrm>
          <a:off x="7004392" y="71678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391697</xdr:colOff>
      <xdr:row>30</xdr:row>
      <xdr:rowOff>52497</xdr:rowOff>
    </xdr:from>
    <xdr:to>
      <xdr:col>11</xdr:col>
      <xdr:colOff>712616</xdr:colOff>
      <xdr:row>30</xdr:row>
      <xdr:rowOff>52497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C6D8F2B2-BC9E-4F2B-A867-12BD52FB5A05}"/>
            </a:ext>
          </a:extLst>
        </xdr:cNvPr>
        <xdr:cNvSpPr txBox="1">
          <a:spLocks noChangeArrowheads="1"/>
        </xdr:cNvSpPr>
      </xdr:nvSpPr>
      <xdr:spPr bwMode="auto">
        <a:xfrm>
          <a:off x="5401847" y="5662722"/>
          <a:ext cx="1780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31</xdr:row>
      <xdr:rowOff>157490</xdr:rowOff>
    </xdr:from>
    <xdr:to>
      <xdr:col>11</xdr:col>
      <xdr:colOff>734011</xdr:colOff>
      <xdr:row>31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EE0851C0-87D3-426A-B7B1-4F3EFCBD9AD6}"/>
            </a:ext>
          </a:extLst>
        </xdr:cNvPr>
        <xdr:cNvSpPr txBox="1">
          <a:spLocks noChangeArrowheads="1"/>
        </xdr:cNvSpPr>
      </xdr:nvSpPr>
      <xdr:spPr bwMode="auto">
        <a:xfrm>
          <a:off x="5423242" y="6015365"/>
          <a:ext cx="1589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31</xdr:row>
      <xdr:rowOff>157490</xdr:rowOff>
    </xdr:from>
    <xdr:to>
      <xdr:col>11</xdr:col>
      <xdr:colOff>734011</xdr:colOff>
      <xdr:row>31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837CD5A6-03CE-4CDA-A2E7-82FE03B4D966}"/>
            </a:ext>
          </a:extLst>
        </xdr:cNvPr>
        <xdr:cNvSpPr txBox="1">
          <a:spLocks noChangeArrowheads="1"/>
        </xdr:cNvSpPr>
      </xdr:nvSpPr>
      <xdr:spPr bwMode="auto">
        <a:xfrm>
          <a:off x="5423242" y="6015365"/>
          <a:ext cx="1589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391697</xdr:colOff>
      <xdr:row>27</xdr:row>
      <xdr:rowOff>52497</xdr:rowOff>
    </xdr:from>
    <xdr:to>
      <xdr:col>12</xdr:col>
      <xdr:colOff>712616</xdr:colOff>
      <xdr:row>27</xdr:row>
      <xdr:rowOff>52497</xdr:rowOff>
    </xdr:to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021097" y="545317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26</xdr:row>
      <xdr:rowOff>157490</xdr:rowOff>
    </xdr:from>
    <xdr:to>
      <xdr:col>12</xdr:col>
      <xdr:colOff>734011</xdr:colOff>
      <xdr:row>26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26</xdr:row>
      <xdr:rowOff>157490</xdr:rowOff>
    </xdr:from>
    <xdr:to>
      <xdr:col>12</xdr:col>
      <xdr:colOff>734011</xdr:colOff>
      <xdr:row>26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26</xdr:row>
      <xdr:rowOff>157490</xdr:rowOff>
    </xdr:from>
    <xdr:to>
      <xdr:col>12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12</xdr:col>
      <xdr:colOff>413092</xdr:colOff>
      <xdr:row>26</xdr:row>
      <xdr:rowOff>157490</xdr:rowOff>
    </xdr:from>
    <xdr:to>
      <xdr:col>12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18</xdr:col>
      <xdr:colOff>263121</xdr:colOff>
      <xdr:row>44</xdr:row>
      <xdr:rowOff>78440</xdr:rowOff>
    </xdr:from>
    <xdr:ext cx="646203" cy="190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861209" y="6600264"/>
              <a:ext cx="646203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p/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861209" y="6600264"/>
              <a:ext cx="646203" cy="190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𝐴.𝑉^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259977</xdr:colOff>
      <xdr:row>45</xdr:row>
      <xdr:rowOff>145676</xdr:rowOff>
    </xdr:from>
    <xdr:ext cx="60632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858065" y="6846794"/>
              <a:ext cx="6063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858065" y="6846794"/>
              <a:ext cx="60632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𝑅.𝐴^2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391697</xdr:colOff>
      <xdr:row>27</xdr:row>
      <xdr:rowOff>52497</xdr:rowOff>
    </xdr:from>
    <xdr:to>
      <xdr:col>8</xdr:col>
      <xdr:colOff>712616</xdr:colOff>
      <xdr:row>27</xdr:row>
      <xdr:rowOff>52497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02022" y="520552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391697</xdr:colOff>
      <xdr:row>27</xdr:row>
      <xdr:rowOff>52497</xdr:rowOff>
    </xdr:from>
    <xdr:to>
      <xdr:col>10</xdr:col>
      <xdr:colOff>712616</xdr:colOff>
      <xdr:row>27</xdr:row>
      <xdr:rowOff>52497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6802022" y="520552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31" name="Text Box 6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8</xdr:col>
      <xdr:colOff>413092</xdr:colOff>
      <xdr:row>26</xdr:row>
      <xdr:rowOff>157490</xdr:rowOff>
    </xdr:from>
    <xdr:to>
      <xdr:col>8</xdr:col>
      <xdr:colOff>734011</xdr:colOff>
      <xdr:row>26</xdr:row>
      <xdr:rowOff>157490</xdr:rowOff>
    </xdr:to>
    <xdr:sp macro="" textlink="">
      <xdr:nvSpPr>
        <xdr:cNvPr id="32" name="Text Box 7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>
          <a:spLocks noChangeArrowheads="1"/>
        </xdr:cNvSpPr>
      </xdr:nvSpPr>
      <xdr:spPr bwMode="auto">
        <a:xfrm>
          <a:off x="6823417" y="5120015"/>
          <a:ext cx="3113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1-9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asuk%20ke%20traxel/DEFIB%203.10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IFIKAT"/>
      <sheetName val="Riwayat Revisi"/>
      <sheetName val="LK"/>
      <sheetName val="ID"/>
      <sheetName val="UB"/>
      <sheetName val="PENYELIA"/>
      <sheetName val="LH"/>
      <sheetName val="DB ESA"/>
      <sheetName val="DB Thermohygro"/>
      <sheetName val="DB ECG"/>
    </sheetNames>
    <sheetDataSet>
      <sheetData sheetId="0"/>
      <sheetData sheetId="1"/>
      <sheetData sheetId="2"/>
      <sheetData sheetId="3">
        <row r="1">
          <cell r="A1" t="str">
            <v>INPUT DATA KALIBRASI HEART RATE MONITOR</v>
          </cell>
        </row>
        <row r="2">
          <cell r="I2" t="str">
            <v>1 / VIII - 22 / E - 008.27 DL</v>
          </cell>
        </row>
        <row r="11">
          <cell r="E11" t="str">
            <v>-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Stopwatch (2)"/>
      <sheetName val="DB Thermohygro"/>
      <sheetName val="DB Listrik"/>
      <sheetName val="SERTIFIKAT"/>
      <sheetName val="Riwayat Revisi"/>
      <sheetName val="LK"/>
      <sheetName val="Input"/>
      <sheetName val="Budget"/>
      <sheetName val="kata-kata"/>
      <sheetName val="Penyelia"/>
      <sheetName val="Input Data Sertifikat Defib"/>
      <sheetName val=" LHK "/>
      <sheetName val="Input Data Sertifikat Stopwatch"/>
    </sheetNames>
    <sheetDataSet>
      <sheetData sheetId="0"/>
      <sheetData sheetId="1"/>
      <sheetData sheetId="2"/>
      <sheetData sheetId="3"/>
      <sheetData sheetId="4"/>
      <sheetData sheetId="5">
        <row r="11">
          <cell r="E11" t="str">
            <v>MK.087-19</v>
          </cell>
        </row>
      </sheetData>
      <sheetData sheetId="6">
        <row r="4">
          <cell r="F4" t="str">
            <v>Philips</v>
          </cell>
        </row>
        <row r="5">
          <cell r="F5" t="str">
            <v>xxx</v>
          </cell>
        </row>
        <row r="6">
          <cell r="F6">
            <v>123456</v>
          </cell>
        </row>
        <row r="7">
          <cell r="F7">
            <v>21</v>
          </cell>
        </row>
        <row r="8">
          <cell r="F8" t="str">
            <v>x1</v>
          </cell>
        </row>
        <row r="9">
          <cell r="F9" t="str">
            <v>x2</v>
          </cell>
        </row>
        <row r="10">
          <cell r="F10" t="str">
            <v>x3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A296-6BEB-49F1-94DB-51A6EBDD16BA}">
  <sheetPr>
    <tabColor rgb="FF00B050"/>
  </sheetPr>
  <dimension ref="A1:O61"/>
  <sheetViews>
    <sheetView zoomScale="88" zoomScaleNormal="88" zoomScaleSheetLayoutView="90" workbookViewId="0">
      <selection activeCell="I14" sqref="I14:J14"/>
    </sheetView>
  </sheetViews>
  <sheetFormatPr defaultColWidth="9.26953125" defaultRowHeight="12.5"/>
  <cols>
    <col min="1" max="1" width="18.26953125" style="780" customWidth="1"/>
    <col min="2" max="2" width="26.26953125" style="780" customWidth="1"/>
    <col min="3" max="3" width="3.26953125" style="780" customWidth="1"/>
    <col min="4" max="4" width="11.54296875" style="780" customWidth="1"/>
    <col min="5" max="5" width="9.453125" style="780" customWidth="1"/>
    <col min="6" max="6" width="22.54296875" style="780" customWidth="1"/>
    <col min="7" max="7" width="9.26953125" style="780"/>
    <col min="8" max="8" width="18.7265625" style="780" customWidth="1"/>
    <col min="9" max="9" width="12.26953125" style="780" customWidth="1"/>
    <col min="10" max="16384" width="9.26953125" style="780"/>
  </cols>
  <sheetData>
    <row r="1" spans="1:15" ht="18.5">
      <c r="H1" s="781" t="str">
        <f>IF('Penyelia Kalibrasi'!J118&lt;70,"TIDAK LAIK","LAIK")</f>
        <v>LAIK</v>
      </c>
      <c r="I1" s="782"/>
      <c r="J1" s="782"/>
    </row>
    <row r="2" spans="1:15" ht="30">
      <c r="A2" s="929" t="s">
        <v>390</v>
      </c>
      <c r="B2" s="929"/>
      <c r="C2" s="929"/>
      <c r="D2" s="929"/>
      <c r="E2" s="929"/>
      <c r="F2" s="929"/>
      <c r="H2" s="783"/>
      <c r="I2" s="930"/>
      <c r="J2" s="931"/>
    </row>
    <row r="3" spans="1:15" ht="14">
      <c r="A3" s="932" t="str">
        <f>"Nomor : 18 /"&amp;" "&amp;[1]ID!I2</f>
        <v>Nomor : 18 / 1 / VIII - 22 / E - 008.27 DL</v>
      </c>
      <c r="B3" s="932"/>
      <c r="C3" s="932"/>
      <c r="D3" s="932"/>
      <c r="E3" s="932"/>
      <c r="F3" s="932"/>
    </row>
    <row r="4" spans="1:15" ht="13">
      <c r="C4" s="780" t="s">
        <v>391</v>
      </c>
      <c r="D4" s="933" t="str">
        <f>[1]ID!E11</f>
        <v>-</v>
      </c>
      <c r="E4" s="933"/>
      <c r="F4" s="933"/>
      <c r="H4" s="784"/>
      <c r="I4" s="784"/>
      <c r="J4" s="784"/>
    </row>
    <row r="5" spans="1:15" ht="14.5">
      <c r="H5" s="934"/>
      <c r="I5" s="934"/>
      <c r="J5" s="934"/>
    </row>
    <row r="6" spans="1:15" ht="14">
      <c r="A6" s="785" t="s">
        <v>392</v>
      </c>
      <c r="B6" s="786" t="s">
        <v>393</v>
      </c>
      <c r="C6" s="787"/>
      <c r="D6" s="927" t="s">
        <v>394</v>
      </c>
      <c r="E6" s="928"/>
      <c r="F6" s="788" t="str">
        <f>MID(A3,SEARCH("E - ",A3),LEN(A3))</f>
        <v>E - 008.27 DL</v>
      </c>
    </row>
    <row r="7" spans="1:15" ht="14">
      <c r="A7" s="789"/>
      <c r="B7" s="789"/>
      <c r="C7" s="789"/>
    </row>
    <row r="8" spans="1:15" ht="14">
      <c r="A8" s="936" t="s">
        <v>20</v>
      </c>
      <c r="B8" s="936"/>
      <c r="C8" s="790" t="s">
        <v>21</v>
      </c>
      <c r="D8" s="937" t="str">
        <f>[2]Input!F4</f>
        <v>Philips</v>
      </c>
      <c r="E8" s="936"/>
      <c r="F8" s="936"/>
      <c r="I8" s="938"/>
      <c r="J8" s="938"/>
    </row>
    <row r="9" spans="1:15" ht="14.25" customHeight="1">
      <c r="A9" s="936" t="s">
        <v>395</v>
      </c>
      <c r="B9" s="936"/>
      <c r="C9" s="790" t="s">
        <v>21</v>
      </c>
      <c r="D9" s="937" t="str">
        <f>[2]Input!F5</f>
        <v>xxx</v>
      </c>
      <c r="E9" s="936"/>
      <c r="F9" s="936"/>
      <c r="I9" s="938"/>
      <c r="J9" s="938"/>
    </row>
    <row r="10" spans="1:15" ht="15" customHeight="1">
      <c r="A10" s="936" t="s">
        <v>396</v>
      </c>
      <c r="B10" s="936"/>
      <c r="C10" s="790" t="s">
        <v>21</v>
      </c>
      <c r="D10" s="937">
        <f>[2]Input!F6</f>
        <v>123456</v>
      </c>
      <c r="E10" s="936"/>
      <c r="F10" s="936"/>
      <c r="I10" s="939"/>
      <c r="J10" s="940"/>
      <c r="O10" s="791"/>
    </row>
    <row r="11" spans="1:15" s="782" customFormat="1" ht="14.5" hidden="1">
      <c r="A11" s="941" t="s">
        <v>397</v>
      </c>
      <c r="B11" s="941"/>
      <c r="C11" s="792" t="s">
        <v>21</v>
      </c>
      <c r="D11" s="793" t="str">
        <f>I11&amp;"    "&amp;J11&amp;""</f>
        <v xml:space="preserve">    </v>
      </c>
      <c r="E11" s="793"/>
      <c r="F11" s="794">
        <f>J11</f>
        <v>0</v>
      </c>
      <c r="I11" s="795"/>
      <c r="J11" s="796"/>
      <c r="O11" s="796"/>
    </row>
    <row r="12" spans="1:15" s="782" customFormat="1" ht="14.5" hidden="1">
      <c r="A12" s="941" t="s">
        <v>112</v>
      </c>
      <c r="B12" s="941"/>
      <c r="C12" s="792" t="s">
        <v>21</v>
      </c>
      <c r="D12" s="797"/>
      <c r="E12" s="797"/>
      <c r="F12" s="794"/>
      <c r="I12" s="798"/>
      <c r="J12" s="796"/>
      <c r="O12" s="796"/>
    </row>
    <row r="13" spans="1:15" ht="14.5">
      <c r="A13" s="799"/>
      <c r="B13" s="799"/>
      <c r="C13" s="789"/>
      <c r="I13" s="935"/>
      <c r="J13" s="935"/>
      <c r="O13" s="791"/>
    </row>
    <row r="14" spans="1:15" ht="28.5" customHeight="1">
      <c r="A14" s="800" t="s">
        <v>398</v>
      </c>
      <c r="B14" s="801"/>
      <c r="C14" s="789"/>
      <c r="D14" s="927" t="s">
        <v>399</v>
      </c>
      <c r="E14" s="928"/>
      <c r="F14" s="802"/>
      <c r="I14" s="940"/>
      <c r="J14" s="940"/>
      <c r="O14" s="791"/>
    </row>
    <row r="15" spans="1:15" ht="14.5">
      <c r="A15" s="803"/>
      <c r="B15" s="789"/>
      <c r="C15" s="789"/>
      <c r="D15" s="789"/>
      <c r="E15" s="789"/>
      <c r="I15" s="943"/>
      <c r="J15" s="943"/>
    </row>
    <row r="16" spans="1:15" s="782" customFormat="1" ht="42.75" customHeight="1">
      <c r="A16" s="944" t="s">
        <v>400</v>
      </c>
      <c r="B16" s="944"/>
      <c r="C16" s="804" t="s">
        <v>21</v>
      </c>
      <c r="D16" s="945" t="s">
        <v>401</v>
      </c>
      <c r="E16" s="945"/>
      <c r="F16" s="945"/>
      <c r="H16" s="805"/>
      <c r="I16" s="946"/>
      <c r="J16" s="947"/>
    </row>
    <row r="17" spans="1:10" ht="14.5">
      <c r="A17" s="936" t="str">
        <f>"Nama Ruang "</f>
        <v xml:space="preserve">Nama Ruang </v>
      </c>
      <c r="B17" s="936"/>
      <c r="C17" s="790" t="s">
        <v>21</v>
      </c>
      <c r="D17" s="948" t="str">
        <f>[2]Input!F10</f>
        <v>x3</v>
      </c>
      <c r="E17" s="949"/>
      <c r="F17" s="949"/>
      <c r="H17" s="950"/>
      <c r="I17" s="950"/>
      <c r="J17" s="950"/>
    </row>
    <row r="18" spans="1:10" ht="14.5">
      <c r="A18" s="936" t="s">
        <v>25</v>
      </c>
      <c r="B18" s="936"/>
      <c r="C18" s="790" t="s">
        <v>21</v>
      </c>
      <c r="D18" s="942">
        <f>[2]Input!F7</f>
        <v>21</v>
      </c>
      <c r="E18" s="942"/>
      <c r="F18" s="942"/>
      <c r="H18" s="806"/>
      <c r="I18" s="806"/>
      <c r="J18" s="806"/>
    </row>
    <row r="19" spans="1:10" ht="14.25" customHeight="1">
      <c r="A19" s="936" t="str">
        <f>"Tanggal "&amp;B50</f>
        <v>Tanggal Pengujian</v>
      </c>
      <c r="B19" s="936"/>
      <c r="C19" s="790" t="s">
        <v>21</v>
      </c>
      <c r="D19" s="942" t="str">
        <f>[2]Input!F8</f>
        <v>x1</v>
      </c>
      <c r="E19" s="942"/>
      <c r="F19" s="942"/>
    </row>
    <row r="20" spans="1:10" ht="14">
      <c r="A20" s="936" t="str">
        <f>"Penanggungjawab "&amp;B50</f>
        <v>Penanggungjawab Pengujian</v>
      </c>
      <c r="B20" s="936"/>
      <c r="C20" s="790" t="s">
        <v>21</v>
      </c>
      <c r="D20" s="936" t="e">
        <f>[1]LH!#REF!</f>
        <v>#REF!</v>
      </c>
      <c r="E20" s="936"/>
      <c r="F20" s="936"/>
    </row>
    <row r="21" spans="1:10" ht="14.5">
      <c r="A21" s="936" t="str">
        <f>"Lokasi "&amp;B50</f>
        <v>Lokasi Pengujian</v>
      </c>
      <c r="B21" s="936"/>
      <c r="C21" s="790" t="s">
        <v>21</v>
      </c>
      <c r="D21" s="948" t="str">
        <f>[2]Input!F9</f>
        <v>x2</v>
      </c>
      <c r="E21" s="949"/>
      <c r="F21" s="949"/>
      <c r="H21" s="807"/>
    </row>
    <row r="22" spans="1:10" ht="31.5" customHeight="1">
      <c r="A22" s="949" t="str">
        <f>"Hasil "&amp;B50</f>
        <v>Hasil Pengujian</v>
      </c>
      <c r="B22" s="949"/>
      <c r="C22" s="808" t="s">
        <v>21</v>
      </c>
      <c r="D22" s="951" t="s">
        <v>402</v>
      </c>
      <c r="E22" s="951"/>
      <c r="F22" s="951"/>
    </row>
    <row r="23" spans="1:10" ht="14">
      <c r="A23" s="936" t="s">
        <v>29</v>
      </c>
      <c r="B23" s="936"/>
      <c r="C23" s="790" t="s">
        <v>21</v>
      </c>
      <c r="D23" s="936" t="str">
        <f>[2]LK!E11</f>
        <v>MK.087-19</v>
      </c>
      <c r="E23" s="936"/>
      <c r="F23" s="936"/>
    </row>
    <row r="26" spans="1:10" ht="26.25" customHeight="1">
      <c r="D26" s="809" t="s">
        <v>403</v>
      </c>
      <c r="E26" s="953">
        <f ca="1">TODAY()</f>
        <v>45188</v>
      </c>
      <c r="F26" s="953"/>
    </row>
    <row r="27" spans="1:10" ht="14">
      <c r="D27" s="936" t="s">
        <v>404</v>
      </c>
      <c r="E27" s="936"/>
      <c r="F27" s="936"/>
    </row>
    <row r="28" spans="1:10" ht="14">
      <c r="D28" s="936" t="s">
        <v>405</v>
      </c>
      <c r="E28" s="936"/>
      <c r="F28" s="936"/>
    </row>
    <row r="29" spans="1:10" ht="14">
      <c r="D29" s="810"/>
      <c r="E29" s="810"/>
    </row>
    <row r="30" spans="1:10" ht="14">
      <c r="D30" s="810"/>
      <c r="E30" s="810"/>
    </row>
    <row r="31" spans="1:10" ht="14">
      <c r="D31" s="810"/>
      <c r="E31" s="810"/>
    </row>
    <row r="32" spans="1:10" ht="14">
      <c r="D32" s="936" t="s">
        <v>406</v>
      </c>
      <c r="E32" s="936"/>
      <c r="F32" s="936"/>
    </row>
    <row r="33" spans="1:6" ht="14">
      <c r="D33" s="952" t="s">
        <v>407</v>
      </c>
      <c r="E33" s="952"/>
      <c r="F33" s="952"/>
    </row>
    <row r="36" spans="1:6" ht="13">
      <c r="A36" s="811"/>
      <c r="B36" s="811"/>
      <c r="C36" s="811"/>
      <c r="D36" s="811"/>
      <c r="E36" s="811"/>
      <c r="F36" s="811"/>
    </row>
    <row r="42" spans="1:6" ht="13" thickBot="1"/>
    <row r="43" spans="1:6" ht="31.5" customHeight="1">
      <c r="A43" s="812" t="s">
        <v>408</v>
      </c>
      <c r="B43" s="813" t="str">
        <f>MID([1]ID!I2,SEARCH("E - ",[1]ID!I2),LEN([1]ID!I2))</f>
        <v>E - 008.27 DL</v>
      </c>
    </row>
    <row r="44" spans="1:6">
      <c r="A44" s="814"/>
      <c r="B44" s="815"/>
    </row>
    <row r="45" spans="1:6" ht="24" customHeight="1">
      <c r="A45" s="816" t="s">
        <v>409</v>
      </c>
      <c r="B45" s="817" t="str">
        <f>[1]ID!A1</f>
        <v>INPUT DATA KALIBRASI HEART RATE MONITOR</v>
      </c>
    </row>
    <row r="46" spans="1:6" ht="39" customHeight="1">
      <c r="A46" s="816" t="s">
        <v>410</v>
      </c>
      <c r="B46" s="818" t="str">
        <f>IF(B45="INPUT DATA PENGUJIAN DENTAL UNIT",B47,B48)</f>
        <v>SERTIFIKAT PENGUJIAN</v>
      </c>
    </row>
    <row r="47" spans="1:6" ht="22.5" customHeight="1">
      <c r="A47" s="816" t="s">
        <v>411</v>
      </c>
      <c r="B47" s="815" t="s">
        <v>412</v>
      </c>
    </row>
    <row r="48" spans="1:6">
      <c r="A48" s="814"/>
      <c r="B48" s="815" t="s">
        <v>390</v>
      </c>
    </row>
    <row r="49" spans="1:2">
      <c r="A49" s="814"/>
      <c r="B49" s="815"/>
    </row>
    <row r="50" spans="1:2" ht="48" customHeight="1">
      <c r="A50" s="816" t="s">
        <v>413</v>
      </c>
      <c r="B50" s="815" t="str">
        <f>IF(RIGHT(A2,10)=" KALIBRASI","Kalibrasi","Pengujian")</f>
        <v>Pengujian</v>
      </c>
    </row>
    <row r="51" spans="1:2">
      <c r="A51" s="814"/>
      <c r="B51" s="815"/>
    </row>
    <row r="52" spans="1:2" s="820" customFormat="1" ht="34.5" customHeight="1">
      <c r="A52" s="816" t="s">
        <v>414</v>
      </c>
      <c r="B52" s="819" t="s">
        <v>415</v>
      </c>
    </row>
    <row r="53" spans="1:2">
      <c r="A53" s="814"/>
      <c r="B53" s="815"/>
    </row>
    <row r="54" spans="1:2" ht="50.25" customHeight="1">
      <c r="A54" s="821" t="s">
        <v>416</v>
      </c>
      <c r="B54" s="822" t="e">
        <f>DATE(YEAR(D19)+1,MONTH(D19),DAY(D19))</f>
        <v>#VALUE!</v>
      </c>
    </row>
    <row r="55" spans="1:2" ht="27" customHeight="1">
      <c r="A55" s="816" t="s">
        <v>417</v>
      </c>
      <c r="B55" s="823" t="e">
        <f>TEXT(B54,"d mmmm yyyy")</f>
        <v>#VALUE!</v>
      </c>
    </row>
    <row r="56" spans="1:2">
      <c r="A56" s="814"/>
      <c r="B56" s="815"/>
    </row>
    <row r="57" spans="1:2" ht="30" customHeight="1">
      <c r="A57" s="821" t="s">
        <v>418</v>
      </c>
      <c r="B57" s="824" t="e">
        <f>IF(B46=B47,B58,B59)</f>
        <v>#VALUE!</v>
      </c>
    </row>
    <row r="58" spans="1:2" ht="14">
      <c r="A58" s="814" t="s">
        <v>419</v>
      </c>
      <c r="B58" s="825" t="e">
        <f>CONCATENATE(B60,B55)</f>
        <v>#VALUE!</v>
      </c>
    </row>
    <row r="59" spans="1:2" ht="14">
      <c r="A59" s="814"/>
      <c r="B59" s="825" t="e">
        <f>CONCATENATE(B61,B55)</f>
        <v>#VALUE!</v>
      </c>
    </row>
    <row r="60" spans="1:2" ht="42" customHeight="1">
      <c r="A60" s="826" t="s">
        <v>411</v>
      </c>
      <c r="B60" s="825" t="s">
        <v>420</v>
      </c>
    </row>
    <row r="61" spans="1:2" ht="39.75" customHeight="1" thickBot="1">
      <c r="A61" s="827"/>
      <c r="B61" s="828" t="s">
        <v>421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J12" xr:uid="{BE8162CD-4810-4A35-A048-B42B18DFE3AB}">
      <formula1>$O$9:$O$14</formula1>
    </dataValidation>
    <dataValidation type="list" allowBlank="1" showInputMessage="1" showErrorMessage="1" sqref="J11" xr:uid="{66484F35-CFB6-4B18-8B6A-3AFF27A981AB}">
      <formula1>$M$2:$M$22</formula1>
    </dataValidation>
    <dataValidation type="list" allowBlank="1" showInputMessage="1" showErrorMessage="1" sqref="A2:F2" xr:uid="{60A4482E-7822-4BF8-B3CA-411F3959F561}">
      <formula1>"SERTIFIKAT KALIBRASI,SERTIFIKAT PENGUJIAN"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B906-11E4-4DBC-BCAA-12F26D000D52}">
  <sheetPr>
    <tabColor rgb="FFC00000"/>
  </sheetPr>
  <dimension ref="A1:L88"/>
  <sheetViews>
    <sheetView view="pageBreakPreview" topLeftCell="A11" zoomScaleNormal="100" zoomScaleSheetLayoutView="100" workbookViewId="0">
      <selection activeCell="H20" sqref="H20"/>
    </sheetView>
  </sheetViews>
  <sheetFormatPr defaultRowHeight="12.5"/>
  <cols>
    <col min="1" max="1" width="4.26953125" customWidth="1"/>
    <col min="2" max="2" width="5.81640625" style="144" customWidth="1"/>
    <col min="3" max="3" width="15.453125" customWidth="1"/>
    <col min="4" max="4" width="2.1796875" customWidth="1"/>
    <col min="5" max="5" width="17.26953125" customWidth="1"/>
    <col min="6" max="6" width="17.453125" customWidth="1"/>
    <col min="7" max="7" width="16" customWidth="1"/>
    <col min="8" max="8" width="12.54296875" customWidth="1"/>
    <col min="9" max="9" width="9.54296875" customWidth="1"/>
    <col min="10" max="10" width="9.26953125" customWidth="1"/>
    <col min="11" max="11" width="9.453125" customWidth="1"/>
    <col min="12" max="12" width="7" customWidth="1"/>
  </cols>
  <sheetData>
    <row r="1" spans="1:12" ht="18">
      <c r="A1" s="1165" t="str">
        <f>'Penyelia Pengujian'!A1:K1</f>
        <v>HASIL PENGUJIAN ELEKTROSURGERY UNIT</v>
      </c>
      <c r="B1" s="1165"/>
      <c r="C1" s="1165"/>
      <c r="D1" s="1165"/>
      <c r="E1" s="1165"/>
      <c r="F1" s="1165"/>
      <c r="G1" s="1165"/>
      <c r="H1" s="1165"/>
      <c r="I1" s="1165"/>
      <c r="J1" s="1165"/>
      <c r="K1" s="1165"/>
      <c r="L1" s="1165"/>
    </row>
    <row r="2" spans="1:12" ht="15.5">
      <c r="A2" s="1166" t="str">
        <f>'Penyelia Pengujian'!A2</f>
        <v>Nomor Sertifikat : 22 / 2 / I - 22 / E - 002.3 DL</v>
      </c>
      <c r="B2" s="1166"/>
      <c r="C2" s="1166"/>
      <c r="D2" s="1166"/>
      <c r="E2" s="1166"/>
      <c r="F2" s="1166"/>
      <c r="G2" s="1166"/>
      <c r="H2" s="1166"/>
      <c r="I2" s="1166"/>
      <c r="J2" s="1166"/>
      <c r="K2" s="1166"/>
      <c r="L2" s="1166"/>
    </row>
    <row r="4" spans="1:12" ht="14">
      <c r="A4" s="116" t="str">
        <f>'Penyelia Pengujian'!A4</f>
        <v>Merek</v>
      </c>
      <c r="B4" s="459"/>
      <c r="C4" s="116"/>
      <c r="D4" s="144" t="s">
        <v>21</v>
      </c>
      <c r="E4" s="116" t="str">
        <f>LH!E4</f>
        <v>ZERONE</v>
      </c>
      <c r="F4" s="116"/>
      <c r="G4" s="116"/>
      <c r="H4" s="116"/>
      <c r="I4" s="116"/>
      <c r="J4" s="116"/>
      <c r="K4" s="116"/>
      <c r="L4" s="116"/>
    </row>
    <row r="5" spans="1:12" ht="14">
      <c r="A5" s="116" t="str">
        <f>'Penyelia Pengujian'!A5</f>
        <v>Model/Type</v>
      </c>
      <c r="B5" s="459"/>
      <c r="C5" s="116"/>
      <c r="D5" s="144" t="s">
        <v>21</v>
      </c>
      <c r="E5" s="116" t="str">
        <f>LH!E5</f>
        <v>DOCTANZ 400</v>
      </c>
      <c r="F5" s="116"/>
      <c r="G5" s="116"/>
      <c r="H5" s="116"/>
      <c r="I5" s="116"/>
      <c r="J5" s="116"/>
      <c r="K5" s="116"/>
      <c r="L5" s="116"/>
    </row>
    <row r="6" spans="1:12" ht="14">
      <c r="A6" s="116" t="str">
        <f>'Penyelia Pengujian'!A6</f>
        <v>No. Seri</v>
      </c>
      <c r="B6" s="459"/>
      <c r="C6" s="116"/>
      <c r="D6" s="144" t="s">
        <v>21</v>
      </c>
      <c r="E6" s="116" t="str">
        <f>LH!E6</f>
        <v>ZA0A13O3010</v>
      </c>
      <c r="F6" s="116"/>
      <c r="G6" s="116"/>
      <c r="H6" s="116"/>
      <c r="I6" s="116"/>
      <c r="J6" s="116"/>
      <c r="K6" s="116"/>
      <c r="L6" s="116"/>
    </row>
    <row r="7" spans="1:12" ht="14" hidden="1">
      <c r="A7" s="116" t="str">
        <f>'Penyelia Pengujian'!A7</f>
        <v>Resolusi</v>
      </c>
      <c r="B7" s="459"/>
      <c r="C7" s="116"/>
      <c r="D7" s="144" t="s">
        <v>21</v>
      </c>
      <c r="E7" s="460">
        <f>LH!E7</f>
        <v>1</v>
      </c>
      <c r="F7" s="116"/>
      <c r="G7" s="116"/>
      <c r="H7" s="116"/>
      <c r="I7" s="116"/>
      <c r="J7" s="116"/>
      <c r="K7" s="116"/>
      <c r="L7" s="116"/>
    </row>
    <row r="8" spans="1:12" ht="14">
      <c r="A8" s="116" t="str">
        <f>'Penyelia Pengujian'!A8</f>
        <v>Tanggal Penerimaan Alat</v>
      </c>
      <c r="B8" s="459"/>
      <c r="C8" s="116"/>
      <c r="D8" s="144" t="s">
        <v>21</v>
      </c>
      <c r="E8" s="116" t="str">
        <f>LH!E8</f>
        <v>12 Januari 2022</v>
      </c>
      <c r="F8" s="116"/>
      <c r="G8" s="116"/>
      <c r="H8" s="116"/>
      <c r="I8" s="116"/>
      <c r="J8" s="116"/>
      <c r="K8" s="116"/>
      <c r="L8" s="116"/>
    </row>
    <row r="9" spans="1:12" ht="14">
      <c r="A9" s="116" t="str">
        <f>'Penyelia Pengujian'!A9</f>
        <v>Tanggal Pengujian</v>
      </c>
      <c r="B9" s="459"/>
      <c r="C9" s="116"/>
      <c r="D9" s="144" t="s">
        <v>21</v>
      </c>
      <c r="E9" s="116" t="str">
        <f>LH!E9</f>
        <v>12 Januari 2022</v>
      </c>
      <c r="F9" s="116"/>
      <c r="G9" s="116"/>
      <c r="H9" s="116"/>
      <c r="I9" s="116"/>
      <c r="J9" s="116"/>
      <c r="K9" s="116"/>
      <c r="L9" s="116"/>
    </row>
    <row r="10" spans="1:12" ht="14">
      <c r="A10" s="116" t="str">
        <f>'Penyelia Pengujian'!A10</f>
        <v>Tempat Pengujian</v>
      </c>
      <c r="B10" s="459"/>
      <c r="C10" s="116"/>
      <c r="D10" s="144" t="s">
        <v>21</v>
      </c>
      <c r="E10" s="116" t="str">
        <f>LH!E10</f>
        <v>OK 2</v>
      </c>
      <c r="F10" s="116"/>
      <c r="G10" s="116"/>
      <c r="H10" s="116"/>
      <c r="I10" s="116"/>
      <c r="J10" s="116"/>
      <c r="K10" s="116"/>
      <c r="L10" s="116"/>
    </row>
    <row r="11" spans="1:12" ht="14">
      <c r="A11" s="116" t="str">
        <f>'Penyelia Pengujian'!A11</f>
        <v>Nama Ruang</v>
      </c>
      <c r="B11" s="459"/>
      <c r="C11" s="116"/>
      <c r="D11" s="144" t="s">
        <v>21</v>
      </c>
      <c r="E11" s="116" t="str">
        <f>LH!E11</f>
        <v>OK 2</v>
      </c>
      <c r="F11" s="116"/>
      <c r="G11" s="116"/>
      <c r="H11" s="116"/>
      <c r="I11" s="116"/>
      <c r="J11" s="116"/>
      <c r="K11" s="116"/>
      <c r="L11" s="116"/>
    </row>
    <row r="12" spans="1:12" ht="14">
      <c r="A12" s="116" t="str">
        <f>'Penyelia Pengujian'!A12</f>
        <v>Metode Kerja</v>
      </c>
      <c r="B12" s="459"/>
      <c r="C12" s="116"/>
      <c r="D12" s="144" t="s">
        <v>21</v>
      </c>
      <c r="E12" s="116" t="str">
        <f>LH!E12</f>
        <v>MK.23-18</v>
      </c>
      <c r="F12" s="116"/>
      <c r="G12" s="116"/>
      <c r="H12" s="116"/>
      <c r="I12" s="116"/>
      <c r="J12" s="116"/>
      <c r="K12" s="116"/>
      <c r="L12" s="116"/>
    </row>
    <row r="13" spans="1:12" ht="14">
      <c r="A13" s="116"/>
      <c r="B13" s="459"/>
      <c r="C13" s="116"/>
      <c r="E13" s="116"/>
      <c r="F13" s="116"/>
      <c r="G13" s="116"/>
      <c r="H13" s="116"/>
      <c r="I13" s="116"/>
      <c r="J13" s="116"/>
      <c r="K13" s="116"/>
      <c r="L13" s="116"/>
    </row>
    <row r="14" spans="1:12" ht="14">
      <c r="A14" s="128" t="str">
        <f>'Penyelia Pengujian'!A14</f>
        <v xml:space="preserve">I.     </v>
      </c>
      <c r="B14" s="467" t="str">
        <f>'Penyelia Pengujian'!B14</f>
        <v>Kondisi Ruang</v>
      </c>
      <c r="C14" s="116"/>
      <c r="E14" s="116"/>
      <c r="F14" s="116"/>
      <c r="G14" s="116"/>
      <c r="H14" s="116"/>
      <c r="I14" s="116"/>
      <c r="J14" s="116"/>
      <c r="K14" s="116"/>
      <c r="L14" s="116"/>
    </row>
    <row r="15" spans="1:12" ht="14">
      <c r="A15" s="116"/>
      <c r="B15" s="116" t="str">
        <f>'Penyelia Pengujian'!B15</f>
        <v xml:space="preserve">1. Suhu </v>
      </c>
      <c r="C15" s="116"/>
      <c r="D15" s="144" t="s">
        <v>21</v>
      </c>
      <c r="E15" s="460"/>
      <c r="F15" s="459"/>
      <c r="G15" s="460"/>
      <c r="H15" s="116"/>
      <c r="I15" s="116"/>
      <c r="J15" s="116"/>
      <c r="K15" s="116"/>
      <c r="L15" s="116"/>
    </row>
    <row r="16" spans="1:12" ht="14">
      <c r="A16" s="116"/>
      <c r="B16" s="116" t="str">
        <f>'Penyelia Pengujian'!B16</f>
        <v xml:space="preserve">2. Kelembaban </v>
      </c>
      <c r="C16" s="116"/>
      <c r="D16" s="144" t="s">
        <v>21</v>
      </c>
      <c r="E16" s="460"/>
      <c r="F16" s="459"/>
      <c r="G16" s="460"/>
      <c r="H16" s="116"/>
      <c r="I16" s="116"/>
      <c r="J16" s="116"/>
      <c r="K16" s="116"/>
      <c r="L16" s="116"/>
    </row>
    <row r="17" spans="1:12" ht="14">
      <c r="A17" s="116"/>
      <c r="B17" s="116" t="str">
        <f>'Penyelia Pengujian'!B17</f>
        <v>3. Tegangan Jala-jala</v>
      </c>
      <c r="C17" s="116"/>
      <c r="D17" s="144" t="s">
        <v>21</v>
      </c>
      <c r="E17" s="134"/>
      <c r="F17" s="142"/>
      <c r="G17" s="134"/>
      <c r="H17" s="116"/>
      <c r="I17" s="116"/>
      <c r="J17" s="116"/>
      <c r="K17" s="116"/>
      <c r="L17" s="116"/>
    </row>
    <row r="18" spans="1:12" ht="14">
      <c r="A18" s="116"/>
      <c r="B18" s="459"/>
      <c r="C18" s="116"/>
      <c r="E18" s="116"/>
      <c r="F18" s="116"/>
      <c r="G18" s="116"/>
      <c r="H18" s="116"/>
      <c r="I18" s="116"/>
      <c r="J18" s="116"/>
      <c r="K18" s="116"/>
      <c r="L18" s="116"/>
    </row>
    <row r="19" spans="1:12" ht="14">
      <c r="A19" s="128" t="str">
        <f>'Penyelia Pengujian'!A19</f>
        <v xml:space="preserve">II.     </v>
      </c>
      <c r="B19" s="467" t="str">
        <f>'Penyelia Pengujian'!B19</f>
        <v>Hasil Pemeriksaan Kondisi Fisik dan Fungsi komponen alat</v>
      </c>
      <c r="C19" s="116"/>
      <c r="E19" s="116"/>
      <c r="F19" s="116"/>
      <c r="G19" s="116"/>
      <c r="H19" s="116"/>
      <c r="I19" s="116"/>
      <c r="J19" s="116"/>
      <c r="K19" s="116"/>
      <c r="L19" s="116"/>
    </row>
    <row r="20" spans="1:12" ht="14">
      <c r="A20" s="116"/>
      <c r="B20" s="460" t="str">
        <f>'Penyelia Pengujian'!B20</f>
        <v>1. Fisik</v>
      </c>
      <c r="C20" s="116"/>
      <c r="D20" s="144" t="s">
        <v>21</v>
      </c>
      <c r="E20" s="116" t="str">
        <f>LH!E20</f>
        <v>Baik</v>
      </c>
      <c r="F20" s="116"/>
      <c r="G20" s="116"/>
      <c r="H20" s="116"/>
      <c r="I20" s="116"/>
      <c r="J20" s="116"/>
      <c r="K20" s="116"/>
      <c r="L20" s="116"/>
    </row>
    <row r="21" spans="1:12" ht="14">
      <c r="A21" s="116"/>
      <c r="B21" s="460" t="str">
        <f>'Penyelia Pengujian'!B21</f>
        <v>2. Fungsi</v>
      </c>
      <c r="C21" s="116"/>
      <c r="D21" s="144" t="s">
        <v>21</v>
      </c>
      <c r="E21" s="116" t="str">
        <f>LH!E21</f>
        <v>Baik</v>
      </c>
      <c r="F21" s="116"/>
      <c r="G21" s="116"/>
      <c r="H21" s="116"/>
      <c r="I21" s="116"/>
      <c r="J21" s="116"/>
      <c r="K21" s="116"/>
      <c r="L21" s="116"/>
    </row>
    <row r="22" spans="1:12" ht="14">
      <c r="A22" s="116"/>
      <c r="B22" s="459"/>
      <c r="C22" s="116"/>
      <c r="E22" s="116"/>
      <c r="F22" s="116"/>
      <c r="G22" s="116"/>
      <c r="H22" s="116"/>
      <c r="I22" s="116"/>
      <c r="J22" s="116"/>
      <c r="K22" s="116"/>
      <c r="L22" s="116"/>
    </row>
    <row r="23" spans="1:12" ht="14">
      <c r="A23" s="128" t="str">
        <f>'Penyelia Pengujian'!A23</f>
        <v>III.</v>
      </c>
      <c r="B23" s="467" t="str">
        <f>'Penyelia Pengujian'!B23</f>
        <v xml:space="preserve">Hasil Pengujian Keselamatan Listrik </v>
      </c>
      <c r="C23" s="116"/>
      <c r="E23" s="116"/>
      <c r="F23" s="116"/>
      <c r="G23" s="116"/>
      <c r="H23" s="116"/>
      <c r="I23" s="116"/>
      <c r="J23" s="116"/>
      <c r="K23" s="116"/>
      <c r="L23" s="116"/>
    </row>
    <row r="24" spans="1:12" s="221" customFormat="1" ht="29.25" customHeight="1">
      <c r="A24" s="218"/>
      <c r="B24" s="468" t="str">
        <f>'Penyelia Pengujian'!B24</f>
        <v>No</v>
      </c>
      <c r="C24" s="1169" t="str">
        <f>'Penyelia Pengujian'!C24</f>
        <v xml:space="preserve">Parameter </v>
      </c>
      <c r="D24" s="1173"/>
      <c r="E24" s="1173"/>
      <c r="F24" s="1173"/>
      <c r="G24" s="1173"/>
      <c r="H24" s="1170"/>
      <c r="I24" s="1169" t="str">
        <f>'Penyelia Pengujian'!H24</f>
        <v>Hasil  Ukur</v>
      </c>
      <c r="J24" s="1170"/>
      <c r="K24" s="1171" t="str">
        <f>'Penyelia Pengujian'!J24</f>
        <v>Ambang Batas yang diijinkan</v>
      </c>
      <c r="L24" s="1172"/>
    </row>
    <row r="25" spans="1:12" ht="14">
      <c r="A25" s="116"/>
      <c r="B25" s="452">
        <f>'Penyelia Pengujian'!B25</f>
        <v>1</v>
      </c>
      <c r="C25" s="1156" t="str">
        <f>'Penyelia Pengujian'!C25</f>
        <v>Resistansi Isolasi</v>
      </c>
      <c r="D25" s="1156"/>
      <c r="E25" s="1156"/>
      <c r="F25" s="1156"/>
      <c r="G25" s="1156"/>
      <c r="H25" s="1156"/>
      <c r="I25" s="447">
        <f>'Penyelia Pengujian'!H25</f>
        <v>2.0000005571428572</v>
      </c>
      <c r="J25" s="448" t="str">
        <f>'Penyelia Pengujian'!I25</f>
        <v>MΩ</v>
      </c>
      <c r="K25" s="665">
        <f>'Penyelia Pengujian'!J25</f>
        <v>2</v>
      </c>
      <c r="L25" s="448" t="str">
        <f>'Penyelia Pengujian'!K25</f>
        <v>M Ω</v>
      </c>
    </row>
    <row r="26" spans="1:12" ht="14">
      <c r="A26" s="116"/>
      <c r="B26" s="452">
        <f>'Penyelia Pengujian'!B26</f>
        <v>2</v>
      </c>
      <c r="C26" s="1156" t="str">
        <f>'Penyelia Pengujian'!C26</f>
        <v>Resistansi Pembumian Protektif</v>
      </c>
      <c r="D26" s="1156"/>
      <c r="E26" s="1156"/>
      <c r="F26" s="1156"/>
      <c r="G26" s="1156"/>
      <c r="H26" s="1156"/>
      <c r="I26" s="461">
        <f>'Penyelia Pengujian'!H26</f>
        <v>0.22866740670119501</v>
      </c>
      <c r="J26" s="448" t="str">
        <f>'Penyelia Pengujian'!I26</f>
        <v>Ω</v>
      </c>
      <c r="K26" s="666">
        <f>'Penyelia Pengujian'!J26</f>
        <v>0.2</v>
      </c>
      <c r="L26" s="448" t="str">
        <f>'Penyelia Pengujian'!K26</f>
        <v>Ω</v>
      </c>
    </row>
    <row r="27" spans="1:12" ht="14">
      <c r="A27" s="116"/>
      <c r="B27" s="452">
        <f>'Penyelia Pengujian'!B27</f>
        <v>3</v>
      </c>
      <c r="C27" s="1156" t="str">
        <f>'Penyelia Pengujian'!C27</f>
        <v>Arus bocor peralatan untuk peralatan elektromedik kelas I</v>
      </c>
      <c r="D27" s="1156"/>
      <c r="E27" s="1156"/>
      <c r="F27" s="1156"/>
      <c r="G27" s="1156"/>
      <c r="H27" s="1156"/>
      <c r="I27" s="450">
        <f>'Penyelia Pengujian'!H27</f>
        <v>567.54076366591801</v>
      </c>
      <c r="J27" s="448" t="str">
        <f>'Penyelia Pengujian'!I27</f>
        <v>µA</v>
      </c>
      <c r="K27" s="667">
        <f>'Penyelia Pengujian'!J27</f>
        <v>500</v>
      </c>
      <c r="L27" s="448" t="str">
        <f>'Penyelia Pengujian'!K27</f>
        <v>µA</v>
      </c>
    </row>
    <row r="28" spans="1:12" ht="14">
      <c r="A28" s="116"/>
      <c r="B28" s="452">
        <f>'Penyelia Pengujian'!B28</f>
        <v>4</v>
      </c>
      <c r="C28" s="1156" t="str">
        <f>'Penyelia Pengujian'!C28</f>
        <v>Arus bocor peralatan yang diaplikasikan</v>
      </c>
      <c r="D28" s="1156"/>
      <c r="E28" s="1156"/>
      <c r="F28" s="1156"/>
      <c r="G28" s="1156"/>
      <c r="H28" s="1156"/>
      <c r="I28" s="450">
        <f>'Penyelia Pengujian'!H28</f>
        <v>26.431589329814717</v>
      </c>
      <c r="J28" s="448" t="str">
        <f>'Penyelia Pengujian'!I28</f>
        <v>µA</v>
      </c>
      <c r="K28" s="667">
        <f>'Penyelia Pengujian'!J28</f>
        <v>50</v>
      </c>
      <c r="L28" s="448" t="str">
        <f>'Penyelia Pengujian'!K28</f>
        <v>µA</v>
      </c>
    </row>
    <row r="29" spans="1:12" ht="14">
      <c r="A29" s="116"/>
      <c r="B29" s="459"/>
      <c r="C29" s="116"/>
      <c r="E29" s="116"/>
      <c r="F29" s="116"/>
      <c r="G29" s="116"/>
      <c r="H29" s="116"/>
      <c r="I29" s="116"/>
      <c r="J29" s="116"/>
      <c r="K29" s="116"/>
      <c r="L29" s="116"/>
    </row>
    <row r="30" spans="1:12" ht="14">
      <c r="A30" s="128" t="str">
        <f>'Penyelia Pengujian'!A30</f>
        <v>IV.</v>
      </c>
      <c r="B30" s="467" t="str">
        <f>'Penyelia Pengujian'!B30</f>
        <v xml:space="preserve">Pengujian Kinerja </v>
      </c>
      <c r="C30" s="116"/>
      <c r="E30" s="116"/>
      <c r="F30" s="116"/>
      <c r="G30" s="116"/>
      <c r="H30" s="116"/>
      <c r="I30" s="116"/>
      <c r="J30" s="116"/>
      <c r="K30" s="116"/>
      <c r="L30" s="116"/>
    </row>
    <row r="31" spans="1:12" ht="14">
      <c r="A31" s="116"/>
      <c r="B31" s="467" t="str">
        <f>'Penyelia Pengujian'!B31</f>
        <v>a. Pengujian Daya Keluaran Cutting</v>
      </c>
      <c r="C31" s="116"/>
      <c r="E31" s="116"/>
      <c r="F31" s="116"/>
      <c r="G31" s="116"/>
      <c r="H31" s="116"/>
      <c r="I31" s="116"/>
      <c r="J31" s="116"/>
      <c r="K31" s="116"/>
      <c r="L31" s="116"/>
    </row>
    <row r="32" spans="1:12" s="221" customFormat="1" ht="15" customHeight="1">
      <c r="A32" s="218"/>
      <c r="B32" s="1093" t="str">
        <f>'Penyelia Pengujian'!B32</f>
        <v>No.</v>
      </c>
      <c r="C32" s="1093" t="str">
        <f>'Penyelia Pengujian'!C32</f>
        <v>Parameter</v>
      </c>
      <c r="D32" s="1093"/>
      <c r="E32" s="1093" t="str">
        <f>'Penyelia Pengujian'!D32</f>
        <v>Setting Alat</v>
      </c>
      <c r="F32" s="1093" t="str">
        <f>'Penyelia Pengujian'!E32</f>
        <v>Pembacaan Standar</v>
      </c>
      <c r="G32" s="1093" t="str">
        <f>'Penyelia Pengujian'!F32</f>
        <v>Presisi 
(%)</v>
      </c>
      <c r="H32" s="1093" t="str">
        <f>'Penyelia Pengujian'!G32</f>
        <v>Toleransi
(%)</v>
      </c>
      <c r="I32" s="1093" t="str">
        <f>'Penyelia Pengujian'!H32</f>
        <v>Ketidakpastian Pengukuran 
(%)</v>
      </c>
      <c r="J32" s="1093"/>
      <c r="K32" s="218"/>
      <c r="L32" s="218"/>
    </row>
    <row r="33" spans="1:12" s="221" customFormat="1" ht="30.75" customHeight="1">
      <c r="A33" s="218"/>
      <c r="B33" s="1093"/>
      <c r="C33" s="1093"/>
      <c r="D33" s="1093"/>
      <c r="E33" s="1093"/>
      <c r="F33" s="1093"/>
      <c r="G33" s="1093"/>
      <c r="H33" s="1093"/>
      <c r="I33" s="1093"/>
      <c r="J33" s="1093"/>
      <c r="K33" s="218"/>
      <c r="L33" s="218"/>
    </row>
    <row r="34" spans="1:12" ht="14.25" customHeight="1">
      <c r="A34" s="116"/>
      <c r="B34" s="668">
        <f>'Penyelia Pengujian'!B34</f>
        <v>1</v>
      </c>
      <c r="C34" s="1174" t="str">
        <f>'Penyelia Pengujian'!C34</f>
        <v>Daya Keluaran Cutting 
( W )</v>
      </c>
      <c r="D34" s="1174"/>
      <c r="E34" s="668">
        <f>'Penyelia Pengujian'!D34</f>
        <v>20</v>
      </c>
      <c r="F34" s="669">
        <f>'Penyelia Pengujian'!E34</f>
        <v>20.00001</v>
      </c>
      <c r="G34" s="669">
        <f>'Penyelia Pengujian'!F34</f>
        <v>4.999997500001251E-5</v>
      </c>
      <c r="H34" s="1161" t="str">
        <f>'Penyelia Pengujian'!G34</f>
        <v>± 20</v>
      </c>
      <c r="I34" s="670" t="str">
        <f>'Penyelia Pengujian'!H34</f>
        <v>±</v>
      </c>
      <c r="J34" s="671">
        <f>'Penyelia Pengujian'!I34</f>
        <v>2.8991331284653254</v>
      </c>
      <c r="K34" s="116"/>
      <c r="L34" s="116"/>
    </row>
    <row r="35" spans="1:12" ht="14">
      <c r="A35" s="116"/>
      <c r="B35" s="452">
        <f>'Penyelia Pengujian'!B35</f>
        <v>2</v>
      </c>
      <c r="C35" s="1174"/>
      <c r="D35" s="1174"/>
      <c r="E35" s="452">
        <f>'Penyelia Pengujian'!D35</f>
        <v>50</v>
      </c>
      <c r="F35" s="453">
        <f>'Penyelia Pengujian'!E35</f>
        <v>50.000010000000003</v>
      </c>
      <c r="G35" s="453">
        <f>'Penyelia Pengujian'!F35</f>
        <v>1.99999960000008E-5</v>
      </c>
      <c r="H35" s="1162"/>
      <c r="I35" s="447" t="str">
        <f>'Penyelia Pengujian'!H35</f>
        <v>±</v>
      </c>
      <c r="J35" s="454">
        <f>'Penyelia Pengujian'!I35</f>
        <v>1.1596535992820358</v>
      </c>
      <c r="K35" s="116"/>
      <c r="L35" s="116"/>
    </row>
    <row r="36" spans="1:12" ht="14">
      <c r="A36" s="116"/>
      <c r="B36" s="452">
        <f>'Penyelia Pengujian'!B36</f>
        <v>3</v>
      </c>
      <c r="C36" s="1174"/>
      <c r="D36" s="1174"/>
      <c r="E36" s="452">
        <f>'Penyelia Pengujian'!D36</f>
        <v>80</v>
      </c>
      <c r="F36" s="453">
        <f>'Penyelia Pengujian'!E36</f>
        <v>80.000010000000003</v>
      </c>
      <c r="G36" s="453">
        <f>'Penyelia Pengujian'!F36</f>
        <v>1.2499998437500197E-5</v>
      </c>
      <c r="H36" s="1162"/>
      <c r="I36" s="447" t="str">
        <f>'Penyelia Pengujian'!H36</f>
        <v>±</v>
      </c>
      <c r="J36" s="454">
        <f>'Penyelia Pengujian'!I36</f>
        <v>0.72478355391002813</v>
      </c>
      <c r="K36" s="116"/>
      <c r="L36" s="116"/>
    </row>
    <row r="37" spans="1:12" ht="14">
      <c r="A37" s="116"/>
      <c r="B37" s="452">
        <f>'Penyelia Pengujian'!B37</f>
        <v>4</v>
      </c>
      <c r="C37" s="1174"/>
      <c r="D37" s="1174"/>
      <c r="E37" s="452">
        <f>'Penyelia Pengujian'!D37</f>
        <v>100</v>
      </c>
      <c r="F37" s="453">
        <f>'Penyelia Pengujian'!E37</f>
        <v>100.00001</v>
      </c>
      <c r="G37" s="453">
        <f>'Penyelia Pengujian'!F37</f>
        <v>9.9999990000000997E-6</v>
      </c>
      <c r="H37" s="1162"/>
      <c r="I37" s="447" t="str">
        <f>'Penyelia Pengujian'!H37</f>
        <v>±</v>
      </c>
      <c r="J37" s="454">
        <f>'Penyelia Pengujian'!I37</f>
        <v>0.57982685762369202</v>
      </c>
      <c r="K37" s="116"/>
      <c r="L37" s="116"/>
    </row>
    <row r="38" spans="1:12" ht="14">
      <c r="A38" s="116"/>
      <c r="B38" s="452">
        <f>'Penyelia Pengujian'!B38</f>
        <v>5</v>
      </c>
      <c r="C38" s="1174"/>
      <c r="D38" s="1174"/>
      <c r="E38" s="452">
        <f>'Penyelia Pengujian'!D38</f>
        <v>150</v>
      </c>
      <c r="F38" s="453">
        <f>'Penyelia Pengujian'!E38</f>
        <v>150.00001</v>
      </c>
      <c r="G38" s="453">
        <f>'Penyelia Pengujian'!F38</f>
        <v>6.6666662222222527E-6</v>
      </c>
      <c r="H38" s="1163"/>
      <c r="I38" s="447" t="str">
        <f>'Penyelia Pengujian'!H38</f>
        <v>±</v>
      </c>
      <c r="J38" s="454">
        <f>'Penyelia Pengujian'!I38</f>
        <v>0.38655125130083517</v>
      </c>
      <c r="K38" s="116"/>
      <c r="L38" s="116"/>
    </row>
    <row r="39" spans="1:12" ht="14.25" hidden="1" customHeight="1">
      <c r="A39" s="116"/>
      <c r="B39" s="452" t="e">
        <f>'Penyelia Pengujian'!B39</f>
        <v>#REF!</v>
      </c>
      <c r="C39" s="469"/>
      <c r="E39" s="452" t="e">
        <f>'Penyelia Pengujian'!D39</f>
        <v>#REF!</v>
      </c>
      <c r="F39" s="139" t="e">
        <f>'Penyelia Pengujian'!E39</f>
        <v>#REF!</v>
      </c>
      <c r="G39" s="453" t="e">
        <f>'Penyelia Pengujian'!F39</f>
        <v>#REF!</v>
      </c>
      <c r="H39" s="466"/>
      <c r="I39" s="447" t="e">
        <f>'Penyelia Pengujian'!H39</f>
        <v>#REF!</v>
      </c>
      <c r="J39" s="454" t="e">
        <f>'Penyelia Pengujian'!I39</f>
        <v>#REF!</v>
      </c>
      <c r="K39" s="116"/>
      <c r="L39" s="116"/>
    </row>
    <row r="40" spans="1:12" ht="14.25" hidden="1" customHeight="1">
      <c r="A40" s="116"/>
      <c r="B40" s="452" t="e">
        <f>'Penyelia Pengujian'!B40</f>
        <v>#REF!</v>
      </c>
      <c r="C40" s="463"/>
      <c r="E40" s="452" t="e">
        <f>'Penyelia Pengujian'!D40</f>
        <v>#REF!</v>
      </c>
      <c r="F40" s="139" t="e">
        <f>'Penyelia Pengujian'!E40</f>
        <v>#REF!</v>
      </c>
      <c r="G40" s="453" t="e">
        <f>'Penyelia Pengujian'!F40</f>
        <v>#REF!</v>
      </c>
      <c r="H40" s="466"/>
      <c r="I40" s="447" t="e">
        <f>'Penyelia Pengujian'!H40</f>
        <v>#REF!</v>
      </c>
      <c r="J40" s="454" t="e">
        <f>'Penyelia Pengujian'!I40</f>
        <v>#REF!</v>
      </c>
      <c r="K40" s="116"/>
      <c r="L40" s="116"/>
    </row>
    <row r="41" spans="1:12" ht="14.25" hidden="1" customHeight="1">
      <c r="A41" s="116"/>
      <c r="B41" s="452" t="e">
        <f>'Penyelia Pengujian'!B41</f>
        <v>#REF!</v>
      </c>
      <c r="C41" s="463"/>
      <c r="E41" s="452" t="e">
        <f>'Penyelia Pengujian'!D41</f>
        <v>#REF!</v>
      </c>
      <c r="F41" s="139" t="e">
        <f>'Penyelia Pengujian'!E41</f>
        <v>#REF!</v>
      </c>
      <c r="G41" s="453" t="e">
        <f>'Penyelia Pengujian'!F41</f>
        <v>#REF!</v>
      </c>
      <c r="H41" s="466"/>
      <c r="I41" s="447" t="e">
        <f>'Penyelia Pengujian'!H41</f>
        <v>#REF!</v>
      </c>
      <c r="J41" s="454" t="e">
        <f>'Penyelia Pengujian'!I41</f>
        <v>#REF!</v>
      </c>
      <c r="K41" s="116"/>
      <c r="L41" s="116"/>
    </row>
    <row r="42" spans="1:12" ht="14">
      <c r="A42" s="116"/>
      <c r="B42" s="459"/>
      <c r="C42" s="116"/>
      <c r="E42" s="116"/>
      <c r="F42" s="116"/>
      <c r="G42" s="116"/>
      <c r="H42" s="116"/>
      <c r="I42" s="116"/>
      <c r="J42" s="116"/>
      <c r="K42" s="116"/>
      <c r="L42" s="116"/>
    </row>
    <row r="43" spans="1:12" ht="14.25" hidden="1" customHeight="1">
      <c r="A43" s="116"/>
      <c r="B43" s="459"/>
      <c r="C43" s="116"/>
      <c r="E43" s="116"/>
      <c r="F43" s="116"/>
      <c r="G43" s="116"/>
      <c r="H43" s="116"/>
      <c r="I43" s="116"/>
      <c r="J43" s="116"/>
      <c r="K43" s="116"/>
      <c r="L43" s="116"/>
    </row>
    <row r="44" spans="1:12" ht="14.25" hidden="1" customHeight="1">
      <c r="A44" s="116"/>
      <c r="B44" s="459"/>
      <c r="C44" s="116"/>
      <c r="E44" s="116"/>
      <c r="F44" s="116"/>
      <c r="G44" s="116"/>
      <c r="H44" s="116"/>
      <c r="I44" s="116"/>
      <c r="J44" s="116"/>
      <c r="K44" s="116"/>
      <c r="L44" s="116"/>
    </row>
    <row r="45" spans="1:12" ht="14">
      <c r="A45" s="116"/>
      <c r="B45" s="467" t="str">
        <f>'Penyelia Pengujian'!B45</f>
        <v>b. Pengujian Daya Keluaran Coagulating</v>
      </c>
      <c r="C45" s="116"/>
      <c r="E45" s="116"/>
      <c r="F45" s="116"/>
      <c r="G45" s="116"/>
      <c r="H45" s="116"/>
      <c r="I45" s="116"/>
      <c r="J45" s="116"/>
      <c r="K45" s="116"/>
      <c r="L45" s="116"/>
    </row>
    <row r="46" spans="1:12" s="221" customFormat="1" ht="15" customHeight="1">
      <c r="A46" s="218"/>
      <c r="B46" s="1104" t="str">
        <f>'Penyelia Pengujian'!B46</f>
        <v>No.</v>
      </c>
      <c r="C46" s="1093" t="str">
        <f>'Penyelia Pengujian'!C46</f>
        <v>Parameter</v>
      </c>
      <c r="D46" s="1093"/>
      <c r="E46" s="1104" t="str">
        <f>'Penyelia Pengujian'!D46</f>
        <v>Setting Alat</v>
      </c>
      <c r="F46" s="1104" t="str">
        <f>'Penyelia Pengujian'!E46</f>
        <v>Pembacaan Standar</v>
      </c>
      <c r="G46" s="1104" t="str">
        <f>'Penyelia Pengujian'!F46</f>
        <v>Presisi 
(%)</v>
      </c>
      <c r="H46" s="1104" t="str">
        <f>'Penyelia Pengujian'!G46</f>
        <v>Toleransi
(%)</v>
      </c>
      <c r="I46" s="1090" t="str">
        <f>'Penyelia Pengujian'!H46</f>
        <v>Ketidakpastian Pengukuran 
(%)</v>
      </c>
      <c r="J46" s="1176"/>
      <c r="K46" s="218"/>
      <c r="L46" s="218"/>
    </row>
    <row r="47" spans="1:12" s="221" customFormat="1" ht="30" customHeight="1">
      <c r="A47" s="218"/>
      <c r="B47" s="1175"/>
      <c r="C47" s="1093"/>
      <c r="D47" s="1093"/>
      <c r="E47" s="1175"/>
      <c r="F47" s="1175"/>
      <c r="G47" s="1175"/>
      <c r="H47" s="1175"/>
      <c r="I47" s="1177"/>
      <c r="J47" s="1178"/>
      <c r="K47" s="218"/>
      <c r="L47" s="218"/>
    </row>
    <row r="48" spans="1:12" ht="14.25" customHeight="1">
      <c r="A48" s="116"/>
      <c r="B48" s="452">
        <f>'Penyelia Pengujian'!B48</f>
        <v>1</v>
      </c>
      <c r="C48" s="1174" t="str">
        <f>'Penyelia Pengujian'!C48</f>
        <v>Daya Keluaran Coagulating           ( W )</v>
      </c>
      <c r="D48" s="1174"/>
      <c r="E48" s="452">
        <f>'Penyelia Pengujian'!D48</f>
        <v>20</v>
      </c>
      <c r="F48" s="453">
        <f>'Penyelia Pengujian'!E48</f>
        <v>20.00001</v>
      </c>
      <c r="G48" s="453">
        <f>'Penyelia Pengujian'!F48</f>
        <v>4.999997500001251E-5</v>
      </c>
      <c r="H48" s="1161" t="str">
        <f>'Penyelia Pengujian'!G48</f>
        <v>± 20</v>
      </c>
      <c r="I48" s="447" t="str">
        <f>'Penyelia Pengujian'!H48</f>
        <v>±</v>
      </c>
      <c r="J48" s="454">
        <f>'Penyelia Pengujian'!I48</f>
        <v>2.8991331284653254</v>
      </c>
      <c r="K48" s="116"/>
      <c r="L48" s="116"/>
    </row>
    <row r="49" spans="1:12" ht="14">
      <c r="A49" s="116"/>
      <c r="B49" s="452">
        <f>'Penyelia Pengujian'!B49</f>
        <v>2</v>
      </c>
      <c r="C49" s="1174"/>
      <c r="D49" s="1174"/>
      <c r="E49" s="452">
        <f>'Penyelia Pengujian'!D49</f>
        <v>50</v>
      </c>
      <c r="F49" s="453">
        <f>'Penyelia Pengujian'!E49</f>
        <v>50.000010000000003</v>
      </c>
      <c r="G49" s="453">
        <f>'Penyelia Pengujian'!F49</f>
        <v>1.99999960000008E-5</v>
      </c>
      <c r="H49" s="1162"/>
      <c r="I49" s="447" t="str">
        <f>'Penyelia Pengujian'!H49</f>
        <v>±</v>
      </c>
      <c r="J49" s="454">
        <f>'Penyelia Pengujian'!I49</f>
        <v>1.1596535992820358</v>
      </c>
      <c r="K49" s="116"/>
      <c r="L49" s="116"/>
    </row>
    <row r="50" spans="1:12" ht="14">
      <c r="A50" s="116"/>
      <c r="B50" s="452">
        <f>'Penyelia Pengujian'!B50</f>
        <v>3</v>
      </c>
      <c r="C50" s="1174"/>
      <c r="D50" s="1174"/>
      <c r="E50" s="452">
        <f>'Penyelia Pengujian'!D50</f>
        <v>80</v>
      </c>
      <c r="F50" s="453">
        <f>'Penyelia Pengujian'!E50</f>
        <v>80.000010000000003</v>
      </c>
      <c r="G50" s="453">
        <f>'Penyelia Pengujian'!F50</f>
        <v>1.2499998437500197E-5</v>
      </c>
      <c r="H50" s="1162"/>
      <c r="I50" s="447" t="str">
        <f>'Penyelia Pengujian'!H50</f>
        <v>±</v>
      </c>
      <c r="J50" s="454">
        <f>'Penyelia Pengujian'!I50</f>
        <v>0.72478355391002813</v>
      </c>
      <c r="K50" s="116"/>
      <c r="L50" s="116"/>
    </row>
    <row r="51" spans="1:12" ht="14">
      <c r="A51" s="116"/>
      <c r="B51" s="452">
        <f>'Penyelia Pengujian'!B51</f>
        <v>4</v>
      </c>
      <c r="C51" s="1174"/>
      <c r="D51" s="1174"/>
      <c r="E51" s="452">
        <f>'Penyelia Pengujian'!D51</f>
        <v>100</v>
      </c>
      <c r="F51" s="453">
        <f>'Penyelia Pengujian'!E51</f>
        <v>100.00001</v>
      </c>
      <c r="G51" s="453">
        <f>'Penyelia Pengujian'!F51</f>
        <v>9.9999990000000997E-6</v>
      </c>
      <c r="H51" s="1162"/>
      <c r="I51" s="447" t="str">
        <f>'Penyelia Pengujian'!H51</f>
        <v>±</v>
      </c>
      <c r="J51" s="454">
        <f>'Penyelia Pengujian'!I51</f>
        <v>0.57982685762369202</v>
      </c>
      <c r="K51" s="116"/>
      <c r="L51" s="116"/>
    </row>
    <row r="52" spans="1:12" ht="14">
      <c r="A52" s="116"/>
      <c r="B52" s="452">
        <f>'Penyelia Pengujian'!B52</f>
        <v>5</v>
      </c>
      <c r="C52" s="1174"/>
      <c r="D52" s="1174"/>
      <c r="E52" s="452">
        <f>'Penyelia Pengujian'!D52</f>
        <v>150</v>
      </c>
      <c r="F52" s="453">
        <f>'Penyelia Pengujian'!E52</f>
        <v>150.00001</v>
      </c>
      <c r="G52" s="453">
        <f>'Penyelia Pengujian'!F52</f>
        <v>6.6666662222222527E-6</v>
      </c>
      <c r="H52" s="1163"/>
      <c r="I52" s="447" t="str">
        <f>'Penyelia Pengujian'!H52</f>
        <v>±</v>
      </c>
      <c r="J52" s="454">
        <f>'Penyelia Pengujian'!I52</f>
        <v>0.38655125130083517</v>
      </c>
      <c r="K52" s="116"/>
      <c r="L52" s="116"/>
    </row>
    <row r="53" spans="1:12" ht="14.25" hidden="1" customHeight="1">
      <c r="A53" s="116"/>
      <c r="B53" s="452" t="e">
        <f>'Penyelia Pengujian'!B53</f>
        <v>#REF!</v>
      </c>
      <c r="C53" s="469"/>
      <c r="E53" s="452" t="e">
        <f>'Penyelia Pengujian'!D53</f>
        <v>#REF!</v>
      </c>
      <c r="F53" s="139" t="e">
        <f>'Penyelia Pengujian'!E53</f>
        <v>#REF!</v>
      </c>
      <c r="G53" s="453" t="e">
        <f>'Penyelia Pengujian'!F53</f>
        <v>#REF!</v>
      </c>
      <c r="H53" s="464"/>
      <c r="I53" s="447" t="e">
        <f>'Penyelia Pengujian'!H53</f>
        <v>#REF!</v>
      </c>
      <c r="J53" s="454" t="e">
        <f>'Penyelia Pengujian'!I53</f>
        <v>#REF!</v>
      </c>
      <c r="K53" s="116"/>
      <c r="L53" s="116"/>
    </row>
    <row r="54" spans="1:12" ht="14.25" hidden="1" customHeight="1">
      <c r="A54" s="116"/>
      <c r="B54" s="452" t="e">
        <f>'Penyelia Pengujian'!B54</f>
        <v>#REF!</v>
      </c>
      <c r="C54" s="463"/>
      <c r="E54" s="452" t="e">
        <f>'Penyelia Pengujian'!D54</f>
        <v>#REF!</v>
      </c>
      <c r="F54" s="139" t="e">
        <f>'Penyelia Pengujian'!E54</f>
        <v>#REF!</v>
      </c>
      <c r="G54" s="453" t="e">
        <f>'Penyelia Pengujian'!F54</f>
        <v>#REF!</v>
      </c>
      <c r="H54" s="464"/>
      <c r="I54" s="447" t="e">
        <f>'Penyelia Pengujian'!H54</f>
        <v>#REF!</v>
      </c>
      <c r="J54" s="454" t="e">
        <f>'Penyelia Pengujian'!I54</f>
        <v>#REF!</v>
      </c>
      <c r="K54" s="116"/>
      <c r="L54" s="116"/>
    </row>
    <row r="55" spans="1:12" ht="14.25" hidden="1" customHeight="1">
      <c r="A55" s="116"/>
      <c r="B55" s="452" t="e">
        <f>'Penyelia Pengujian'!B55</f>
        <v>#REF!</v>
      </c>
      <c r="C55" s="463"/>
      <c r="E55" s="452" t="e">
        <f>'Penyelia Pengujian'!D55</f>
        <v>#REF!</v>
      </c>
      <c r="F55" s="139" t="e">
        <f>'Penyelia Pengujian'!E55</f>
        <v>#REF!</v>
      </c>
      <c r="G55" s="453" t="e">
        <f>'Penyelia Pengujian'!F55</f>
        <v>#REF!</v>
      </c>
      <c r="H55" s="465"/>
      <c r="I55" s="447" t="e">
        <f>'Penyelia Pengujian'!H55</f>
        <v>#REF!</v>
      </c>
      <c r="J55" s="454" t="e">
        <f>'Penyelia Pengujian'!I55</f>
        <v>#REF!</v>
      </c>
      <c r="K55" s="116"/>
      <c r="L55" s="116"/>
    </row>
    <row r="56" spans="1:12" ht="14">
      <c r="A56" s="116"/>
      <c r="B56" s="459"/>
      <c r="C56" s="116"/>
      <c r="E56" s="116"/>
      <c r="F56" s="116"/>
      <c r="G56" s="116"/>
      <c r="H56" s="116"/>
      <c r="I56" s="116"/>
      <c r="J56" s="116"/>
      <c r="K56" s="116"/>
      <c r="L56" s="116"/>
    </row>
    <row r="57" spans="1:12" ht="14">
      <c r="A57" s="435" t="str">
        <f>'Penyelia Pengujian'!A57</f>
        <v>V.</v>
      </c>
      <c r="B57" s="673" t="str">
        <f>'Penyelia Pengujian'!B57</f>
        <v xml:space="preserve">Keterangan </v>
      </c>
      <c r="C57" s="141"/>
      <c r="D57" s="436"/>
      <c r="E57" s="141"/>
      <c r="F57" s="141"/>
      <c r="G57" s="141"/>
      <c r="H57" s="141"/>
      <c r="I57" s="141"/>
      <c r="J57" s="141"/>
      <c r="K57" s="141"/>
      <c r="L57" s="141"/>
    </row>
    <row r="58" spans="1:12" ht="14">
      <c r="A58" s="141"/>
      <c r="B58" s="674" t="str">
        <f>'Penyelia Pengujian'!B58</f>
        <v>Ketidakpastian pengukuran dilaporkan pada tingkat kepercayaan 95 % dengan faktor cakupan k = 2</v>
      </c>
      <c r="C58" s="141"/>
      <c r="D58" s="436"/>
      <c r="E58" s="141"/>
      <c r="F58" s="141"/>
      <c r="G58" s="141"/>
      <c r="H58" s="141"/>
      <c r="I58" s="141"/>
      <c r="J58" s="141"/>
      <c r="K58" s="141"/>
      <c r="L58" s="141"/>
    </row>
    <row r="59" spans="1:12" ht="14">
      <c r="A59" s="141"/>
      <c r="B59" s="674" t="str">
        <f>'Penyelia Pengujian'!B59</f>
        <v>Hasil pengukuran keselamatan listrik tertelusur ke Satuan Internasional ( SI ) melalui PT. Kaliman</v>
      </c>
      <c r="C59" s="141"/>
      <c r="D59" s="436"/>
      <c r="E59" s="141"/>
      <c r="F59" s="141"/>
      <c r="G59" s="141"/>
      <c r="H59" s="141"/>
      <c r="I59" s="141"/>
      <c r="J59" s="141"/>
      <c r="K59" s="141"/>
      <c r="L59" s="141"/>
    </row>
    <row r="60" spans="1:12" ht="14">
      <c r="A60" s="141"/>
      <c r="B60" s="674" t="str">
        <f>'Penyelia Pengujian'!B60</f>
        <v>Hasil pengujian daya keluaran tertelusur ke Satuan Internasional melalui CALTEK PTE. LTD.</v>
      </c>
      <c r="C60" s="141"/>
      <c r="D60" s="436"/>
      <c r="E60" s="141"/>
      <c r="F60" s="141"/>
      <c r="G60" s="141"/>
      <c r="H60" s="141"/>
      <c r="I60" s="141"/>
      <c r="J60" s="141"/>
      <c r="K60" s="141"/>
      <c r="L60" s="141"/>
    </row>
    <row r="61" spans="1:12" ht="14">
      <c r="A61" s="141"/>
      <c r="B61" s="674" t="str">
        <f>'Penyelia Pengujian'!B61</f>
        <v>Pengaturan load cutting pada 250Ω</v>
      </c>
      <c r="C61" s="141"/>
      <c r="D61" s="436"/>
      <c r="E61" s="141"/>
      <c r="F61" s="141"/>
      <c r="G61" s="141"/>
      <c r="H61" s="141"/>
      <c r="I61" s="141"/>
      <c r="J61" s="141"/>
      <c r="K61" s="141"/>
      <c r="L61" s="141"/>
    </row>
    <row r="62" spans="1:12" ht="14">
      <c r="A62" s="141"/>
      <c r="B62" s="674" t="str">
        <f>'Penyelia Pengujian'!B62</f>
        <v>Pengaturan load coagulating pada 250Ω</v>
      </c>
      <c r="C62" s="141"/>
      <c r="D62" s="436"/>
      <c r="E62" s="141"/>
      <c r="F62" s="141"/>
      <c r="G62" s="141"/>
      <c r="H62" s="141"/>
      <c r="I62" s="141"/>
      <c r="J62" s="141"/>
      <c r="K62" s="141"/>
      <c r="L62" s="141"/>
    </row>
    <row r="63" spans="1:12" ht="14">
      <c r="A63" s="141"/>
      <c r="B63" s="674" t="str">
        <f>'Penyelia Pengujian'!B63</f>
        <v>Alat tidak boleh digunakan pada instalasi tanpa dilengkapi grounding</v>
      </c>
      <c r="C63" s="141"/>
      <c r="D63" s="436"/>
      <c r="E63" s="141"/>
      <c r="F63" s="141"/>
      <c r="G63" s="141"/>
      <c r="H63" s="141"/>
      <c r="I63" s="141"/>
      <c r="J63" s="141"/>
      <c r="K63" s="141"/>
      <c r="L63" s="141"/>
    </row>
    <row r="64" spans="1:12" ht="14">
      <c r="A64" s="141"/>
      <c r="B64" s="674"/>
      <c r="C64" s="141"/>
      <c r="D64" s="436"/>
      <c r="E64" s="141"/>
      <c r="F64" s="141"/>
      <c r="G64" s="141"/>
      <c r="H64" s="141"/>
      <c r="I64" s="141"/>
      <c r="J64" s="141"/>
      <c r="K64" s="141"/>
      <c r="L64" s="141"/>
    </row>
    <row r="65" spans="1:12" ht="14">
      <c r="A65" s="435" t="str">
        <f>'Penyelia Pengujian'!A65</f>
        <v>VII.</v>
      </c>
      <c r="B65" s="673" t="str">
        <f>'Penyelia Pengujian'!B65</f>
        <v xml:space="preserve">Alat Yang Digunakan </v>
      </c>
      <c r="C65" s="141"/>
      <c r="D65" s="436"/>
      <c r="E65" s="141"/>
      <c r="F65" s="141"/>
      <c r="G65" s="141"/>
      <c r="H65" s="141"/>
      <c r="I65" s="141"/>
      <c r="J65" s="141"/>
      <c r="K65" s="141"/>
      <c r="L65" s="141"/>
    </row>
    <row r="66" spans="1:12" ht="14">
      <c r="A66" s="141"/>
      <c r="B66" s="674" t="str">
        <f>'Penyelia Pengujian'!B66</f>
        <v>Electrosurgical Analyzer, Merek : Fluke, Model : QA-ES III, SN : 4639004</v>
      </c>
      <c r="C66" s="141"/>
      <c r="D66" s="436"/>
      <c r="E66" s="141"/>
      <c r="F66" s="141"/>
      <c r="G66" s="141"/>
      <c r="H66" s="141"/>
      <c r="I66" s="141"/>
      <c r="J66" s="141"/>
      <c r="K66" s="141"/>
      <c r="L66" s="141"/>
    </row>
    <row r="67" spans="1:12" ht="14">
      <c r="A67" s="141"/>
      <c r="B67" s="674" t="str">
        <f>'Penyelia Pengujian'!B67</f>
        <v>Electrical Safety Analyzer, Merek : Fluke, Model : ESA 615, SN : 4670010</v>
      </c>
      <c r="C67" s="141"/>
      <c r="D67" s="436"/>
      <c r="E67" s="141"/>
      <c r="F67" s="141"/>
      <c r="G67" s="141"/>
      <c r="H67" s="141"/>
      <c r="I67" s="141"/>
      <c r="J67" s="141"/>
      <c r="K67" s="141"/>
      <c r="L67" s="141"/>
    </row>
    <row r="68" spans="1:12" ht="14">
      <c r="A68" s="141"/>
      <c r="B68" s="675"/>
      <c r="C68" s="141"/>
      <c r="D68" s="436"/>
      <c r="E68" s="141"/>
      <c r="F68" s="141"/>
      <c r="G68" s="141"/>
      <c r="H68" s="141"/>
      <c r="I68" s="141"/>
      <c r="J68" s="141"/>
      <c r="K68" s="141"/>
      <c r="L68" s="141"/>
    </row>
    <row r="69" spans="1:12" ht="14">
      <c r="A69" s="435" t="str">
        <f>'Penyelia Pengujian'!A69</f>
        <v>VIII.</v>
      </c>
      <c r="B69" s="673" t="str">
        <f>'Penyelia Pengujian'!B69</f>
        <v>Kesimpulan</v>
      </c>
      <c r="C69" s="141"/>
      <c r="D69" s="436"/>
      <c r="E69" s="141"/>
      <c r="F69" s="141"/>
      <c r="G69" s="141"/>
      <c r="H69" s="141"/>
      <c r="I69" s="141"/>
      <c r="J69" s="141"/>
      <c r="K69" s="141"/>
      <c r="L69" s="141"/>
    </row>
    <row r="70" spans="1:12" ht="14.25" customHeight="1">
      <c r="A70" s="141"/>
      <c r="B70" s="1157" t="str">
        <f>'Penyelia Pengujian'!B70</f>
        <v>Alat yang diuji dalam batas toleransi dan dinyatakan LAIK PAKAI, dimana hasil atau skor akhir sama dengan atau melampaui 70 % berdasarkan Keputusan Direktur Jenderal Pelayanan Kesehatan No : HK.02.02/V/0412/2020</v>
      </c>
      <c r="C70" s="1157"/>
      <c r="D70" s="1157"/>
      <c r="E70" s="1157"/>
      <c r="F70" s="1157"/>
      <c r="G70" s="1157"/>
      <c r="H70" s="1157"/>
      <c r="I70" s="1157"/>
      <c r="J70" s="1157"/>
      <c r="K70" s="1157"/>
      <c r="L70" s="1157"/>
    </row>
    <row r="71" spans="1:12" ht="14">
      <c r="A71" s="141"/>
      <c r="B71" s="1157"/>
      <c r="C71" s="1157"/>
      <c r="D71" s="1157"/>
      <c r="E71" s="1157"/>
      <c r="F71" s="1157"/>
      <c r="G71" s="1157"/>
      <c r="H71" s="1157"/>
      <c r="I71" s="1157"/>
      <c r="J71" s="1157"/>
      <c r="K71" s="1157"/>
      <c r="L71" s="1157"/>
    </row>
    <row r="72" spans="1:12" ht="14">
      <c r="A72" s="141"/>
      <c r="B72" s="675"/>
      <c r="C72" s="141"/>
      <c r="D72" s="436"/>
      <c r="E72" s="141"/>
      <c r="F72" s="141"/>
      <c r="G72" s="141"/>
      <c r="H72" s="141"/>
      <c r="I72" s="141"/>
      <c r="J72" s="141"/>
      <c r="K72" s="141"/>
      <c r="L72" s="141"/>
    </row>
    <row r="73" spans="1:12" ht="14">
      <c r="A73" s="435" t="str">
        <f>'Penyelia Pengujian'!A73</f>
        <v>IX.</v>
      </c>
      <c r="B73" s="673" t="str">
        <f>'Penyelia Pengujian'!B73</f>
        <v>Petugas Pengujian</v>
      </c>
      <c r="C73" s="141"/>
      <c r="D73" s="436"/>
      <c r="E73" s="141"/>
      <c r="F73" s="141"/>
      <c r="G73" s="141"/>
      <c r="H73" s="141"/>
      <c r="I73" s="141"/>
      <c r="J73" s="141"/>
      <c r="K73" s="141"/>
      <c r="L73" s="141"/>
    </row>
    <row r="74" spans="1:12" ht="14">
      <c r="A74" s="141"/>
      <c r="B74" s="674" t="str">
        <f>'Penyelia Pengujian'!B74</f>
        <v>Muhammad Iqbal Saiful Rahman</v>
      </c>
      <c r="C74" s="141"/>
      <c r="D74" s="436"/>
      <c r="E74" s="141"/>
      <c r="F74" s="141"/>
      <c r="G74" s="141"/>
      <c r="H74" s="141"/>
      <c r="I74" s="141"/>
      <c r="J74" s="141"/>
      <c r="K74" s="141"/>
      <c r="L74" s="141"/>
    </row>
    <row r="75" spans="1:12" ht="14.25" hidden="1" customHeight="1">
      <c r="A75" s="141"/>
      <c r="B75" s="675"/>
      <c r="C75" s="141"/>
      <c r="D75" s="436"/>
      <c r="E75" s="141"/>
      <c r="F75" s="141"/>
      <c r="G75" s="141"/>
      <c r="H75" s="141"/>
      <c r="I75" s="141"/>
      <c r="J75" s="141"/>
      <c r="K75" s="141"/>
      <c r="L75" s="141"/>
    </row>
    <row r="76" spans="1:12" ht="14.25" hidden="1" customHeight="1">
      <c r="A76" s="141"/>
      <c r="B76" s="675"/>
      <c r="C76" s="141"/>
      <c r="D76" s="436"/>
      <c r="E76" s="141"/>
      <c r="F76" s="141"/>
      <c r="G76" s="141"/>
      <c r="H76" s="141"/>
      <c r="I76" s="141"/>
      <c r="J76" s="141"/>
      <c r="K76" s="141"/>
      <c r="L76" s="141"/>
    </row>
    <row r="77" spans="1:12" ht="14">
      <c r="A77" s="141"/>
      <c r="B77" s="675"/>
      <c r="C77" s="141"/>
      <c r="D77" s="436"/>
      <c r="E77" s="141"/>
      <c r="F77" s="141"/>
      <c r="G77" s="141"/>
      <c r="H77" s="141"/>
      <c r="I77" s="141" t="str">
        <f>LH!I72</f>
        <v>Menyetujui,</v>
      </c>
      <c r="J77" s="141"/>
      <c r="K77" s="141"/>
      <c r="L77" s="141"/>
    </row>
    <row r="78" spans="1:12" ht="14">
      <c r="A78" s="141"/>
      <c r="B78" s="675"/>
      <c r="C78" s="141"/>
      <c r="D78" s="436"/>
      <c r="E78" s="141"/>
      <c r="F78" s="141"/>
      <c r="G78" s="141"/>
      <c r="H78" s="141"/>
      <c r="I78" s="141" t="str">
        <f>LH!I73</f>
        <v>Kepala Instalasi Laboratorium</v>
      </c>
      <c r="J78" s="141"/>
      <c r="K78" s="141"/>
      <c r="L78" s="141"/>
    </row>
    <row r="79" spans="1:12" ht="14">
      <c r="A79" s="141"/>
      <c r="B79" s="675"/>
      <c r="C79" s="141"/>
      <c r="D79" s="436"/>
      <c r="E79" s="141"/>
      <c r="F79" s="141"/>
      <c r="G79" s="141"/>
      <c r="H79" s="141"/>
      <c r="I79" s="141" t="str">
        <f>LH!I74</f>
        <v>Pengujian dan Kalibrasi</v>
      </c>
      <c r="J79" s="141"/>
      <c r="K79" s="141"/>
      <c r="L79" s="141"/>
    </row>
    <row r="80" spans="1:12" ht="14">
      <c r="A80" s="141"/>
      <c r="B80" s="675"/>
      <c r="C80" s="141"/>
      <c r="D80" s="436"/>
      <c r="E80" s="141"/>
      <c r="F80" s="141"/>
      <c r="G80" s="141"/>
      <c r="H80" s="141"/>
      <c r="I80" s="141"/>
      <c r="J80" s="141"/>
      <c r="K80" s="141"/>
      <c r="L80" s="141"/>
    </row>
    <row r="81" spans="1:12" ht="14">
      <c r="A81" s="436"/>
      <c r="B81" s="676"/>
      <c r="C81" s="436"/>
      <c r="D81" s="436"/>
      <c r="E81" s="436"/>
      <c r="F81" s="436"/>
      <c r="G81" s="436"/>
      <c r="H81" s="436"/>
      <c r="I81" s="141"/>
      <c r="J81" s="436"/>
      <c r="K81" s="436"/>
      <c r="L81" s="436"/>
    </row>
    <row r="82" spans="1:12" ht="14">
      <c r="A82" s="436"/>
      <c r="B82" s="676"/>
      <c r="C82" s="436"/>
      <c r="D82" s="436"/>
      <c r="E82" s="436"/>
      <c r="F82" s="436"/>
      <c r="G82" s="436"/>
      <c r="H82" s="436"/>
      <c r="I82" s="141"/>
      <c r="J82" s="436"/>
      <c r="K82" s="436"/>
      <c r="L82" s="436"/>
    </row>
    <row r="83" spans="1:12" ht="14">
      <c r="A83" s="436"/>
      <c r="B83" s="676"/>
      <c r="C83" s="436"/>
      <c r="D83" s="436"/>
      <c r="E83" s="436"/>
      <c r="F83" s="436"/>
      <c r="G83" s="436"/>
      <c r="H83" s="436"/>
      <c r="I83" s="141"/>
      <c r="J83" s="436"/>
      <c r="K83" s="436"/>
      <c r="L83" s="436"/>
    </row>
    <row r="84" spans="1:12" ht="14">
      <c r="A84" s="436"/>
      <c r="B84" s="676"/>
      <c r="C84" s="436"/>
      <c r="D84" s="436"/>
      <c r="E84" s="436"/>
      <c r="F84" s="436"/>
      <c r="G84" s="436"/>
      <c r="H84" s="436"/>
      <c r="I84" s="435" t="str">
        <f>LH!I79</f>
        <v>Choirul Huda, S.Tr.Kes</v>
      </c>
      <c r="J84" s="436"/>
      <c r="K84" s="436"/>
      <c r="L84" s="436"/>
    </row>
    <row r="85" spans="1:12" ht="14">
      <c r="A85" s="436"/>
      <c r="B85" s="676"/>
      <c r="C85" s="436"/>
      <c r="D85" s="436"/>
      <c r="E85" s="436"/>
      <c r="F85" s="436"/>
      <c r="G85" s="436"/>
      <c r="H85" s="436"/>
      <c r="I85" s="141" t="str">
        <f>LH!I80</f>
        <v>NIP 198008062010121001</v>
      </c>
      <c r="J85" s="436"/>
      <c r="K85" s="436"/>
      <c r="L85" s="436"/>
    </row>
    <row r="86" spans="1:12" ht="14">
      <c r="I86" s="116"/>
    </row>
    <row r="87" spans="1:12" ht="14">
      <c r="I87" s="116"/>
      <c r="J87" s="610" t="s">
        <v>316</v>
      </c>
    </row>
    <row r="88" spans="1:12" ht="14">
      <c r="I88" s="116"/>
    </row>
  </sheetData>
  <mergeCells count="28">
    <mergeCell ref="B70:L71"/>
    <mergeCell ref="C27:H27"/>
    <mergeCell ref="C28:H28"/>
    <mergeCell ref="B46:B47"/>
    <mergeCell ref="H46:H47"/>
    <mergeCell ref="F46:F47"/>
    <mergeCell ref="I46:J47"/>
    <mergeCell ref="I32:J33"/>
    <mergeCell ref="G46:G47"/>
    <mergeCell ref="G32:G33"/>
    <mergeCell ref="E46:E47"/>
    <mergeCell ref="B32:B33"/>
    <mergeCell ref="H32:H33"/>
    <mergeCell ref="A1:L1"/>
    <mergeCell ref="A2:L2"/>
    <mergeCell ref="H48:H52"/>
    <mergeCell ref="H34:H38"/>
    <mergeCell ref="I24:J24"/>
    <mergeCell ref="K24:L24"/>
    <mergeCell ref="E32:E33"/>
    <mergeCell ref="F32:F33"/>
    <mergeCell ref="C24:H24"/>
    <mergeCell ref="C25:H25"/>
    <mergeCell ref="C26:H26"/>
    <mergeCell ref="C32:D33"/>
    <mergeCell ref="C34:D38"/>
    <mergeCell ref="C48:D52"/>
    <mergeCell ref="C46:D47"/>
  </mergeCells>
  <pageMargins left="0.7" right="0.7" top="0.75" bottom="0.75" header="0.3" footer="0.3"/>
  <pageSetup paperSize="9" scale="65" orientation="portrait" horizontalDpi="360" verticalDpi="360" r:id="rId1"/>
  <headerFooter>
    <oddHeader>&amp;RKL.LHK - 023-18 / REV :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P375"/>
  <sheetViews>
    <sheetView view="pageBreakPreview" topLeftCell="A346" zoomScaleNormal="100" zoomScaleSheetLayoutView="100" workbookViewId="0">
      <selection activeCell="R356" sqref="R356"/>
    </sheetView>
  </sheetViews>
  <sheetFormatPr defaultColWidth="8.7265625" defaultRowHeight="12.5"/>
  <cols>
    <col min="1" max="5" width="8.7265625" style="230"/>
    <col min="6" max="6" width="11.54296875" style="230" customWidth="1"/>
    <col min="7" max="16384" width="8.7265625" style="230"/>
  </cols>
  <sheetData>
    <row r="1" spans="1:16" ht="18" thickBot="1">
      <c r="A1" s="1250" t="s">
        <v>241</v>
      </c>
      <c r="B1" s="1251"/>
      <c r="C1" s="1251"/>
      <c r="D1" s="1251"/>
      <c r="E1" s="1251"/>
      <c r="F1" s="1251"/>
      <c r="G1" s="1252"/>
      <c r="H1" s="1251"/>
      <c r="I1" s="1251"/>
      <c r="J1" s="1251"/>
      <c r="K1" s="1251"/>
      <c r="L1" s="1251"/>
      <c r="M1" s="1252"/>
      <c r="N1" s="1251"/>
      <c r="O1" s="1253"/>
      <c r="P1" s="229"/>
    </row>
    <row r="2" spans="1:16" ht="13">
      <c r="A2" s="1244">
        <v>1</v>
      </c>
      <c r="B2" s="1247" t="s">
        <v>242</v>
      </c>
      <c r="C2" s="1247"/>
      <c r="D2" s="1247"/>
      <c r="E2" s="1247"/>
      <c r="F2" s="1247"/>
      <c r="G2" s="231"/>
      <c r="H2" s="1247" t="str">
        <f>B2</f>
        <v>KOREKSI KIMO THERMOHYGROMETER 15062873</v>
      </c>
      <c r="I2" s="1247"/>
      <c r="J2" s="1247"/>
      <c r="K2" s="1247"/>
      <c r="L2" s="1247"/>
      <c r="M2" s="231"/>
      <c r="N2" s="1248" t="s">
        <v>243</v>
      </c>
      <c r="O2" s="1248"/>
      <c r="P2" s="229"/>
    </row>
    <row r="3" spans="1:16" ht="13">
      <c r="A3" s="1245"/>
      <c r="B3" s="1249" t="s">
        <v>244</v>
      </c>
      <c r="C3" s="1249"/>
      <c r="D3" s="1249" t="s">
        <v>245</v>
      </c>
      <c r="E3" s="1249"/>
      <c r="F3" s="1249" t="s">
        <v>246</v>
      </c>
      <c r="H3" s="1249" t="s">
        <v>247</v>
      </c>
      <c r="I3" s="1249"/>
      <c r="J3" s="1249" t="s">
        <v>245</v>
      </c>
      <c r="K3" s="1249"/>
      <c r="L3" s="1249" t="s">
        <v>246</v>
      </c>
      <c r="N3" s="232" t="s">
        <v>244</v>
      </c>
      <c r="O3" s="233">
        <v>0.6</v>
      </c>
      <c r="P3" s="229"/>
    </row>
    <row r="4" spans="1:16" ht="14.5">
      <c r="A4" s="1245"/>
      <c r="B4" s="1242" t="s">
        <v>248</v>
      </c>
      <c r="C4" s="1242"/>
      <c r="D4" s="234">
        <v>2020</v>
      </c>
      <c r="E4" s="234">
        <v>2017</v>
      </c>
      <c r="F4" s="1249"/>
      <c r="H4" s="1243" t="s">
        <v>118</v>
      </c>
      <c r="I4" s="1242"/>
      <c r="J4" s="235">
        <f>D4</f>
        <v>2020</v>
      </c>
      <c r="K4" s="235">
        <f>E4</f>
        <v>2017</v>
      </c>
      <c r="L4" s="1249"/>
      <c r="N4" s="232" t="s">
        <v>118</v>
      </c>
      <c r="O4" s="233">
        <v>3.1</v>
      </c>
      <c r="P4" s="229"/>
    </row>
    <row r="5" spans="1:16" ht="13">
      <c r="A5" s="1245"/>
      <c r="B5" s="236"/>
      <c r="C5" s="237">
        <v>15</v>
      </c>
      <c r="D5" s="237">
        <v>-0.5</v>
      </c>
      <c r="E5" s="237">
        <v>0.3</v>
      </c>
      <c r="F5" s="238">
        <f t="shared" ref="F5:F11" si="0">0.5*(MAX(D5:E5)-MIN(D5:E5))</f>
        <v>0.4</v>
      </c>
      <c r="H5" s="236"/>
      <c r="I5" s="237">
        <v>35</v>
      </c>
      <c r="J5" s="237">
        <v>-6</v>
      </c>
      <c r="K5" s="237">
        <v>-9.4</v>
      </c>
      <c r="L5" s="238">
        <f t="shared" ref="L5:L11" si="1">0.5*(MAX(J5:K5)-MIN(J5:K5))</f>
        <v>1.7000000000000002</v>
      </c>
      <c r="O5" s="239"/>
      <c r="P5" s="229"/>
    </row>
    <row r="6" spans="1:16" ht="13">
      <c r="A6" s="1245"/>
      <c r="B6" s="236"/>
      <c r="C6" s="237">
        <v>20</v>
      </c>
      <c r="D6" s="237">
        <v>-0.2</v>
      </c>
      <c r="E6" s="237">
        <v>0.2</v>
      </c>
      <c r="F6" s="238">
        <f>0.5*(MAX(D6:E6)-MIN(D6:E6))</f>
        <v>0.2</v>
      </c>
      <c r="H6" s="236"/>
      <c r="I6" s="237">
        <v>40</v>
      </c>
      <c r="J6" s="237">
        <v>-5.8</v>
      </c>
      <c r="K6" s="237">
        <v>-8.6</v>
      </c>
      <c r="L6" s="238">
        <f t="shared" si="1"/>
        <v>1.4</v>
      </c>
      <c r="O6" s="239"/>
      <c r="P6" s="229"/>
    </row>
    <row r="7" spans="1:16" ht="13">
      <c r="A7" s="1245"/>
      <c r="B7" s="236"/>
      <c r="C7" s="237">
        <v>25</v>
      </c>
      <c r="D7" s="237">
        <v>0</v>
      </c>
      <c r="E7" s="237">
        <v>0.1</v>
      </c>
      <c r="F7" s="238">
        <f t="shared" si="0"/>
        <v>0.05</v>
      </c>
      <c r="H7" s="236"/>
      <c r="I7" s="237">
        <v>50</v>
      </c>
      <c r="J7" s="237">
        <v>-5.3</v>
      </c>
      <c r="K7" s="237">
        <v>-7.2</v>
      </c>
      <c r="L7" s="238">
        <f t="shared" si="1"/>
        <v>0.95000000000000018</v>
      </c>
      <c r="O7" s="239"/>
      <c r="P7" s="229"/>
    </row>
    <row r="8" spans="1:16" ht="13">
      <c r="A8" s="1245"/>
      <c r="B8" s="236"/>
      <c r="C8" s="240">
        <v>30</v>
      </c>
      <c r="D8" s="241">
        <v>0</v>
      </c>
      <c r="E8" s="241">
        <v>-0.2</v>
      </c>
      <c r="F8" s="238">
        <f t="shared" si="0"/>
        <v>0.1</v>
      </c>
      <c r="H8" s="236"/>
      <c r="I8" s="240">
        <v>60</v>
      </c>
      <c r="J8" s="241">
        <v>-4.4000000000000004</v>
      </c>
      <c r="K8" s="241">
        <v>-5.2</v>
      </c>
      <c r="L8" s="238">
        <f t="shared" si="1"/>
        <v>0.39999999999999991</v>
      </c>
      <c r="O8" s="239"/>
      <c r="P8" s="229"/>
    </row>
    <row r="9" spans="1:16" ht="13">
      <c r="A9" s="1245"/>
      <c r="B9" s="236"/>
      <c r="C9" s="240">
        <v>35</v>
      </c>
      <c r="D9" s="241">
        <v>-0.1</v>
      </c>
      <c r="E9" s="241">
        <v>-0.5</v>
      </c>
      <c r="F9" s="238">
        <f t="shared" si="0"/>
        <v>0.2</v>
      </c>
      <c r="H9" s="236"/>
      <c r="I9" s="240">
        <v>70</v>
      </c>
      <c r="J9" s="241">
        <v>-3.2</v>
      </c>
      <c r="K9" s="241">
        <v>-2.6</v>
      </c>
      <c r="L9" s="238">
        <f t="shared" si="1"/>
        <v>0.30000000000000004</v>
      </c>
      <c r="O9" s="239"/>
      <c r="P9" s="229"/>
    </row>
    <row r="10" spans="1:16" ht="13">
      <c r="A10" s="1245"/>
      <c r="B10" s="236"/>
      <c r="C10" s="240">
        <v>37</v>
      </c>
      <c r="D10" s="241">
        <v>-0.2</v>
      </c>
      <c r="E10" s="241">
        <v>-0.6</v>
      </c>
      <c r="F10" s="238">
        <f t="shared" si="0"/>
        <v>0.19999999999999998</v>
      </c>
      <c r="H10" s="236"/>
      <c r="I10" s="240">
        <v>80</v>
      </c>
      <c r="J10" s="241">
        <v>-1.6</v>
      </c>
      <c r="K10" s="241">
        <v>0.7</v>
      </c>
      <c r="L10" s="238">
        <f t="shared" si="1"/>
        <v>1.1499999999999999</v>
      </c>
      <c r="O10" s="239"/>
      <c r="P10" s="229"/>
    </row>
    <row r="11" spans="1:16" ht="13.5" thickBot="1">
      <c r="A11" s="1246"/>
      <c r="B11" s="236"/>
      <c r="C11" s="240">
        <v>40</v>
      </c>
      <c r="D11" s="241">
        <v>-0.3</v>
      </c>
      <c r="E11" s="241">
        <v>-0.8</v>
      </c>
      <c r="F11" s="238">
        <f t="shared" si="0"/>
        <v>0.25</v>
      </c>
      <c r="G11" s="242"/>
      <c r="H11" s="236"/>
      <c r="I11" s="240">
        <v>90</v>
      </c>
      <c r="J11" s="241">
        <v>0.3</v>
      </c>
      <c r="K11" s="241">
        <v>4.5</v>
      </c>
      <c r="L11" s="238">
        <f t="shared" si="1"/>
        <v>2.1</v>
      </c>
      <c r="M11" s="242"/>
      <c r="N11" s="242"/>
      <c r="O11" s="243"/>
      <c r="P11" s="229"/>
    </row>
    <row r="12" spans="1:16" ht="13.5" thickBot="1">
      <c r="A12" s="244"/>
      <c r="B12" s="244"/>
      <c r="O12" s="239"/>
      <c r="P12" s="229"/>
    </row>
    <row r="13" spans="1:16" ht="13">
      <c r="A13" s="1244">
        <v>2</v>
      </c>
      <c r="B13" s="1247" t="s">
        <v>249</v>
      </c>
      <c r="C13" s="1247"/>
      <c r="D13" s="1247"/>
      <c r="E13" s="1247"/>
      <c r="F13" s="1247"/>
      <c r="G13" s="231"/>
      <c r="H13" s="1247" t="str">
        <f>B13</f>
        <v>KOREKSI KIMO THERMOHYGROMETER 15062874</v>
      </c>
      <c r="I13" s="1247"/>
      <c r="J13" s="1247"/>
      <c r="K13" s="1247"/>
      <c r="L13" s="1247"/>
      <c r="M13" s="231"/>
      <c r="N13" s="1248" t="s">
        <v>243</v>
      </c>
      <c r="O13" s="1248"/>
      <c r="P13" s="229"/>
    </row>
    <row r="14" spans="1:16" ht="13">
      <c r="A14" s="1245"/>
      <c r="B14" s="1249" t="s">
        <v>244</v>
      </c>
      <c r="C14" s="1249"/>
      <c r="D14" s="1249" t="s">
        <v>245</v>
      </c>
      <c r="E14" s="1249"/>
      <c r="F14" s="1249" t="s">
        <v>246</v>
      </c>
      <c r="H14" s="1249" t="s">
        <v>247</v>
      </c>
      <c r="I14" s="1249"/>
      <c r="J14" s="1249" t="s">
        <v>245</v>
      </c>
      <c r="K14" s="1249"/>
      <c r="L14" s="1249" t="s">
        <v>246</v>
      </c>
      <c r="N14" s="232" t="s">
        <v>244</v>
      </c>
      <c r="O14" s="245">
        <v>0.3</v>
      </c>
      <c r="P14" s="229"/>
    </row>
    <row r="15" spans="1:16" ht="14.5">
      <c r="A15" s="1245"/>
      <c r="B15" s="1242" t="s">
        <v>248</v>
      </c>
      <c r="C15" s="1242"/>
      <c r="D15" s="234">
        <v>2018</v>
      </c>
      <c r="E15" s="234">
        <v>2017</v>
      </c>
      <c r="F15" s="1249"/>
      <c r="H15" s="1243" t="s">
        <v>118</v>
      </c>
      <c r="I15" s="1242"/>
      <c r="J15" s="235">
        <f>D15</f>
        <v>2018</v>
      </c>
      <c r="K15" s="235">
        <f>E15</f>
        <v>2017</v>
      </c>
      <c r="L15" s="1249"/>
      <c r="N15" s="232" t="s">
        <v>118</v>
      </c>
      <c r="O15" s="245">
        <v>3.3</v>
      </c>
      <c r="P15" s="229"/>
    </row>
    <row r="16" spans="1:16" ht="13">
      <c r="A16" s="1245"/>
      <c r="B16" s="236"/>
      <c r="C16" s="237">
        <v>15</v>
      </c>
      <c r="D16" s="237">
        <v>0</v>
      </c>
      <c r="E16" s="237">
        <v>0.5</v>
      </c>
      <c r="F16" s="238">
        <f t="shared" ref="F16:F22" si="2">0.5*(MAX(D16:E16)-MIN(D16:E16))</f>
        <v>0.25</v>
      </c>
      <c r="H16" s="236"/>
      <c r="I16" s="237">
        <v>35</v>
      </c>
      <c r="J16" s="237">
        <v>-1.6</v>
      </c>
      <c r="K16" s="237">
        <v>-0.9</v>
      </c>
      <c r="L16" s="238">
        <f t="shared" ref="L16:L22" si="3">0.5*(MAX(J16:K16)-MIN(J16:K16))</f>
        <v>0.35000000000000003</v>
      </c>
      <c r="O16" s="239"/>
      <c r="P16" s="229"/>
    </row>
    <row r="17" spans="1:16" ht="13">
      <c r="A17" s="1245"/>
      <c r="B17" s="236"/>
      <c r="C17" s="237">
        <v>20</v>
      </c>
      <c r="D17" s="237">
        <v>-0.1</v>
      </c>
      <c r="E17" s="237">
        <v>0</v>
      </c>
      <c r="F17" s="238">
        <f t="shared" si="2"/>
        <v>0.05</v>
      </c>
      <c r="H17" s="236"/>
      <c r="I17" s="237">
        <v>40</v>
      </c>
      <c r="J17" s="237">
        <v>-1.6</v>
      </c>
      <c r="K17" s="237">
        <v>-1.1000000000000001</v>
      </c>
      <c r="L17" s="238">
        <f t="shared" si="3"/>
        <v>0.25</v>
      </c>
      <c r="O17" s="239"/>
      <c r="P17" s="229"/>
    </row>
    <row r="18" spans="1:16" ht="13">
      <c r="A18" s="1245"/>
      <c r="B18" s="236"/>
      <c r="C18" s="237">
        <v>25</v>
      </c>
      <c r="D18" s="237">
        <v>-0.2</v>
      </c>
      <c r="E18" s="237">
        <v>-0.5</v>
      </c>
      <c r="F18" s="238">
        <f t="shared" si="2"/>
        <v>0.15</v>
      </c>
      <c r="H18" s="236"/>
      <c r="I18" s="237">
        <v>50</v>
      </c>
      <c r="J18" s="237">
        <v>-1.5</v>
      </c>
      <c r="K18" s="237">
        <v>-1.4</v>
      </c>
      <c r="L18" s="238">
        <f t="shared" si="3"/>
        <v>5.0000000000000044E-2</v>
      </c>
      <c r="O18" s="239"/>
      <c r="P18" s="229"/>
    </row>
    <row r="19" spans="1:16" ht="13">
      <c r="A19" s="1245"/>
      <c r="B19" s="236"/>
      <c r="C19" s="240">
        <v>30</v>
      </c>
      <c r="D19" s="246">
        <v>-0.3</v>
      </c>
      <c r="E19" s="240">
        <v>-1</v>
      </c>
      <c r="F19" s="238">
        <f t="shared" si="2"/>
        <v>0.35</v>
      </c>
      <c r="H19" s="236"/>
      <c r="I19" s="240">
        <v>60</v>
      </c>
      <c r="J19" s="246">
        <v>-1.3</v>
      </c>
      <c r="K19" s="240">
        <v>-1.3</v>
      </c>
      <c r="L19" s="238">
        <f t="shared" si="3"/>
        <v>0</v>
      </c>
      <c r="O19" s="239"/>
      <c r="P19" s="229"/>
    </row>
    <row r="20" spans="1:16" ht="13">
      <c r="A20" s="1245"/>
      <c r="B20" s="236"/>
      <c r="C20" s="240">
        <v>35</v>
      </c>
      <c r="D20" s="246">
        <v>-0.3</v>
      </c>
      <c r="E20" s="240">
        <v>-1.6</v>
      </c>
      <c r="F20" s="238">
        <f t="shared" si="2"/>
        <v>0.65</v>
      </c>
      <c r="H20" s="236"/>
      <c r="I20" s="240">
        <v>70</v>
      </c>
      <c r="J20" s="246">
        <v>-1.1000000000000001</v>
      </c>
      <c r="K20" s="240">
        <v>-1</v>
      </c>
      <c r="L20" s="238">
        <f t="shared" si="3"/>
        <v>5.0000000000000044E-2</v>
      </c>
      <c r="O20" s="239"/>
      <c r="P20" s="229"/>
    </row>
    <row r="21" spans="1:16" ht="13">
      <c r="A21" s="1245"/>
      <c r="B21" s="236"/>
      <c r="C21" s="240">
        <v>37</v>
      </c>
      <c r="D21" s="246">
        <v>-0.3</v>
      </c>
      <c r="E21" s="240">
        <v>-1.8</v>
      </c>
      <c r="F21" s="238">
        <f t="shared" si="2"/>
        <v>0.75</v>
      </c>
      <c r="H21" s="236"/>
      <c r="I21" s="240">
        <v>80</v>
      </c>
      <c r="J21" s="246">
        <v>-0.7</v>
      </c>
      <c r="K21" s="240">
        <v>-0.4</v>
      </c>
      <c r="L21" s="238">
        <f t="shared" si="3"/>
        <v>0.14999999999999997</v>
      </c>
      <c r="O21" s="239"/>
      <c r="P21" s="229"/>
    </row>
    <row r="22" spans="1:16" ht="13.5" thickBot="1">
      <c r="A22" s="1246"/>
      <c r="B22" s="236"/>
      <c r="C22" s="240">
        <v>40</v>
      </c>
      <c r="D22" s="246">
        <v>-0.3</v>
      </c>
      <c r="E22" s="240">
        <v>-2.1</v>
      </c>
      <c r="F22" s="238">
        <f t="shared" si="2"/>
        <v>0.9</v>
      </c>
      <c r="G22" s="242"/>
      <c r="H22" s="236"/>
      <c r="I22" s="240">
        <v>90</v>
      </c>
      <c r="J22" s="246">
        <v>-0.3</v>
      </c>
      <c r="K22" s="240">
        <v>0.6</v>
      </c>
      <c r="L22" s="238">
        <f t="shared" si="3"/>
        <v>0.44999999999999996</v>
      </c>
      <c r="M22" s="242"/>
      <c r="N22" s="242"/>
      <c r="O22" s="243"/>
      <c r="P22" s="229"/>
    </row>
    <row r="23" spans="1:16" ht="13.5" thickBot="1">
      <c r="A23" s="244"/>
      <c r="B23" s="244"/>
      <c r="O23" s="239"/>
      <c r="P23" s="229"/>
    </row>
    <row r="24" spans="1:16" ht="13">
      <c r="A24" s="1244">
        <v>3</v>
      </c>
      <c r="B24" s="1247" t="s">
        <v>250</v>
      </c>
      <c r="C24" s="1247"/>
      <c r="D24" s="1247"/>
      <c r="E24" s="1247"/>
      <c r="F24" s="1247"/>
      <c r="G24" s="231"/>
      <c r="H24" s="1247" t="str">
        <f>B24</f>
        <v>KOREKSI KIMO THERMOHYGROMETER 14082463</v>
      </c>
      <c r="I24" s="1247"/>
      <c r="J24" s="1247"/>
      <c r="K24" s="1247"/>
      <c r="L24" s="1247"/>
      <c r="M24" s="231"/>
      <c r="N24" s="1248" t="s">
        <v>243</v>
      </c>
      <c r="O24" s="1248"/>
      <c r="P24" s="229"/>
    </row>
    <row r="25" spans="1:16" ht="13">
      <c r="A25" s="1245"/>
      <c r="B25" s="1249" t="s">
        <v>244</v>
      </c>
      <c r="C25" s="1249"/>
      <c r="D25" s="1249" t="s">
        <v>245</v>
      </c>
      <c r="E25" s="1249"/>
      <c r="F25" s="1249" t="s">
        <v>246</v>
      </c>
      <c r="H25" s="1249" t="s">
        <v>247</v>
      </c>
      <c r="I25" s="1249"/>
      <c r="J25" s="1249" t="s">
        <v>245</v>
      </c>
      <c r="K25" s="1249"/>
      <c r="L25" s="1249" t="s">
        <v>246</v>
      </c>
      <c r="N25" s="232" t="s">
        <v>244</v>
      </c>
      <c r="O25" s="245">
        <v>0.3</v>
      </c>
      <c r="P25" s="229"/>
    </row>
    <row r="26" spans="1:16" ht="14.5">
      <c r="A26" s="1245"/>
      <c r="B26" s="1242" t="s">
        <v>248</v>
      </c>
      <c r="C26" s="1242"/>
      <c r="D26" s="234">
        <v>2018</v>
      </c>
      <c r="E26" s="234">
        <v>2017</v>
      </c>
      <c r="F26" s="1249"/>
      <c r="H26" s="1243" t="s">
        <v>118</v>
      </c>
      <c r="I26" s="1242"/>
      <c r="J26" s="235">
        <f>D26</f>
        <v>2018</v>
      </c>
      <c r="K26" s="235">
        <f>E26</f>
        <v>2017</v>
      </c>
      <c r="L26" s="1249"/>
      <c r="N26" s="232" t="s">
        <v>118</v>
      </c>
      <c r="O26" s="245">
        <v>3.1</v>
      </c>
      <c r="P26" s="229"/>
    </row>
    <row r="27" spans="1:16" ht="13">
      <c r="A27" s="1245"/>
      <c r="B27" s="236"/>
      <c r="C27" s="237">
        <v>15</v>
      </c>
      <c r="D27" s="237">
        <v>0</v>
      </c>
      <c r="E27" s="237">
        <v>0.2</v>
      </c>
      <c r="F27" s="238">
        <f t="shared" ref="F27:F33" si="4">0.5*(MAX(D27:E27)-MIN(D27:E27))</f>
        <v>0.1</v>
      </c>
      <c r="H27" s="236"/>
      <c r="I27" s="237">
        <v>30</v>
      </c>
      <c r="J27" s="237">
        <v>-5.7</v>
      </c>
      <c r="K27" s="237">
        <v>-1.1000000000000001</v>
      </c>
      <c r="L27" s="238">
        <f t="shared" ref="L27:L33" si="5">0.5*(MAX(J27:K27)-MIN(J27:K27))</f>
        <v>2.2999999999999998</v>
      </c>
      <c r="O27" s="239"/>
      <c r="P27" s="229"/>
    </row>
    <row r="28" spans="1:16" ht="13">
      <c r="A28" s="1245"/>
      <c r="B28" s="236"/>
      <c r="C28" s="237">
        <v>20</v>
      </c>
      <c r="D28" s="237">
        <v>0</v>
      </c>
      <c r="E28" s="237">
        <v>0</v>
      </c>
      <c r="F28" s="238">
        <f t="shared" si="4"/>
        <v>0</v>
      </c>
      <c r="H28" s="236"/>
      <c r="I28" s="237">
        <v>40</v>
      </c>
      <c r="J28" s="237">
        <v>-5.3</v>
      </c>
      <c r="K28" s="237">
        <v>-1.9</v>
      </c>
      <c r="L28" s="238">
        <f t="shared" si="5"/>
        <v>1.7</v>
      </c>
      <c r="O28" s="239"/>
      <c r="P28" s="229"/>
    </row>
    <row r="29" spans="1:16" ht="13">
      <c r="A29" s="1245"/>
      <c r="B29" s="236"/>
      <c r="C29" s="237">
        <v>25</v>
      </c>
      <c r="D29" s="237">
        <v>-0.1</v>
      </c>
      <c r="E29" s="237">
        <v>-0.2</v>
      </c>
      <c r="F29" s="238">
        <f t="shared" si="4"/>
        <v>0.05</v>
      </c>
      <c r="H29" s="236"/>
      <c r="I29" s="237">
        <v>50</v>
      </c>
      <c r="J29" s="237">
        <v>-4.9000000000000004</v>
      </c>
      <c r="K29" s="237">
        <v>-2.2999999999999998</v>
      </c>
      <c r="L29" s="238">
        <f t="shared" si="5"/>
        <v>1.3000000000000003</v>
      </c>
      <c r="O29" s="239"/>
      <c r="P29" s="229"/>
    </row>
    <row r="30" spans="1:16" ht="13">
      <c r="A30" s="1245"/>
      <c r="B30" s="236"/>
      <c r="C30" s="240">
        <v>30</v>
      </c>
      <c r="D30" s="246">
        <v>-0.3</v>
      </c>
      <c r="E30" s="240">
        <v>-0.3</v>
      </c>
      <c r="F30" s="238">
        <f t="shared" si="4"/>
        <v>0</v>
      </c>
      <c r="H30" s="236"/>
      <c r="I30" s="240">
        <v>60</v>
      </c>
      <c r="J30" s="246">
        <v>-4.3</v>
      </c>
      <c r="K30" s="240">
        <v>-2.2000000000000002</v>
      </c>
      <c r="L30" s="238">
        <f t="shared" si="5"/>
        <v>1.0499999999999998</v>
      </c>
      <c r="O30" s="239"/>
      <c r="P30" s="229"/>
    </row>
    <row r="31" spans="1:16" ht="13">
      <c r="A31" s="1245"/>
      <c r="B31" s="236"/>
      <c r="C31" s="240">
        <v>35</v>
      </c>
      <c r="D31" s="246">
        <v>-0.5</v>
      </c>
      <c r="E31" s="240">
        <v>-0.4</v>
      </c>
      <c r="F31" s="238">
        <f t="shared" si="4"/>
        <v>4.9999999999999989E-2</v>
      </c>
      <c r="H31" s="236"/>
      <c r="I31" s="240">
        <v>70</v>
      </c>
      <c r="J31" s="246">
        <v>-3.6</v>
      </c>
      <c r="K31" s="240">
        <v>-1.6</v>
      </c>
      <c r="L31" s="238">
        <f t="shared" si="5"/>
        <v>1</v>
      </c>
      <c r="O31" s="239"/>
      <c r="P31" s="229"/>
    </row>
    <row r="32" spans="1:16" ht="13">
      <c r="A32" s="1245"/>
      <c r="B32" s="236"/>
      <c r="C32" s="240">
        <v>37</v>
      </c>
      <c r="D32" s="246">
        <v>-0.6</v>
      </c>
      <c r="E32" s="240">
        <v>-0.5</v>
      </c>
      <c r="F32" s="238">
        <f t="shared" si="4"/>
        <v>4.9999999999999989E-2</v>
      </c>
      <c r="H32" s="236"/>
      <c r="I32" s="240">
        <v>80</v>
      </c>
      <c r="J32" s="246">
        <v>-2.9</v>
      </c>
      <c r="K32" s="240">
        <v>-0.6</v>
      </c>
      <c r="L32" s="238">
        <f t="shared" si="5"/>
        <v>1.1499999999999999</v>
      </c>
      <c r="O32" s="239"/>
      <c r="P32" s="229"/>
    </row>
    <row r="33" spans="1:16" ht="13.5" thickBot="1">
      <c r="A33" s="1246"/>
      <c r="B33" s="236"/>
      <c r="C33" s="240">
        <v>40</v>
      </c>
      <c r="D33" s="246">
        <v>-0.7</v>
      </c>
      <c r="E33" s="240">
        <v>-0.5</v>
      </c>
      <c r="F33" s="238">
        <f t="shared" si="4"/>
        <v>9.9999999999999978E-2</v>
      </c>
      <c r="G33" s="242"/>
      <c r="H33" s="236"/>
      <c r="I33" s="240">
        <v>90</v>
      </c>
      <c r="J33" s="246">
        <v>-2</v>
      </c>
      <c r="K33" s="240">
        <v>0.9</v>
      </c>
      <c r="L33" s="238">
        <f t="shared" si="5"/>
        <v>1.45</v>
      </c>
      <c r="M33" s="242"/>
      <c r="N33" s="242"/>
      <c r="O33" s="243"/>
      <c r="P33" s="229"/>
    </row>
    <row r="34" spans="1:16" ht="13.5" thickBot="1">
      <c r="A34" s="244"/>
      <c r="B34" s="244"/>
      <c r="H34" s="247"/>
      <c r="O34" s="239"/>
      <c r="P34" s="229"/>
    </row>
    <row r="35" spans="1:16" ht="13.5" thickBot="1">
      <c r="A35" s="1221">
        <v>4</v>
      </c>
      <c r="B35" s="1224" t="s">
        <v>251</v>
      </c>
      <c r="C35" s="1225"/>
      <c r="D35" s="1225"/>
      <c r="E35" s="1225"/>
      <c r="F35" s="1226"/>
      <c r="G35" s="231"/>
      <c r="H35" s="1224" t="str">
        <f>B35</f>
        <v>KOREKSI KIMO THERMOHYGROMETER 15062872</v>
      </c>
      <c r="I35" s="1225"/>
      <c r="J35" s="1225"/>
      <c r="K35" s="1225"/>
      <c r="L35" s="1226"/>
      <c r="M35" s="231"/>
      <c r="N35" s="1237" t="s">
        <v>243</v>
      </c>
      <c r="O35" s="1238"/>
      <c r="P35" s="229"/>
    </row>
    <row r="36" spans="1:16" ht="13.5" thickBot="1">
      <c r="A36" s="1222"/>
      <c r="B36" s="1227" t="s">
        <v>244</v>
      </c>
      <c r="C36" s="1228"/>
      <c r="D36" s="1229" t="s">
        <v>245</v>
      </c>
      <c r="E36" s="1230"/>
      <c r="F36" s="1231" t="s">
        <v>246</v>
      </c>
      <c r="H36" s="1227" t="s">
        <v>247</v>
      </c>
      <c r="I36" s="1228"/>
      <c r="J36" s="1229" t="s">
        <v>245</v>
      </c>
      <c r="K36" s="1230"/>
      <c r="L36" s="1231" t="s">
        <v>246</v>
      </c>
      <c r="N36" s="248" t="s">
        <v>244</v>
      </c>
      <c r="O36" s="249">
        <v>0.6</v>
      </c>
      <c r="P36" s="229"/>
    </row>
    <row r="37" spans="1:16" ht="15" thickBot="1">
      <c r="A37" s="1222"/>
      <c r="B37" s="1233" t="s">
        <v>248</v>
      </c>
      <c r="C37" s="1234"/>
      <c r="D37" s="250">
        <v>2017</v>
      </c>
      <c r="E37" s="250">
        <v>2015</v>
      </c>
      <c r="F37" s="1232"/>
      <c r="H37" s="1235" t="s">
        <v>118</v>
      </c>
      <c r="I37" s="1236"/>
      <c r="J37" s="251">
        <f>D37</f>
        <v>2017</v>
      </c>
      <c r="K37" s="251">
        <f>E37</f>
        <v>2015</v>
      </c>
      <c r="L37" s="1232"/>
      <c r="N37" s="252" t="s">
        <v>118</v>
      </c>
      <c r="O37" s="253">
        <v>2.6</v>
      </c>
      <c r="P37" s="229"/>
    </row>
    <row r="38" spans="1:16" ht="13">
      <c r="A38" s="1222"/>
      <c r="C38" s="254">
        <v>15</v>
      </c>
      <c r="D38" s="255">
        <v>-0.1</v>
      </c>
      <c r="E38" s="255">
        <v>0.4</v>
      </c>
      <c r="F38" s="256">
        <f t="shared" ref="F38:F44" si="6">0.5*(MAX(D38:E38)-MIN(D38:E38))</f>
        <v>0.25</v>
      </c>
      <c r="H38" s="244"/>
      <c r="I38" s="254">
        <v>35</v>
      </c>
      <c r="J38" s="255">
        <v>-1.7</v>
      </c>
      <c r="K38" s="255">
        <v>-0.8</v>
      </c>
      <c r="L38" s="256">
        <f t="shared" ref="L38:L44" si="7">0.5*(MAX(J38:K38)-MIN(J38:K38))</f>
        <v>0.44999999999999996</v>
      </c>
      <c r="O38" s="239"/>
      <c r="P38" s="229"/>
    </row>
    <row r="39" spans="1:16" ht="13">
      <c r="A39" s="1222"/>
      <c r="C39" s="257">
        <v>20</v>
      </c>
      <c r="D39" s="237">
        <v>-0.3</v>
      </c>
      <c r="E39" s="237">
        <v>0</v>
      </c>
      <c r="F39" s="258">
        <f>0.5*(MAX(D39:E39)-MIN(D39:E39))</f>
        <v>0.15</v>
      </c>
      <c r="H39" s="244"/>
      <c r="I39" s="257">
        <v>40</v>
      </c>
      <c r="J39" s="237">
        <v>-1.5</v>
      </c>
      <c r="K39" s="237">
        <v>-0.9</v>
      </c>
      <c r="L39" s="258">
        <f t="shared" si="7"/>
        <v>0.3</v>
      </c>
      <c r="O39" s="239"/>
      <c r="P39" s="229"/>
    </row>
    <row r="40" spans="1:16" ht="13">
      <c r="A40" s="1222"/>
      <c r="C40" s="257">
        <v>25</v>
      </c>
      <c r="D40" s="237">
        <v>-0.5</v>
      </c>
      <c r="E40" s="237">
        <v>-0.5</v>
      </c>
      <c r="F40" s="258">
        <f t="shared" si="6"/>
        <v>0</v>
      </c>
      <c r="H40" s="244"/>
      <c r="I40" s="257">
        <v>50</v>
      </c>
      <c r="J40" s="237">
        <v>-1</v>
      </c>
      <c r="K40" s="237">
        <v>-1</v>
      </c>
      <c r="L40" s="258">
        <f t="shared" si="7"/>
        <v>0</v>
      </c>
      <c r="O40" s="239"/>
      <c r="P40" s="229"/>
    </row>
    <row r="41" spans="1:16" ht="13">
      <c r="A41" s="1222"/>
      <c r="C41" s="259">
        <v>30</v>
      </c>
      <c r="D41" s="241">
        <v>-0.6</v>
      </c>
      <c r="E41" s="240">
        <v>-1</v>
      </c>
      <c r="F41" s="258">
        <f t="shared" si="6"/>
        <v>0.2</v>
      </c>
      <c r="H41" s="244"/>
      <c r="I41" s="259">
        <v>60</v>
      </c>
      <c r="J41" s="241">
        <v>-0.3</v>
      </c>
      <c r="K41" s="240">
        <v>-0.9</v>
      </c>
      <c r="L41" s="258">
        <f t="shared" si="7"/>
        <v>0.30000000000000004</v>
      </c>
      <c r="O41" s="239"/>
      <c r="P41" s="229"/>
    </row>
    <row r="42" spans="1:16" ht="13">
      <c r="A42" s="1222"/>
      <c r="C42" s="259">
        <v>35</v>
      </c>
      <c r="D42" s="241">
        <v>-0.6</v>
      </c>
      <c r="E42" s="240">
        <v>-1.5</v>
      </c>
      <c r="F42" s="258">
        <f t="shared" si="6"/>
        <v>0.45</v>
      </c>
      <c r="H42" s="244"/>
      <c r="I42" s="259">
        <v>70</v>
      </c>
      <c r="J42" s="241">
        <v>0.7</v>
      </c>
      <c r="K42" s="240">
        <v>-0.7</v>
      </c>
      <c r="L42" s="258">
        <f t="shared" si="7"/>
        <v>0.7</v>
      </c>
      <c r="O42" s="239"/>
      <c r="P42" s="229"/>
    </row>
    <row r="43" spans="1:16" ht="13">
      <c r="A43" s="1222"/>
      <c r="C43" s="259">
        <v>37</v>
      </c>
      <c r="D43" s="241">
        <v>-0.6</v>
      </c>
      <c r="E43" s="240">
        <v>-1.8</v>
      </c>
      <c r="F43" s="258">
        <f t="shared" si="6"/>
        <v>0.60000000000000009</v>
      </c>
      <c r="H43" s="244"/>
      <c r="I43" s="259">
        <v>80</v>
      </c>
      <c r="J43" s="241">
        <v>1.9</v>
      </c>
      <c r="K43" s="240">
        <v>-0.4</v>
      </c>
      <c r="L43" s="258">
        <f t="shared" si="7"/>
        <v>1.1499999999999999</v>
      </c>
      <c r="O43" s="239"/>
      <c r="P43" s="229"/>
    </row>
    <row r="44" spans="1:16" ht="13.5" thickBot="1">
      <c r="A44" s="1223"/>
      <c r="B44" s="242"/>
      <c r="C44" s="260">
        <v>40</v>
      </c>
      <c r="D44" s="241">
        <v>-0.6</v>
      </c>
      <c r="E44" s="261">
        <v>-2.1</v>
      </c>
      <c r="F44" s="262">
        <f t="shared" si="6"/>
        <v>0.75</v>
      </c>
      <c r="G44" s="242"/>
      <c r="H44" s="263"/>
      <c r="I44" s="260">
        <v>90</v>
      </c>
      <c r="J44" s="264">
        <v>3.3</v>
      </c>
      <c r="K44" s="261">
        <v>0.2</v>
      </c>
      <c r="L44" s="262">
        <f t="shared" si="7"/>
        <v>1.5499999999999998</v>
      </c>
      <c r="M44" s="242"/>
      <c r="N44" s="242"/>
      <c r="O44" s="243"/>
      <c r="P44" s="229"/>
    </row>
    <row r="45" spans="1:16" ht="13.5" thickBot="1">
      <c r="A45" s="244"/>
      <c r="B45" s="244"/>
      <c r="O45" s="239"/>
      <c r="P45" s="229"/>
    </row>
    <row r="46" spans="1:16" ht="13.5" thickBot="1">
      <c r="A46" s="1221">
        <v>5</v>
      </c>
      <c r="B46" s="1224" t="s">
        <v>252</v>
      </c>
      <c r="C46" s="1225"/>
      <c r="D46" s="1225"/>
      <c r="E46" s="1225"/>
      <c r="F46" s="1226"/>
      <c r="G46" s="231"/>
      <c r="H46" s="1224" t="str">
        <f>B46</f>
        <v>KOREKSI KIMO THERMOHYGROMETER 15062875</v>
      </c>
      <c r="I46" s="1225"/>
      <c r="J46" s="1225"/>
      <c r="K46" s="1225"/>
      <c r="L46" s="1226"/>
      <c r="M46" s="231"/>
      <c r="N46" s="1237" t="s">
        <v>243</v>
      </c>
      <c r="O46" s="1238"/>
      <c r="P46" s="229"/>
    </row>
    <row r="47" spans="1:16" ht="13.5" thickBot="1">
      <c r="A47" s="1222"/>
      <c r="B47" s="1227" t="s">
        <v>244</v>
      </c>
      <c r="C47" s="1228"/>
      <c r="D47" s="1229" t="s">
        <v>245</v>
      </c>
      <c r="E47" s="1230"/>
      <c r="F47" s="1231" t="s">
        <v>246</v>
      </c>
      <c r="H47" s="1227" t="s">
        <v>247</v>
      </c>
      <c r="I47" s="1228"/>
      <c r="J47" s="1229" t="s">
        <v>245</v>
      </c>
      <c r="K47" s="1230"/>
      <c r="L47" s="1231" t="s">
        <v>246</v>
      </c>
      <c r="N47" s="248" t="s">
        <v>244</v>
      </c>
      <c r="O47" s="249">
        <v>0.4</v>
      </c>
      <c r="P47" s="229"/>
    </row>
    <row r="48" spans="1:16" ht="15" thickBot="1">
      <c r="A48" s="1222"/>
      <c r="B48" s="1233" t="s">
        <v>248</v>
      </c>
      <c r="C48" s="1234"/>
      <c r="D48" s="250">
        <v>2020</v>
      </c>
      <c r="E48" s="250">
        <v>2017</v>
      </c>
      <c r="F48" s="1232"/>
      <c r="H48" s="1235" t="s">
        <v>118</v>
      </c>
      <c r="I48" s="1236"/>
      <c r="J48" s="251">
        <f>D48</f>
        <v>2020</v>
      </c>
      <c r="K48" s="251">
        <f>E48</f>
        <v>2017</v>
      </c>
      <c r="L48" s="1232"/>
      <c r="N48" s="252" t="s">
        <v>118</v>
      </c>
      <c r="O48" s="253">
        <v>2.8</v>
      </c>
      <c r="P48" s="229"/>
    </row>
    <row r="49" spans="1:16" ht="13">
      <c r="A49" s="1222"/>
      <c r="C49" s="254">
        <v>15</v>
      </c>
      <c r="D49" s="255">
        <v>-0.3</v>
      </c>
      <c r="E49" s="255">
        <v>0.3</v>
      </c>
      <c r="F49" s="256">
        <f t="shared" ref="F49:F55" si="8">0.5*(MAX(D49:E49)-MIN(D49:E49))</f>
        <v>0.3</v>
      </c>
      <c r="H49" s="244"/>
      <c r="I49" s="254">
        <v>35</v>
      </c>
      <c r="J49" s="255">
        <v>-7.7</v>
      </c>
      <c r="K49" s="255">
        <v>-9.6</v>
      </c>
      <c r="L49" s="256">
        <f t="shared" ref="L49:L55" si="9">0.5*(MAX(J49:K49)-MIN(J49:K49))</f>
        <v>0.94999999999999973</v>
      </c>
      <c r="O49" s="239"/>
      <c r="P49" s="229"/>
    </row>
    <row r="50" spans="1:16" ht="13">
      <c r="A50" s="1222"/>
      <c r="C50" s="257">
        <v>20</v>
      </c>
      <c r="D50" s="237">
        <v>0.1</v>
      </c>
      <c r="E50" s="237">
        <v>0.3</v>
      </c>
      <c r="F50" s="258">
        <f t="shared" si="8"/>
        <v>9.9999999999999992E-2</v>
      </c>
      <c r="H50" s="244"/>
      <c r="I50" s="257">
        <v>40</v>
      </c>
      <c r="J50" s="237">
        <v>-7.2</v>
      </c>
      <c r="K50" s="237">
        <v>-8</v>
      </c>
      <c r="L50" s="258">
        <f t="shared" si="9"/>
        <v>0.39999999999999991</v>
      </c>
      <c r="O50" s="239"/>
      <c r="P50" s="229"/>
    </row>
    <row r="51" spans="1:16" ht="13">
      <c r="A51" s="1222"/>
      <c r="C51" s="257">
        <v>25</v>
      </c>
      <c r="D51" s="237">
        <v>0.4</v>
      </c>
      <c r="E51" s="237">
        <v>0.2</v>
      </c>
      <c r="F51" s="258">
        <f t="shared" si="8"/>
        <v>0.1</v>
      </c>
      <c r="H51" s="244"/>
      <c r="I51" s="257">
        <v>50</v>
      </c>
      <c r="J51" s="237">
        <v>-6.2</v>
      </c>
      <c r="K51" s="237">
        <v>-6.2</v>
      </c>
      <c r="L51" s="258">
        <f t="shared" si="9"/>
        <v>0</v>
      </c>
      <c r="O51" s="239"/>
      <c r="P51" s="229"/>
    </row>
    <row r="52" spans="1:16" ht="13">
      <c r="A52" s="1222"/>
      <c r="C52" s="259">
        <v>30</v>
      </c>
      <c r="D52" s="241">
        <v>0.6</v>
      </c>
      <c r="E52" s="241">
        <v>0.1</v>
      </c>
      <c r="F52" s="258">
        <f t="shared" si="8"/>
        <v>0.25</v>
      </c>
      <c r="H52" s="244"/>
      <c r="I52" s="259">
        <v>60</v>
      </c>
      <c r="J52" s="241">
        <v>-5.2</v>
      </c>
      <c r="K52" s="241">
        <v>-4.2</v>
      </c>
      <c r="L52" s="258">
        <f t="shared" si="9"/>
        <v>0.5</v>
      </c>
      <c r="O52" s="239"/>
      <c r="P52" s="229"/>
    </row>
    <row r="53" spans="1:16" ht="13">
      <c r="A53" s="1222"/>
      <c r="C53" s="259">
        <v>35</v>
      </c>
      <c r="D53" s="241">
        <v>0.7</v>
      </c>
      <c r="E53" s="241">
        <v>0</v>
      </c>
      <c r="F53" s="258">
        <f t="shared" si="8"/>
        <v>0.35</v>
      </c>
      <c r="H53" s="244"/>
      <c r="I53" s="259">
        <v>70</v>
      </c>
      <c r="J53" s="241">
        <v>-4.0999999999999996</v>
      </c>
      <c r="K53" s="241">
        <v>-2.1</v>
      </c>
      <c r="L53" s="258">
        <f t="shared" si="9"/>
        <v>0.99999999999999978</v>
      </c>
      <c r="O53" s="239"/>
      <c r="P53" s="229"/>
    </row>
    <row r="54" spans="1:16" ht="13">
      <c r="A54" s="1222"/>
      <c r="C54" s="259">
        <v>37</v>
      </c>
      <c r="D54" s="241">
        <v>0.7</v>
      </c>
      <c r="E54" s="241">
        <v>0</v>
      </c>
      <c r="F54" s="258">
        <f t="shared" si="8"/>
        <v>0.35</v>
      </c>
      <c r="H54" s="244"/>
      <c r="I54" s="259">
        <v>80</v>
      </c>
      <c r="J54" s="241">
        <v>-3</v>
      </c>
      <c r="K54" s="241">
        <v>0.2</v>
      </c>
      <c r="L54" s="258">
        <f t="shared" si="9"/>
        <v>1.6</v>
      </c>
      <c r="O54" s="239"/>
      <c r="P54" s="229"/>
    </row>
    <row r="55" spans="1:16" ht="13.5" thickBot="1">
      <c r="A55" s="1223"/>
      <c r="B55" s="242"/>
      <c r="C55" s="260">
        <v>40</v>
      </c>
      <c r="D55" s="264">
        <v>0.7</v>
      </c>
      <c r="E55" s="264">
        <v>-0.1</v>
      </c>
      <c r="F55" s="262">
        <f t="shared" si="8"/>
        <v>0.39999999999999997</v>
      </c>
      <c r="G55" s="242"/>
      <c r="H55" s="263"/>
      <c r="I55" s="260">
        <v>90</v>
      </c>
      <c r="J55" s="264">
        <v>-1.8</v>
      </c>
      <c r="K55" s="264">
        <v>2.7</v>
      </c>
      <c r="L55" s="262">
        <f t="shared" si="9"/>
        <v>2.25</v>
      </c>
      <c r="M55" s="242"/>
      <c r="N55" s="242"/>
      <c r="O55" s="243"/>
      <c r="P55" s="229"/>
    </row>
    <row r="56" spans="1:16" ht="13.5" thickBot="1">
      <c r="A56" s="265"/>
      <c r="B56" s="266"/>
      <c r="C56" s="266"/>
      <c r="D56" s="266"/>
      <c r="E56" s="267"/>
      <c r="F56" s="268"/>
      <c r="G56" s="269"/>
      <c r="H56" s="266"/>
      <c r="I56" s="266"/>
      <c r="J56" s="266"/>
      <c r="K56" s="267"/>
      <c r="L56" s="268"/>
      <c r="O56" s="239"/>
      <c r="P56" s="229"/>
    </row>
    <row r="57" spans="1:16" ht="13.5" thickBot="1">
      <c r="A57" s="1221">
        <v>6</v>
      </c>
      <c r="B57" s="1224" t="s">
        <v>253</v>
      </c>
      <c r="C57" s="1225"/>
      <c r="D57" s="1225"/>
      <c r="E57" s="1225"/>
      <c r="F57" s="1226"/>
      <c r="G57" s="231"/>
      <c r="H57" s="1224" t="str">
        <f>B57</f>
        <v>KOREKSI GREISINGER 34903046</v>
      </c>
      <c r="I57" s="1225"/>
      <c r="J57" s="1225"/>
      <c r="K57" s="1225"/>
      <c r="L57" s="1226"/>
      <c r="M57" s="231"/>
      <c r="N57" s="1237" t="s">
        <v>243</v>
      </c>
      <c r="O57" s="1238"/>
      <c r="P57" s="229"/>
    </row>
    <row r="58" spans="1:16" ht="13.5" thickBot="1">
      <c r="A58" s="1222"/>
      <c r="B58" s="1227" t="s">
        <v>244</v>
      </c>
      <c r="C58" s="1228"/>
      <c r="D58" s="1229" t="s">
        <v>245</v>
      </c>
      <c r="E58" s="1230"/>
      <c r="F58" s="1231" t="s">
        <v>246</v>
      </c>
      <c r="H58" s="1227" t="s">
        <v>247</v>
      </c>
      <c r="I58" s="1228"/>
      <c r="J58" s="1229" t="s">
        <v>245</v>
      </c>
      <c r="K58" s="1230"/>
      <c r="L58" s="1231" t="s">
        <v>246</v>
      </c>
      <c r="N58" s="248" t="s">
        <v>244</v>
      </c>
      <c r="O58" s="249">
        <v>0.8</v>
      </c>
      <c r="P58" s="229"/>
    </row>
    <row r="59" spans="1:16" ht="15" thickBot="1">
      <c r="A59" s="1222"/>
      <c r="B59" s="1233" t="s">
        <v>248</v>
      </c>
      <c r="C59" s="1234"/>
      <c r="D59" s="250">
        <v>2019</v>
      </c>
      <c r="E59" s="250">
        <v>2018</v>
      </c>
      <c r="F59" s="1232"/>
      <c r="H59" s="1235" t="s">
        <v>118</v>
      </c>
      <c r="I59" s="1236"/>
      <c r="J59" s="251">
        <f>D59</f>
        <v>2019</v>
      </c>
      <c r="K59" s="251">
        <f>E59</f>
        <v>2018</v>
      </c>
      <c r="L59" s="1232"/>
      <c r="N59" s="252" t="s">
        <v>118</v>
      </c>
      <c r="O59" s="270">
        <v>2.6</v>
      </c>
      <c r="P59" s="229"/>
    </row>
    <row r="60" spans="1:16" ht="13">
      <c r="A60" s="1222"/>
      <c r="C60" s="254">
        <v>15</v>
      </c>
      <c r="D60" s="255">
        <v>0.4</v>
      </c>
      <c r="E60" s="255">
        <v>0.4</v>
      </c>
      <c r="F60" s="256">
        <f t="shared" ref="F60:F66" si="10">0.5*(MAX(D60:E60)-MIN(D60:E60))</f>
        <v>0</v>
      </c>
      <c r="H60" s="244"/>
      <c r="I60" s="254">
        <v>30</v>
      </c>
      <c r="J60" s="255">
        <v>-1.5</v>
      </c>
      <c r="K60" s="255">
        <v>-4.9000000000000004</v>
      </c>
      <c r="L60" s="256">
        <f t="shared" ref="L60:L66" si="11">0.5*(MAX(J60:K60)-MIN(J60:K60))</f>
        <v>1.7000000000000002</v>
      </c>
      <c r="O60" s="239"/>
      <c r="P60" s="229"/>
    </row>
    <row r="61" spans="1:16" ht="13">
      <c r="A61" s="1222"/>
      <c r="C61" s="257">
        <v>20</v>
      </c>
      <c r="D61" s="237">
        <v>0.3</v>
      </c>
      <c r="E61" s="237">
        <v>0.2</v>
      </c>
      <c r="F61" s="258">
        <f t="shared" si="10"/>
        <v>4.9999999999999989E-2</v>
      </c>
      <c r="H61" s="244"/>
      <c r="I61" s="257">
        <v>40</v>
      </c>
      <c r="J61" s="237">
        <v>-3.8</v>
      </c>
      <c r="K61" s="237">
        <v>-3.4</v>
      </c>
      <c r="L61" s="258">
        <f t="shared" si="11"/>
        <v>0.19999999999999996</v>
      </c>
      <c r="O61" s="239"/>
      <c r="P61" s="229"/>
    </row>
    <row r="62" spans="1:16" ht="13">
      <c r="A62" s="1222"/>
      <c r="C62" s="257">
        <v>25</v>
      </c>
      <c r="D62" s="237">
        <v>0.2</v>
      </c>
      <c r="E62" s="237">
        <v>-0.1</v>
      </c>
      <c r="F62" s="258">
        <f t="shared" si="10"/>
        <v>0.15000000000000002</v>
      </c>
      <c r="H62" s="244"/>
      <c r="I62" s="257">
        <v>50</v>
      </c>
      <c r="J62" s="237">
        <v>-5.4</v>
      </c>
      <c r="K62" s="237">
        <v>-2.5</v>
      </c>
      <c r="L62" s="258">
        <f t="shared" si="11"/>
        <v>1.4500000000000002</v>
      </c>
      <c r="O62" s="239"/>
      <c r="P62" s="229"/>
    </row>
    <row r="63" spans="1:16" ht="13">
      <c r="A63" s="1222"/>
      <c r="C63" s="259">
        <v>30</v>
      </c>
      <c r="D63" s="240">
        <v>0.1</v>
      </c>
      <c r="E63" s="240">
        <v>-0.5</v>
      </c>
      <c r="F63" s="258">
        <f t="shared" si="10"/>
        <v>0.3</v>
      </c>
      <c r="H63" s="244"/>
      <c r="I63" s="259">
        <v>60</v>
      </c>
      <c r="J63" s="240">
        <v>-6.4</v>
      </c>
      <c r="K63" s="240">
        <v>-2</v>
      </c>
      <c r="L63" s="258">
        <f t="shared" si="11"/>
        <v>2.2000000000000002</v>
      </c>
      <c r="O63" s="239"/>
      <c r="P63" s="229"/>
    </row>
    <row r="64" spans="1:16" ht="13">
      <c r="A64" s="1222"/>
      <c r="C64" s="259">
        <v>35</v>
      </c>
      <c r="D64" s="240">
        <v>0.1</v>
      </c>
      <c r="E64" s="240">
        <v>-0.9</v>
      </c>
      <c r="F64" s="258">
        <f t="shared" si="10"/>
        <v>0.5</v>
      </c>
      <c r="H64" s="244"/>
      <c r="I64" s="259">
        <v>70</v>
      </c>
      <c r="J64" s="240">
        <v>-6.7</v>
      </c>
      <c r="K64" s="240">
        <v>-2.1</v>
      </c>
      <c r="L64" s="258">
        <f t="shared" si="11"/>
        <v>2.2999999999999998</v>
      </c>
      <c r="O64" s="239"/>
      <c r="P64" s="229"/>
    </row>
    <row r="65" spans="1:16" ht="13">
      <c r="A65" s="1222"/>
      <c r="C65" s="259">
        <v>37</v>
      </c>
      <c r="D65" s="240">
        <v>0.1</v>
      </c>
      <c r="E65" s="240">
        <v>-1.1000000000000001</v>
      </c>
      <c r="F65" s="258">
        <f t="shared" si="10"/>
        <v>0.60000000000000009</v>
      </c>
      <c r="H65" s="244"/>
      <c r="I65" s="259">
        <v>80</v>
      </c>
      <c r="J65" s="240">
        <v>-6.3</v>
      </c>
      <c r="K65" s="240">
        <v>-2.6</v>
      </c>
      <c r="L65" s="258">
        <f t="shared" si="11"/>
        <v>1.8499999999999999</v>
      </c>
      <c r="O65" s="239"/>
      <c r="P65" s="229"/>
    </row>
    <row r="66" spans="1:16" ht="13.5" thickBot="1">
      <c r="A66" s="1223"/>
      <c r="B66" s="242"/>
      <c r="C66" s="260">
        <v>40</v>
      </c>
      <c r="D66" s="261">
        <v>0.1</v>
      </c>
      <c r="E66" s="261">
        <v>-1.4</v>
      </c>
      <c r="F66" s="262">
        <f t="shared" si="10"/>
        <v>0.75</v>
      </c>
      <c r="G66" s="242"/>
      <c r="H66" s="263"/>
      <c r="I66" s="260">
        <v>90</v>
      </c>
      <c r="J66" s="261">
        <v>-5.2</v>
      </c>
      <c r="K66" s="261">
        <v>-2.6</v>
      </c>
      <c r="L66" s="262">
        <f t="shared" si="11"/>
        <v>1.3</v>
      </c>
      <c r="M66" s="242"/>
      <c r="N66" s="242"/>
      <c r="O66" s="243"/>
      <c r="P66" s="229"/>
    </row>
    <row r="67" spans="1:16" ht="13.5" thickBot="1">
      <c r="A67" s="265"/>
      <c r="B67" s="266"/>
      <c r="C67" s="266"/>
      <c r="D67" s="266"/>
      <c r="E67" s="267"/>
      <c r="F67" s="268"/>
      <c r="G67" s="269"/>
      <c r="H67" s="266"/>
      <c r="I67" s="266"/>
      <c r="J67" s="266"/>
      <c r="K67" s="267"/>
      <c r="L67" s="268"/>
      <c r="O67" s="239"/>
      <c r="P67" s="229"/>
    </row>
    <row r="68" spans="1:16" ht="13.5" thickBot="1">
      <c r="A68" s="1221">
        <v>7</v>
      </c>
      <c r="B68" s="1224" t="s">
        <v>254</v>
      </c>
      <c r="C68" s="1225"/>
      <c r="D68" s="1225"/>
      <c r="E68" s="1225"/>
      <c r="F68" s="1226"/>
      <c r="G68" s="231"/>
      <c r="H68" s="1224" t="str">
        <f>B68</f>
        <v>KOREKSI GREISINGER 34903053</v>
      </c>
      <c r="I68" s="1225"/>
      <c r="J68" s="1225"/>
      <c r="K68" s="1225"/>
      <c r="L68" s="1226"/>
      <c r="M68" s="231"/>
      <c r="N68" s="1237" t="s">
        <v>243</v>
      </c>
      <c r="O68" s="1238"/>
      <c r="P68" s="229"/>
    </row>
    <row r="69" spans="1:16" ht="13.5" thickBot="1">
      <c r="A69" s="1222"/>
      <c r="B69" s="1227" t="s">
        <v>244</v>
      </c>
      <c r="C69" s="1228"/>
      <c r="D69" s="1229" t="s">
        <v>245</v>
      </c>
      <c r="E69" s="1230"/>
      <c r="F69" s="1231" t="s">
        <v>246</v>
      </c>
      <c r="H69" s="1227" t="s">
        <v>247</v>
      </c>
      <c r="I69" s="1228"/>
      <c r="J69" s="1229" t="s">
        <v>245</v>
      </c>
      <c r="K69" s="1230"/>
      <c r="L69" s="1231" t="s">
        <v>246</v>
      </c>
      <c r="N69" s="248" t="s">
        <v>244</v>
      </c>
      <c r="O69" s="249">
        <v>0.3</v>
      </c>
      <c r="P69" s="229"/>
    </row>
    <row r="70" spans="1:16" ht="15" thickBot="1">
      <c r="A70" s="1222"/>
      <c r="B70" s="1233" t="s">
        <v>248</v>
      </c>
      <c r="C70" s="1234"/>
      <c r="D70" s="250">
        <v>2018</v>
      </c>
      <c r="E70" s="250">
        <v>2017</v>
      </c>
      <c r="F70" s="1232"/>
      <c r="H70" s="1235" t="s">
        <v>118</v>
      </c>
      <c r="I70" s="1236"/>
      <c r="J70" s="251">
        <f>D70</f>
        <v>2018</v>
      </c>
      <c r="K70" s="251">
        <f>E70</f>
        <v>2017</v>
      </c>
      <c r="L70" s="1232"/>
      <c r="N70" s="252" t="s">
        <v>118</v>
      </c>
      <c r="O70" s="253">
        <v>2.2999999999999998</v>
      </c>
      <c r="P70" s="229"/>
    </row>
    <row r="71" spans="1:16" ht="13">
      <c r="A71" s="1222"/>
      <c r="C71" s="254">
        <v>15</v>
      </c>
      <c r="D71" s="255">
        <v>0.3</v>
      </c>
      <c r="E71" s="255">
        <v>0.2</v>
      </c>
      <c r="F71" s="256">
        <f t="shared" ref="F71:F77" si="12">0.5*(MAX(D71:E71)-MIN(D71:E71))</f>
        <v>4.9999999999999989E-2</v>
      </c>
      <c r="H71" s="244"/>
      <c r="I71" s="254">
        <v>30</v>
      </c>
      <c r="J71" s="255">
        <v>1.8</v>
      </c>
      <c r="K71" s="255">
        <v>-0.1</v>
      </c>
      <c r="L71" s="256">
        <f t="shared" ref="L71:L77" si="13">0.5*(MAX(J71:K71)-MIN(J71:K71))</f>
        <v>0.95000000000000007</v>
      </c>
      <c r="O71" s="239"/>
      <c r="P71" s="229"/>
    </row>
    <row r="72" spans="1:16" ht="13">
      <c r="A72" s="1222"/>
      <c r="C72" s="257">
        <v>20</v>
      </c>
      <c r="D72" s="237">
        <v>0.1</v>
      </c>
      <c r="E72" s="237">
        <v>0.1</v>
      </c>
      <c r="F72" s="258">
        <f t="shared" si="12"/>
        <v>0</v>
      </c>
      <c r="H72" s="244"/>
      <c r="I72" s="257">
        <v>40</v>
      </c>
      <c r="J72" s="237">
        <v>1.2</v>
      </c>
      <c r="K72" s="237">
        <v>0</v>
      </c>
      <c r="L72" s="258">
        <f t="shared" si="13"/>
        <v>0.6</v>
      </c>
      <c r="O72" s="239"/>
      <c r="P72" s="229"/>
    </row>
    <row r="73" spans="1:16" ht="13">
      <c r="A73" s="1222"/>
      <c r="C73" s="257">
        <v>25</v>
      </c>
      <c r="D73" s="237">
        <v>-0.2</v>
      </c>
      <c r="E73" s="237">
        <v>0</v>
      </c>
      <c r="F73" s="258">
        <f t="shared" si="12"/>
        <v>0.1</v>
      </c>
      <c r="H73" s="244"/>
      <c r="I73" s="257">
        <v>50</v>
      </c>
      <c r="J73" s="237">
        <v>0.8</v>
      </c>
      <c r="K73" s="237">
        <v>0.6</v>
      </c>
      <c r="L73" s="258">
        <f t="shared" si="13"/>
        <v>0.10000000000000003</v>
      </c>
      <c r="O73" s="239"/>
      <c r="P73" s="229"/>
    </row>
    <row r="74" spans="1:16" ht="13">
      <c r="A74" s="1222"/>
      <c r="C74" s="259">
        <v>30</v>
      </c>
      <c r="D74" s="240">
        <v>-0.6</v>
      </c>
      <c r="E74" s="240">
        <v>-0.1</v>
      </c>
      <c r="F74" s="258">
        <f t="shared" si="12"/>
        <v>0.25</v>
      </c>
      <c r="H74" s="244"/>
      <c r="I74" s="259">
        <v>60</v>
      </c>
      <c r="J74" s="240">
        <v>0.7</v>
      </c>
      <c r="K74" s="240">
        <v>1.5</v>
      </c>
      <c r="L74" s="258">
        <f t="shared" si="13"/>
        <v>0.4</v>
      </c>
      <c r="O74" s="239"/>
      <c r="P74" s="229"/>
    </row>
    <row r="75" spans="1:16" ht="13">
      <c r="A75" s="1222"/>
      <c r="C75" s="259">
        <v>35</v>
      </c>
      <c r="D75" s="240">
        <v>-1.1000000000000001</v>
      </c>
      <c r="E75" s="240">
        <v>-0.1</v>
      </c>
      <c r="F75" s="258">
        <f t="shared" si="12"/>
        <v>0.5</v>
      </c>
      <c r="H75" s="244"/>
      <c r="I75" s="259">
        <v>70</v>
      </c>
      <c r="J75" s="240">
        <v>0.9</v>
      </c>
      <c r="K75" s="240">
        <v>2.8</v>
      </c>
      <c r="L75" s="258">
        <f t="shared" si="13"/>
        <v>0.95</v>
      </c>
      <c r="O75" s="239"/>
      <c r="P75" s="229"/>
    </row>
    <row r="76" spans="1:16" ht="13">
      <c r="A76" s="1222"/>
      <c r="C76" s="259">
        <v>37</v>
      </c>
      <c r="D76" s="240">
        <v>-1.4</v>
      </c>
      <c r="E76" s="240">
        <v>-0.1</v>
      </c>
      <c r="F76" s="258">
        <f t="shared" si="12"/>
        <v>0.64999999999999991</v>
      </c>
      <c r="H76" s="244"/>
      <c r="I76" s="259">
        <v>80</v>
      </c>
      <c r="J76" s="240">
        <v>1.2</v>
      </c>
      <c r="K76" s="240">
        <v>4.4000000000000004</v>
      </c>
      <c r="L76" s="258">
        <f t="shared" si="13"/>
        <v>1.6</v>
      </c>
      <c r="O76" s="239"/>
      <c r="P76" s="229"/>
    </row>
    <row r="77" spans="1:16" ht="13.5" thickBot="1">
      <c r="A77" s="1223"/>
      <c r="B77" s="242"/>
      <c r="C77" s="260">
        <v>40</v>
      </c>
      <c r="D77" s="261">
        <v>-1.7</v>
      </c>
      <c r="E77" s="261">
        <v>-0.1</v>
      </c>
      <c r="F77" s="262">
        <f t="shared" si="12"/>
        <v>0.79999999999999993</v>
      </c>
      <c r="G77" s="242"/>
      <c r="H77" s="263"/>
      <c r="I77" s="260">
        <v>90</v>
      </c>
      <c r="J77" s="261">
        <v>1.8</v>
      </c>
      <c r="K77" s="261">
        <v>4.4000000000000004</v>
      </c>
      <c r="L77" s="262">
        <f t="shared" si="13"/>
        <v>1.3000000000000003</v>
      </c>
      <c r="M77" s="242"/>
      <c r="N77" s="242"/>
      <c r="O77" s="243"/>
      <c r="P77" s="229"/>
    </row>
    <row r="78" spans="1:16" ht="13.5" thickBot="1">
      <c r="A78" s="265"/>
      <c r="B78" s="266"/>
      <c r="C78" s="266"/>
      <c r="D78" s="266"/>
      <c r="E78" s="267"/>
      <c r="F78" s="268"/>
      <c r="G78" s="269"/>
      <c r="H78" s="266"/>
      <c r="I78" s="266"/>
      <c r="J78" s="266"/>
      <c r="K78" s="267"/>
      <c r="L78" s="268"/>
      <c r="O78" s="239"/>
      <c r="P78" s="229"/>
    </row>
    <row r="79" spans="1:16" ht="13.5" thickBot="1">
      <c r="A79" s="1221">
        <v>8</v>
      </c>
      <c r="B79" s="1224" t="s">
        <v>255</v>
      </c>
      <c r="C79" s="1225"/>
      <c r="D79" s="1225"/>
      <c r="E79" s="1225"/>
      <c r="F79" s="1226"/>
      <c r="G79" s="231"/>
      <c r="H79" s="1224" t="str">
        <f>B79</f>
        <v>KOREKSI GREISINGER 34903051</v>
      </c>
      <c r="I79" s="1225"/>
      <c r="J79" s="1225"/>
      <c r="K79" s="1225"/>
      <c r="L79" s="1226"/>
      <c r="M79" s="231"/>
      <c r="N79" s="1237" t="s">
        <v>243</v>
      </c>
      <c r="O79" s="1238"/>
      <c r="P79" s="229"/>
    </row>
    <row r="80" spans="1:16" ht="13.5" thickBot="1">
      <c r="A80" s="1222"/>
      <c r="B80" s="1227" t="s">
        <v>244</v>
      </c>
      <c r="C80" s="1228"/>
      <c r="D80" s="1229" t="s">
        <v>245</v>
      </c>
      <c r="E80" s="1230"/>
      <c r="F80" s="1231" t="s">
        <v>246</v>
      </c>
      <c r="H80" s="1227" t="s">
        <v>247</v>
      </c>
      <c r="I80" s="1228"/>
      <c r="J80" s="1229" t="s">
        <v>245</v>
      </c>
      <c r="K80" s="1230"/>
      <c r="L80" s="1231" t="s">
        <v>246</v>
      </c>
      <c r="N80" s="248" t="s">
        <v>244</v>
      </c>
      <c r="O80" s="271">
        <v>0.3</v>
      </c>
      <c r="P80" s="229"/>
    </row>
    <row r="81" spans="1:16" ht="15" thickBot="1">
      <c r="A81" s="1222"/>
      <c r="B81" s="1233" t="s">
        <v>248</v>
      </c>
      <c r="C81" s="1234"/>
      <c r="D81" s="250">
        <v>2019</v>
      </c>
      <c r="E81" s="250">
        <v>2017</v>
      </c>
      <c r="F81" s="1232"/>
      <c r="H81" s="1235" t="s">
        <v>118</v>
      </c>
      <c r="I81" s="1236"/>
      <c r="J81" s="251">
        <f>D81</f>
        <v>2019</v>
      </c>
      <c r="K81" s="251">
        <f>E81</f>
        <v>2017</v>
      </c>
      <c r="L81" s="1232"/>
      <c r="N81" s="252" t="s">
        <v>118</v>
      </c>
      <c r="O81" s="270">
        <v>2.6</v>
      </c>
      <c r="P81" s="229"/>
    </row>
    <row r="82" spans="1:16" ht="13">
      <c r="A82" s="1222"/>
      <c r="C82" s="272">
        <v>15</v>
      </c>
      <c r="D82" s="255">
        <v>0</v>
      </c>
      <c r="E82" s="255">
        <v>-0.2</v>
      </c>
      <c r="F82" s="256">
        <f t="shared" ref="F82:F88" si="14">0.5*(MAX(D82:E82)-MIN(D82:E82))</f>
        <v>0.1</v>
      </c>
      <c r="H82" s="244"/>
      <c r="I82" s="272">
        <v>30</v>
      </c>
      <c r="J82" s="255">
        <v>-1.4</v>
      </c>
      <c r="K82" s="255">
        <v>1</v>
      </c>
      <c r="L82" s="256">
        <f t="shared" ref="L82:L88" si="15">0.5*(MAX(J82:K82)-MIN(J82:K82))</f>
        <v>1.2</v>
      </c>
      <c r="O82" s="239"/>
      <c r="P82" s="229"/>
    </row>
    <row r="83" spans="1:16" ht="13">
      <c r="A83" s="1222"/>
      <c r="C83" s="273">
        <v>20</v>
      </c>
      <c r="D83" s="255">
        <v>-0.2</v>
      </c>
      <c r="E83" s="255">
        <v>-0.2</v>
      </c>
      <c r="F83" s="258">
        <f>0.5*(MAX(D83:E83)-MIN(D83:E83))</f>
        <v>0</v>
      </c>
      <c r="H83" s="244"/>
      <c r="I83" s="273">
        <v>40</v>
      </c>
      <c r="J83" s="237">
        <v>-1.2</v>
      </c>
      <c r="K83" s="237">
        <v>1.1000000000000001</v>
      </c>
      <c r="L83" s="258">
        <f t="shared" si="15"/>
        <v>1.1499999999999999</v>
      </c>
      <c r="O83" s="239"/>
      <c r="P83" s="229"/>
    </row>
    <row r="84" spans="1:16" ht="13">
      <c r="A84" s="1222"/>
      <c r="C84" s="273">
        <v>25</v>
      </c>
      <c r="D84" s="255">
        <v>-0.4</v>
      </c>
      <c r="E84" s="255">
        <v>-0.2</v>
      </c>
      <c r="F84" s="258">
        <f t="shared" si="14"/>
        <v>0.1</v>
      </c>
      <c r="H84" s="244"/>
      <c r="I84" s="273">
        <v>50</v>
      </c>
      <c r="J84" s="237">
        <v>-1.2</v>
      </c>
      <c r="K84" s="237">
        <v>1.3</v>
      </c>
      <c r="L84" s="258">
        <f t="shared" si="15"/>
        <v>1.25</v>
      </c>
      <c r="O84" s="239"/>
      <c r="P84" s="229"/>
    </row>
    <row r="85" spans="1:16" ht="13">
      <c r="A85" s="1222"/>
      <c r="C85" s="274">
        <v>30</v>
      </c>
      <c r="D85" s="255">
        <v>-0.4</v>
      </c>
      <c r="E85" s="255">
        <v>-0.2</v>
      </c>
      <c r="F85" s="258">
        <f t="shared" si="14"/>
        <v>0.1</v>
      </c>
      <c r="H85" s="244"/>
      <c r="I85" s="274">
        <v>60</v>
      </c>
      <c r="J85" s="240">
        <v>-1.1000000000000001</v>
      </c>
      <c r="K85" s="240">
        <v>1.7</v>
      </c>
      <c r="L85" s="258">
        <f t="shared" si="15"/>
        <v>1.4</v>
      </c>
      <c r="O85" s="239"/>
      <c r="P85" s="229"/>
    </row>
    <row r="86" spans="1:16" ht="13">
      <c r="A86" s="1222"/>
      <c r="C86" s="274">
        <v>35</v>
      </c>
      <c r="D86" s="240">
        <v>-0.5</v>
      </c>
      <c r="E86" s="240">
        <v>-0.3</v>
      </c>
      <c r="F86" s="258">
        <f t="shared" si="14"/>
        <v>0.1</v>
      </c>
      <c r="H86" s="244"/>
      <c r="I86" s="274">
        <v>70</v>
      </c>
      <c r="J86" s="240">
        <v>-1.2</v>
      </c>
      <c r="K86" s="240">
        <v>2.1</v>
      </c>
      <c r="L86" s="258">
        <f t="shared" si="15"/>
        <v>1.65</v>
      </c>
      <c r="O86" s="239"/>
      <c r="P86" s="229"/>
    </row>
    <row r="87" spans="1:16" ht="13">
      <c r="A87" s="1222"/>
      <c r="C87" s="274">
        <v>37</v>
      </c>
      <c r="D87" s="240">
        <v>-0.5</v>
      </c>
      <c r="E87" s="240">
        <v>-0.3</v>
      </c>
      <c r="F87" s="258">
        <f t="shared" si="14"/>
        <v>0.1</v>
      </c>
      <c r="H87" s="244"/>
      <c r="I87" s="274">
        <v>80</v>
      </c>
      <c r="J87" s="240">
        <v>-1.2</v>
      </c>
      <c r="K87" s="240">
        <v>2.6</v>
      </c>
      <c r="L87" s="258">
        <f t="shared" si="15"/>
        <v>1.9</v>
      </c>
      <c r="O87" s="239"/>
      <c r="P87" s="229"/>
    </row>
    <row r="88" spans="1:16" ht="13.5" thickBot="1">
      <c r="A88" s="1223"/>
      <c r="B88" s="242"/>
      <c r="C88" s="275">
        <v>40</v>
      </c>
      <c r="D88" s="261">
        <v>-0.4</v>
      </c>
      <c r="E88" s="261">
        <v>-0.4</v>
      </c>
      <c r="F88" s="262">
        <f t="shared" si="14"/>
        <v>0</v>
      </c>
      <c r="G88" s="242"/>
      <c r="H88" s="263"/>
      <c r="I88" s="275">
        <v>90</v>
      </c>
      <c r="J88" s="261">
        <v>-1.3</v>
      </c>
      <c r="K88" s="261">
        <v>2.6</v>
      </c>
      <c r="L88" s="262">
        <f t="shared" si="15"/>
        <v>1.9500000000000002</v>
      </c>
      <c r="M88" s="242"/>
      <c r="N88" s="242"/>
      <c r="O88" s="243"/>
      <c r="P88" s="229"/>
    </row>
    <row r="89" spans="1:16" ht="13.5" thickBot="1">
      <c r="A89" s="265"/>
      <c r="B89" s="266"/>
      <c r="C89" s="266"/>
      <c r="D89" s="266"/>
      <c r="E89" s="267"/>
      <c r="F89" s="276"/>
      <c r="G89" s="269"/>
      <c r="H89" s="266"/>
      <c r="I89" s="266"/>
      <c r="J89" s="266"/>
      <c r="K89" s="267"/>
      <c r="L89" s="276"/>
      <c r="O89" s="239"/>
      <c r="P89" s="229"/>
    </row>
    <row r="90" spans="1:16" ht="13.5" thickBot="1">
      <c r="A90" s="1221">
        <v>9</v>
      </c>
      <c r="B90" s="1224" t="s">
        <v>256</v>
      </c>
      <c r="C90" s="1225"/>
      <c r="D90" s="1225"/>
      <c r="E90" s="1225"/>
      <c r="F90" s="1226"/>
      <c r="G90" s="231"/>
      <c r="H90" s="1224" t="str">
        <f>B90</f>
        <v>KOREKSI GREISINGER 34904091</v>
      </c>
      <c r="I90" s="1225"/>
      <c r="J90" s="1225"/>
      <c r="K90" s="1225"/>
      <c r="L90" s="1226"/>
      <c r="M90" s="231"/>
      <c r="N90" s="1237" t="s">
        <v>243</v>
      </c>
      <c r="O90" s="1238"/>
      <c r="P90" s="229"/>
    </row>
    <row r="91" spans="1:16" ht="13.5" thickBot="1">
      <c r="A91" s="1222"/>
      <c r="B91" s="1227" t="s">
        <v>244</v>
      </c>
      <c r="C91" s="1228"/>
      <c r="D91" s="1229" t="s">
        <v>245</v>
      </c>
      <c r="E91" s="1230"/>
      <c r="F91" s="1231" t="s">
        <v>246</v>
      </c>
      <c r="H91" s="1227" t="s">
        <v>247</v>
      </c>
      <c r="I91" s="1228"/>
      <c r="J91" s="1229" t="s">
        <v>245</v>
      </c>
      <c r="K91" s="1230"/>
      <c r="L91" s="1231" t="s">
        <v>246</v>
      </c>
      <c r="N91" s="248" t="s">
        <v>244</v>
      </c>
      <c r="O91" s="271">
        <v>0.3</v>
      </c>
      <c r="P91" s="229"/>
    </row>
    <row r="92" spans="1:16" ht="15" thickBot="1">
      <c r="A92" s="1222"/>
      <c r="B92" s="1233" t="s">
        <v>248</v>
      </c>
      <c r="C92" s="1234"/>
      <c r="D92" s="250">
        <v>2019</v>
      </c>
      <c r="E92" s="277" t="s">
        <v>257</v>
      </c>
      <c r="F92" s="1232"/>
      <c r="H92" s="1235" t="s">
        <v>118</v>
      </c>
      <c r="I92" s="1236"/>
      <c r="J92" s="251">
        <f>D92</f>
        <v>2019</v>
      </c>
      <c r="K92" s="251" t="str">
        <f>E92</f>
        <v>-</v>
      </c>
      <c r="L92" s="1232"/>
      <c r="N92" s="252" t="s">
        <v>118</v>
      </c>
      <c r="O92" s="270">
        <v>2.4</v>
      </c>
      <c r="P92" s="229"/>
    </row>
    <row r="93" spans="1:16" ht="13">
      <c r="A93" s="1222"/>
      <c r="B93" s="244"/>
      <c r="C93" s="272">
        <v>15</v>
      </c>
      <c r="D93" s="255">
        <v>0</v>
      </c>
      <c r="E93" s="278" t="s">
        <v>257</v>
      </c>
      <c r="F93" s="256">
        <f t="shared" ref="F93" si="16">0.5*(MAX(D93:E93)-MIN(D93:E93))</f>
        <v>0</v>
      </c>
      <c r="H93" s="244"/>
      <c r="I93" s="272">
        <v>30</v>
      </c>
      <c r="J93" s="255">
        <v>-1.2</v>
      </c>
      <c r="K93" s="278" t="s">
        <v>257</v>
      </c>
      <c r="L93" s="256">
        <f t="shared" ref="L93:L99" si="17">0.5*(MAX(J93:K93)-MIN(J93:K93))</f>
        <v>0</v>
      </c>
      <c r="O93" s="239"/>
      <c r="P93" s="229"/>
    </row>
    <row r="94" spans="1:16" ht="13">
      <c r="A94" s="1222"/>
      <c r="B94" s="244"/>
      <c r="C94" s="273">
        <v>20</v>
      </c>
      <c r="D94" s="255">
        <v>-0.2</v>
      </c>
      <c r="E94" s="279" t="s">
        <v>257</v>
      </c>
      <c r="F94" s="258">
        <f>0.5*(MAX(D94:E94)-MIN(D94:E94))</f>
        <v>0</v>
      </c>
      <c r="H94" s="244"/>
      <c r="I94" s="273">
        <v>40</v>
      </c>
      <c r="J94" s="255">
        <v>-1</v>
      </c>
      <c r="K94" s="279" t="s">
        <v>257</v>
      </c>
      <c r="L94" s="258">
        <f t="shared" si="17"/>
        <v>0</v>
      </c>
      <c r="O94" s="239"/>
      <c r="P94" s="229"/>
    </row>
    <row r="95" spans="1:16" ht="13">
      <c r="A95" s="1222"/>
      <c r="B95" s="244"/>
      <c r="C95" s="273">
        <v>25</v>
      </c>
      <c r="D95" s="255">
        <v>-0.4</v>
      </c>
      <c r="E95" s="279" t="s">
        <v>257</v>
      </c>
      <c r="F95" s="258">
        <f t="shared" ref="F95:F99" si="18">0.5*(MAX(D95:E95)-MIN(D95:E95))</f>
        <v>0</v>
      </c>
      <c r="H95" s="244"/>
      <c r="I95" s="273">
        <v>50</v>
      </c>
      <c r="J95" s="255">
        <v>-0.9</v>
      </c>
      <c r="K95" s="279" t="s">
        <v>257</v>
      </c>
      <c r="L95" s="258">
        <f t="shared" si="17"/>
        <v>0</v>
      </c>
      <c r="O95" s="239"/>
      <c r="P95" s="229"/>
    </row>
    <row r="96" spans="1:16" ht="13">
      <c r="A96" s="1222"/>
      <c r="B96" s="244"/>
      <c r="C96" s="274">
        <v>30</v>
      </c>
      <c r="D96" s="255">
        <v>-0.5</v>
      </c>
      <c r="E96" s="241" t="s">
        <v>257</v>
      </c>
      <c r="F96" s="258">
        <f t="shared" si="18"/>
        <v>0</v>
      </c>
      <c r="H96" s="244"/>
      <c r="I96" s="274">
        <v>60</v>
      </c>
      <c r="J96" s="255">
        <v>-0.8</v>
      </c>
      <c r="K96" s="241" t="s">
        <v>257</v>
      </c>
      <c r="L96" s="258">
        <f t="shared" si="17"/>
        <v>0</v>
      </c>
      <c r="O96" s="239"/>
      <c r="P96" s="229"/>
    </row>
    <row r="97" spans="1:16" ht="13">
      <c r="A97" s="1222"/>
      <c r="B97" s="244"/>
      <c r="C97" s="274">
        <v>35</v>
      </c>
      <c r="D97" s="255">
        <v>-0.5</v>
      </c>
      <c r="E97" s="241" t="s">
        <v>257</v>
      </c>
      <c r="F97" s="258">
        <f t="shared" si="18"/>
        <v>0</v>
      </c>
      <c r="H97" s="244"/>
      <c r="I97" s="274">
        <v>70</v>
      </c>
      <c r="J97" s="255">
        <v>-0.6</v>
      </c>
      <c r="K97" s="241" t="s">
        <v>257</v>
      </c>
      <c r="L97" s="258">
        <f t="shared" si="17"/>
        <v>0</v>
      </c>
      <c r="O97" s="239"/>
      <c r="P97" s="229"/>
    </row>
    <row r="98" spans="1:16" ht="13">
      <c r="A98" s="1222"/>
      <c r="B98" s="244"/>
      <c r="C98" s="274">
        <v>37</v>
      </c>
      <c r="D98" s="255">
        <v>-0.5</v>
      </c>
      <c r="E98" s="241" t="s">
        <v>257</v>
      </c>
      <c r="F98" s="258">
        <f t="shared" si="18"/>
        <v>0</v>
      </c>
      <c r="H98" s="244"/>
      <c r="I98" s="274">
        <v>80</v>
      </c>
      <c r="J98" s="255">
        <v>-0.5</v>
      </c>
      <c r="K98" s="241" t="s">
        <v>257</v>
      </c>
      <c r="L98" s="258">
        <f t="shared" si="17"/>
        <v>0</v>
      </c>
      <c r="O98" s="239"/>
      <c r="P98" s="229"/>
    </row>
    <row r="99" spans="1:16" ht="13.5" thickBot="1">
      <c r="A99" s="1223"/>
      <c r="B99" s="263"/>
      <c r="C99" s="275">
        <v>40</v>
      </c>
      <c r="D99" s="280">
        <v>-0.4</v>
      </c>
      <c r="E99" s="264" t="s">
        <v>257</v>
      </c>
      <c r="F99" s="262">
        <f t="shared" si="18"/>
        <v>0</v>
      </c>
      <c r="G99" s="242"/>
      <c r="H99" s="263"/>
      <c r="I99" s="275">
        <v>90</v>
      </c>
      <c r="J99" s="280">
        <v>-0.2</v>
      </c>
      <c r="K99" s="264" t="s">
        <v>257</v>
      </c>
      <c r="L99" s="262">
        <f t="shared" si="17"/>
        <v>0</v>
      </c>
      <c r="M99" s="242"/>
      <c r="N99" s="242"/>
      <c r="O99" s="243"/>
      <c r="P99" s="229"/>
    </row>
    <row r="100" spans="1:16" ht="13.5" thickBot="1">
      <c r="A100" s="265"/>
      <c r="B100" s="266"/>
      <c r="C100" s="266"/>
      <c r="D100" s="266"/>
      <c r="E100" s="267"/>
      <c r="F100" s="276"/>
      <c r="G100" s="269"/>
      <c r="H100" s="266"/>
      <c r="I100" s="266"/>
      <c r="J100" s="266"/>
      <c r="K100" s="267"/>
      <c r="L100" s="276"/>
      <c r="M100" s="269"/>
      <c r="O100" s="239"/>
      <c r="P100" s="229"/>
    </row>
    <row r="101" spans="1:16" ht="13.5" thickBot="1">
      <c r="A101" s="1221">
        <v>10</v>
      </c>
      <c r="B101" s="1224" t="s">
        <v>258</v>
      </c>
      <c r="C101" s="1225"/>
      <c r="D101" s="1225"/>
      <c r="E101" s="1225"/>
      <c r="F101" s="1226"/>
      <c r="G101" s="231"/>
      <c r="H101" s="1239" t="str">
        <f>B101</f>
        <v>KOREKSI Sekonic HE-21.000669</v>
      </c>
      <c r="I101" s="1240"/>
      <c r="J101" s="1240"/>
      <c r="K101" s="1240"/>
      <c r="L101" s="1241"/>
      <c r="M101" s="231"/>
      <c r="N101" s="1237" t="s">
        <v>243</v>
      </c>
      <c r="O101" s="1238"/>
      <c r="P101" s="229"/>
    </row>
    <row r="102" spans="1:16" ht="13.5" thickBot="1">
      <c r="A102" s="1222"/>
      <c r="B102" s="1227" t="s">
        <v>244</v>
      </c>
      <c r="C102" s="1228"/>
      <c r="D102" s="1229" t="s">
        <v>245</v>
      </c>
      <c r="E102" s="1230"/>
      <c r="F102" s="1231" t="s">
        <v>246</v>
      </c>
      <c r="H102" s="1227" t="s">
        <v>247</v>
      </c>
      <c r="I102" s="1228"/>
      <c r="J102" s="1229" t="s">
        <v>245</v>
      </c>
      <c r="K102" s="1230"/>
      <c r="L102" s="1231" t="s">
        <v>246</v>
      </c>
      <c r="N102" s="248" t="s">
        <v>244</v>
      </c>
      <c r="O102" s="271">
        <v>0.3</v>
      </c>
      <c r="P102" s="229"/>
    </row>
    <row r="103" spans="1:16" ht="15" thickBot="1">
      <c r="A103" s="1222"/>
      <c r="B103" s="1233" t="s">
        <v>248</v>
      </c>
      <c r="C103" s="1234"/>
      <c r="D103" s="250">
        <v>2019</v>
      </c>
      <c r="E103" s="250">
        <v>2016</v>
      </c>
      <c r="F103" s="1232"/>
      <c r="H103" s="1235" t="s">
        <v>118</v>
      </c>
      <c r="I103" s="1236"/>
      <c r="J103" s="251">
        <f>D103</f>
        <v>2019</v>
      </c>
      <c r="K103" s="251">
        <f>E103</f>
        <v>2016</v>
      </c>
      <c r="L103" s="1232"/>
      <c r="N103" s="252" t="s">
        <v>118</v>
      </c>
      <c r="O103" s="270">
        <v>1.5</v>
      </c>
      <c r="P103" s="229"/>
    </row>
    <row r="104" spans="1:16" ht="13">
      <c r="A104" s="1222"/>
      <c r="C104" s="272">
        <v>15</v>
      </c>
      <c r="D104" s="255">
        <v>0.2</v>
      </c>
      <c r="E104" s="255">
        <v>0.2</v>
      </c>
      <c r="F104" s="256">
        <f t="shared" ref="F104:F110" si="19">0.5*(MAX(D104:E104)-MIN(D104:E104))</f>
        <v>0</v>
      </c>
      <c r="H104" s="244"/>
      <c r="I104" s="272">
        <v>30</v>
      </c>
      <c r="J104" s="255">
        <v>-2.9</v>
      </c>
      <c r="K104" s="255">
        <v>-5.8</v>
      </c>
      <c r="L104" s="256">
        <f t="shared" ref="L104:L107" si="20">0.5*(MAX(J104:K104)-MIN(J104:K104))</f>
        <v>1.45</v>
      </c>
      <c r="O104" s="239"/>
      <c r="P104" s="229"/>
    </row>
    <row r="105" spans="1:16" ht="13">
      <c r="A105" s="1222"/>
      <c r="C105" s="273">
        <v>20</v>
      </c>
      <c r="D105" s="237">
        <v>0.2</v>
      </c>
      <c r="E105" s="237">
        <v>-0.7</v>
      </c>
      <c r="F105" s="258">
        <f t="shared" si="19"/>
        <v>0.44999999999999996</v>
      </c>
      <c r="H105" s="244"/>
      <c r="I105" s="273">
        <v>40</v>
      </c>
      <c r="J105" s="237">
        <v>-3.3</v>
      </c>
      <c r="K105" s="237">
        <v>-6.4</v>
      </c>
      <c r="L105" s="258">
        <f t="shared" si="20"/>
        <v>1.5500000000000003</v>
      </c>
      <c r="O105" s="239"/>
      <c r="P105" s="229"/>
    </row>
    <row r="106" spans="1:16" ht="13">
      <c r="A106" s="1222"/>
      <c r="C106" s="273">
        <v>25</v>
      </c>
      <c r="D106" s="237">
        <v>0.1</v>
      </c>
      <c r="E106" s="237">
        <v>-0.5</v>
      </c>
      <c r="F106" s="258">
        <f t="shared" si="19"/>
        <v>0.3</v>
      </c>
      <c r="H106" s="244"/>
      <c r="I106" s="273">
        <v>50</v>
      </c>
      <c r="J106" s="237">
        <v>-3.1</v>
      </c>
      <c r="K106" s="237">
        <v>-6.1</v>
      </c>
      <c r="L106" s="258">
        <f t="shared" si="20"/>
        <v>1.4999999999999998</v>
      </c>
      <c r="O106" s="239"/>
      <c r="P106" s="229"/>
    </row>
    <row r="107" spans="1:16" ht="13">
      <c r="A107" s="1222"/>
      <c r="C107" s="274">
        <v>30</v>
      </c>
      <c r="D107" s="240">
        <v>0.1</v>
      </c>
      <c r="E107" s="240">
        <v>0.2</v>
      </c>
      <c r="F107" s="258">
        <f t="shared" si="19"/>
        <v>0.05</v>
      </c>
      <c r="H107" s="244"/>
      <c r="I107" s="274">
        <v>60</v>
      </c>
      <c r="J107" s="240">
        <v>-2.1</v>
      </c>
      <c r="K107" s="240">
        <v>-5.6</v>
      </c>
      <c r="L107" s="258">
        <f t="shared" si="20"/>
        <v>1.7499999999999998</v>
      </c>
      <c r="O107" s="239"/>
      <c r="P107" s="229"/>
    </row>
    <row r="108" spans="1:16" ht="13">
      <c r="A108" s="1222"/>
      <c r="C108" s="274">
        <v>35</v>
      </c>
      <c r="D108" s="240">
        <v>0.2</v>
      </c>
      <c r="E108" s="240">
        <v>0.8</v>
      </c>
      <c r="F108" s="258">
        <f t="shared" si="19"/>
        <v>0.30000000000000004</v>
      </c>
      <c r="H108" s="244"/>
      <c r="I108" s="274">
        <v>70</v>
      </c>
      <c r="J108" s="240">
        <v>-0.3</v>
      </c>
      <c r="K108" s="240">
        <v>-5.0999999999999996</v>
      </c>
      <c r="L108" s="258">
        <f>0.5*(MAX(J108:K108)-MIN(J108:K108))</f>
        <v>2.4</v>
      </c>
      <c r="O108" s="239"/>
      <c r="P108" s="229"/>
    </row>
    <row r="109" spans="1:16" ht="13">
      <c r="A109" s="1222"/>
      <c r="C109" s="274">
        <v>37</v>
      </c>
      <c r="D109" s="240">
        <v>0.2</v>
      </c>
      <c r="E109" s="240">
        <v>0.4</v>
      </c>
      <c r="F109" s="258">
        <f t="shared" si="19"/>
        <v>0.1</v>
      </c>
      <c r="H109" s="244"/>
      <c r="I109" s="274">
        <v>80</v>
      </c>
      <c r="J109" s="240">
        <v>2.2000000000000002</v>
      </c>
      <c r="K109" s="240">
        <v>-4.7</v>
      </c>
      <c r="L109" s="258">
        <f t="shared" ref="L109:L110" si="21">0.5*(MAX(J109:K109)-MIN(J109:K109))</f>
        <v>3.45</v>
      </c>
      <c r="O109" s="239"/>
      <c r="P109" s="229"/>
    </row>
    <row r="110" spans="1:16" ht="13.5" thickBot="1">
      <c r="A110" s="1223"/>
      <c r="B110" s="242"/>
      <c r="C110" s="275">
        <v>40</v>
      </c>
      <c r="D110" s="281">
        <v>0.2</v>
      </c>
      <c r="E110" s="281">
        <v>0</v>
      </c>
      <c r="F110" s="262">
        <f t="shared" si="19"/>
        <v>0.1</v>
      </c>
      <c r="G110" s="242"/>
      <c r="H110" s="263"/>
      <c r="I110" s="275">
        <v>90</v>
      </c>
      <c r="J110" s="260">
        <v>5.4</v>
      </c>
      <c r="K110" s="260">
        <v>0</v>
      </c>
      <c r="L110" s="262">
        <f t="shared" si="21"/>
        <v>2.7</v>
      </c>
      <c r="M110" s="242"/>
      <c r="N110" s="242"/>
      <c r="O110" s="243"/>
      <c r="P110" s="229"/>
    </row>
    <row r="111" spans="1:16" ht="13.5" thickBot="1">
      <c r="A111" s="265"/>
      <c r="B111" s="266"/>
      <c r="C111" s="266"/>
      <c r="D111" s="266"/>
      <c r="E111" s="267"/>
      <c r="F111" s="276"/>
      <c r="G111" s="269"/>
      <c r="H111" s="266"/>
      <c r="I111" s="266"/>
      <c r="J111" s="266"/>
      <c r="K111" s="267"/>
      <c r="L111" s="276"/>
      <c r="M111" s="269"/>
      <c r="O111" s="239"/>
      <c r="P111" s="229"/>
    </row>
    <row r="112" spans="1:16" ht="13.5" thickBot="1">
      <c r="A112" s="1221">
        <v>11</v>
      </c>
      <c r="B112" s="1224" t="s">
        <v>259</v>
      </c>
      <c r="C112" s="1225"/>
      <c r="D112" s="1225"/>
      <c r="E112" s="1225"/>
      <c r="F112" s="1226"/>
      <c r="G112" s="231"/>
      <c r="H112" s="1239" t="str">
        <f>B112</f>
        <v>KOREKSI Sekonic HE-21.000670</v>
      </c>
      <c r="I112" s="1240"/>
      <c r="J112" s="1240"/>
      <c r="K112" s="1240"/>
      <c r="L112" s="1241"/>
      <c r="M112" s="231"/>
      <c r="N112" s="1237" t="s">
        <v>243</v>
      </c>
      <c r="O112" s="1238"/>
      <c r="P112" s="229"/>
    </row>
    <row r="113" spans="1:16" ht="13.5" thickBot="1">
      <c r="A113" s="1222"/>
      <c r="B113" s="1227" t="s">
        <v>244</v>
      </c>
      <c r="C113" s="1228"/>
      <c r="D113" s="1229" t="s">
        <v>245</v>
      </c>
      <c r="E113" s="1230"/>
      <c r="F113" s="1231" t="s">
        <v>246</v>
      </c>
      <c r="H113" s="1227" t="s">
        <v>247</v>
      </c>
      <c r="I113" s="1228"/>
      <c r="J113" s="1229" t="s">
        <v>245</v>
      </c>
      <c r="K113" s="1230"/>
      <c r="L113" s="1231" t="s">
        <v>246</v>
      </c>
      <c r="N113" s="248" t="s">
        <v>244</v>
      </c>
      <c r="O113" s="271">
        <v>0.3</v>
      </c>
      <c r="P113" s="229"/>
    </row>
    <row r="114" spans="1:16" ht="15" thickBot="1">
      <c r="A114" s="1222"/>
      <c r="B114" s="1233" t="s">
        <v>248</v>
      </c>
      <c r="C114" s="1234"/>
      <c r="D114" s="250">
        <v>2020</v>
      </c>
      <c r="E114" s="277" t="s">
        <v>257</v>
      </c>
      <c r="F114" s="1232"/>
      <c r="H114" s="1235" t="s">
        <v>118</v>
      </c>
      <c r="I114" s="1236"/>
      <c r="J114" s="251">
        <f>D114</f>
        <v>2020</v>
      </c>
      <c r="K114" s="251" t="str">
        <f>E114</f>
        <v>-</v>
      </c>
      <c r="L114" s="1232"/>
      <c r="N114" s="252" t="s">
        <v>118</v>
      </c>
      <c r="O114" s="270">
        <v>1.8</v>
      </c>
      <c r="P114" s="229"/>
    </row>
    <row r="115" spans="1:16" ht="13">
      <c r="A115" s="1222"/>
      <c r="C115" s="254">
        <v>15</v>
      </c>
      <c r="D115" s="255">
        <v>0.3</v>
      </c>
      <c r="E115" s="278" t="s">
        <v>257</v>
      </c>
      <c r="F115" s="256">
        <f t="shared" ref="F115:F121" si="22">0.5*(MAX(D115:E115)-MIN(D115:E115))</f>
        <v>0</v>
      </c>
      <c r="H115" s="244"/>
      <c r="I115" s="254">
        <v>35</v>
      </c>
      <c r="J115" s="255">
        <v>-5.2</v>
      </c>
      <c r="K115" s="278" t="s">
        <v>257</v>
      </c>
      <c r="L115" s="256">
        <f t="shared" ref="L115:L121" si="23">0.5*(MAX(J115:K115)-MIN(J115:K115))</f>
        <v>0</v>
      </c>
      <c r="O115" s="239"/>
      <c r="P115" s="229"/>
    </row>
    <row r="116" spans="1:16" ht="13">
      <c r="A116" s="1222"/>
      <c r="C116" s="257">
        <v>20</v>
      </c>
      <c r="D116" s="237">
        <v>0.4</v>
      </c>
      <c r="E116" s="279" t="s">
        <v>257</v>
      </c>
      <c r="F116" s="258">
        <f t="shared" si="22"/>
        <v>0</v>
      </c>
      <c r="H116" s="244"/>
      <c r="I116" s="257">
        <v>40</v>
      </c>
      <c r="J116" s="237">
        <v>-5.5</v>
      </c>
      <c r="K116" s="279" t="s">
        <v>257</v>
      </c>
      <c r="L116" s="258">
        <f t="shared" si="23"/>
        <v>0</v>
      </c>
      <c r="O116" s="239"/>
      <c r="P116" s="229"/>
    </row>
    <row r="117" spans="1:16" ht="13">
      <c r="A117" s="1222"/>
      <c r="C117" s="257">
        <v>25</v>
      </c>
      <c r="D117" s="237">
        <v>0.4</v>
      </c>
      <c r="E117" s="279" t="s">
        <v>257</v>
      </c>
      <c r="F117" s="258">
        <f t="shared" si="22"/>
        <v>0</v>
      </c>
      <c r="H117" s="244"/>
      <c r="I117" s="257">
        <v>50</v>
      </c>
      <c r="J117" s="237">
        <v>-5.5</v>
      </c>
      <c r="K117" s="279" t="s">
        <v>257</v>
      </c>
      <c r="L117" s="258">
        <f t="shared" si="23"/>
        <v>0</v>
      </c>
      <c r="O117" s="239"/>
      <c r="P117" s="229"/>
    </row>
    <row r="118" spans="1:16" ht="13">
      <c r="A118" s="1222"/>
      <c r="C118" s="259">
        <v>30</v>
      </c>
      <c r="D118" s="240">
        <v>0.5</v>
      </c>
      <c r="E118" s="241" t="s">
        <v>257</v>
      </c>
      <c r="F118" s="258">
        <f t="shared" si="22"/>
        <v>0</v>
      </c>
      <c r="H118" s="244"/>
      <c r="I118" s="259">
        <v>60</v>
      </c>
      <c r="J118" s="240">
        <v>-4.8</v>
      </c>
      <c r="K118" s="241" t="s">
        <v>257</v>
      </c>
      <c r="L118" s="258">
        <f t="shared" si="23"/>
        <v>0</v>
      </c>
      <c r="O118" s="239"/>
      <c r="P118" s="229"/>
    </row>
    <row r="119" spans="1:16" ht="13">
      <c r="A119" s="1222"/>
      <c r="C119" s="259">
        <v>35</v>
      </c>
      <c r="D119" s="240">
        <v>0.5</v>
      </c>
      <c r="E119" s="241" t="s">
        <v>257</v>
      </c>
      <c r="F119" s="258">
        <f t="shared" si="22"/>
        <v>0</v>
      </c>
      <c r="H119" s="244"/>
      <c r="I119" s="259">
        <v>70</v>
      </c>
      <c r="J119" s="240">
        <v>-3.4</v>
      </c>
      <c r="K119" s="241" t="s">
        <v>257</v>
      </c>
      <c r="L119" s="258">
        <f t="shared" si="23"/>
        <v>0</v>
      </c>
      <c r="O119" s="239"/>
      <c r="P119" s="229"/>
    </row>
    <row r="120" spans="1:16" ht="13">
      <c r="A120" s="1222"/>
      <c r="C120" s="259">
        <v>37</v>
      </c>
      <c r="D120" s="240">
        <v>0.5</v>
      </c>
      <c r="E120" s="241" t="s">
        <v>257</v>
      </c>
      <c r="F120" s="258">
        <f t="shared" si="22"/>
        <v>0</v>
      </c>
      <c r="H120" s="244"/>
      <c r="I120" s="259">
        <v>80</v>
      </c>
      <c r="J120" s="240">
        <v>-1.4</v>
      </c>
      <c r="K120" s="241" t="s">
        <v>257</v>
      </c>
      <c r="L120" s="258">
        <f t="shared" si="23"/>
        <v>0</v>
      </c>
      <c r="O120" s="239"/>
      <c r="P120" s="229"/>
    </row>
    <row r="121" spans="1:16" ht="13.5" thickBot="1">
      <c r="A121" s="1223"/>
      <c r="B121" s="242"/>
      <c r="C121" s="260">
        <v>40</v>
      </c>
      <c r="D121" s="261">
        <v>0.5</v>
      </c>
      <c r="E121" s="264" t="s">
        <v>257</v>
      </c>
      <c r="F121" s="262">
        <f t="shared" si="22"/>
        <v>0</v>
      </c>
      <c r="G121" s="242"/>
      <c r="H121" s="263"/>
      <c r="I121" s="260">
        <v>90</v>
      </c>
      <c r="J121" s="261">
        <v>1.3</v>
      </c>
      <c r="K121" s="264" t="s">
        <v>257</v>
      </c>
      <c r="L121" s="262">
        <f t="shared" si="23"/>
        <v>0</v>
      </c>
      <c r="M121" s="242"/>
      <c r="N121" s="242"/>
      <c r="O121" s="243"/>
      <c r="P121" s="229"/>
    </row>
    <row r="122" spans="1:16" ht="13.5" thickBot="1">
      <c r="A122" s="265"/>
      <c r="B122" s="266"/>
      <c r="C122" s="266"/>
      <c r="D122" s="266"/>
      <c r="E122" s="267"/>
      <c r="F122" s="276"/>
      <c r="G122" s="269"/>
      <c r="H122" s="266"/>
      <c r="I122" s="266"/>
      <c r="J122" s="266"/>
      <c r="K122" s="267"/>
      <c r="L122" s="276"/>
      <c r="O122" s="239"/>
      <c r="P122" s="229"/>
    </row>
    <row r="123" spans="1:16" ht="13.5" thickBot="1">
      <c r="A123" s="1221">
        <v>12</v>
      </c>
      <c r="B123" s="1224" t="s">
        <v>260</v>
      </c>
      <c r="C123" s="1225"/>
      <c r="D123" s="1225"/>
      <c r="E123" s="1225"/>
      <c r="F123" s="1226"/>
      <c r="G123" s="231"/>
      <c r="H123" s="1224" t="str">
        <f>B123</f>
        <v>KOREKSI EXTECH A.100611</v>
      </c>
      <c r="I123" s="1225"/>
      <c r="J123" s="1225"/>
      <c r="K123" s="1225"/>
      <c r="L123" s="1226"/>
      <c r="M123" s="231"/>
      <c r="N123" s="1237" t="s">
        <v>243</v>
      </c>
      <c r="O123" s="1238"/>
      <c r="P123" s="229"/>
    </row>
    <row r="124" spans="1:16" ht="13.5" thickBot="1">
      <c r="A124" s="1222"/>
      <c r="B124" s="1227" t="s">
        <v>244</v>
      </c>
      <c r="C124" s="1228"/>
      <c r="D124" s="1229" t="s">
        <v>245</v>
      </c>
      <c r="E124" s="1230"/>
      <c r="F124" s="1231" t="s">
        <v>246</v>
      </c>
      <c r="H124" s="1227" t="s">
        <v>247</v>
      </c>
      <c r="I124" s="1228"/>
      <c r="J124" s="1229" t="s">
        <v>245</v>
      </c>
      <c r="K124" s="1230"/>
      <c r="L124" s="1231" t="s">
        <v>246</v>
      </c>
      <c r="N124" s="248" t="s">
        <v>244</v>
      </c>
      <c r="O124" s="271">
        <v>0.3</v>
      </c>
      <c r="P124" s="229"/>
    </row>
    <row r="125" spans="1:16" ht="15" thickBot="1">
      <c r="A125" s="1222"/>
      <c r="B125" s="1233" t="s">
        <v>248</v>
      </c>
      <c r="C125" s="1234"/>
      <c r="D125" s="250">
        <v>2020</v>
      </c>
      <c r="E125" s="277" t="s">
        <v>257</v>
      </c>
      <c r="F125" s="1232"/>
      <c r="H125" s="1235" t="s">
        <v>118</v>
      </c>
      <c r="I125" s="1236"/>
      <c r="J125" s="251">
        <f>D125</f>
        <v>2020</v>
      </c>
      <c r="K125" s="251" t="str">
        <f>E125</f>
        <v>-</v>
      </c>
      <c r="L125" s="1232"/>
      <c r="N125" s="252" t="s">
        <v>118</v>
      </c>
      <c r="O125" s="270">
        <v>2.7</v>
      </c>
      <c r="P125" s="229"/>
    </row>
    <row r="126" spans="1:16" ht="13">
      <c r="A126" s="1222"/>
      <c r="C126" s="254">
        <v>15</v>
      </c>
      <c r="D126" s="255">
        <v>-0.6</v>
      </c>
      <c r="E126" s="278" t="s">
        <v>257</v>
      </c>
      <c r="F126" s="256">
        <f t="shared" ref="F126:F132" si="24">0.5*(MAX(D126:E126)-MIN(D126:E126))</f>
        <v>0</v>
      </c>
      <c r="H126" s="244"/>
      <c r="I126" s="254">
        <v>35</v>
      </c>
      <c r="J126" s="255">
        <v>-0.4</v>
      </c>
      <c r="K126" s="278" t="s">
        <v>257</v>
      </c>
      <c r="L126" s="256">
        <f t="shared" ref="L126:L132" si="25">0.5*(MAX(J126:K126)-MIN(J126:K126))</f>
        <v>0</v>
      </c>
      <c r="O126" s="239"/>
      <c r="P126" s="229"/>
    </row>
    <row r="127" spans="1:16" ht="13">
      <c r="A127" s="1222"/>
      <c r="C127" s="257">
        <v>20</v>
      </c>
      <c r="D127" s="237">
        <v>-0.5</v>
      </c>
      <c r="E127" s="279" t="s">
        <v>257</v>
      </c>
      <c r="F127" s="258">
        <f t="shared" si="24"/>
        <v>0</v>
      </c>
      <c r="H127" s="244"/>
      <c r="I127" s="257">
        <v>40</v>
      </c>
      <c r="J127" s="237">
        <v>-0.3</v>
      </c>
      <c r="K127" s="279" t="s">
        <v>257</v>
      </c>
      <c r="L127" s="258">
        <f t="shared" si="25"/>
        <v>0</v>
      </c>
      <c r="O127" s="239"/>
      <c r="P127" s="229"/>
    </row>
    <row r="128" spans="1:16" ht="13">
      <c r="A128" s="1222"/>
      <c r="C128" s="257">
        <v>25</v>
      </c>
      <c r="D128" s="237">
        <v>-0.4</v>
      </c>
      <c r="E128" s="279" t="s">
        <v>257</v>
      </c>
      <c r="F128" s="258">
        <f t="shared" si="24"/>
        <v>0</v>
      </c>
      <c r="H128" s="244"/>
      <c r="I128" s="257">
        <v>50</v>
      </c>
      <c r="J128" s="237">
        <v>-0.3</v>
      </c>
      <c r="K128" s="279" t="s">
        <v>257</v>
      </c>
      <c r="L128" s="258">
        <f t="shared" si="25"/>
        <v>0</v>
      </c>
      <c r="O128" s="239"/>
      <c r="P128" s="229"/>
    </row>
    <row r="129" spans="1:16" ht="13">
      <c r="A129" s="1222"/>
      <c r="C129" s="259">
        <v>30</v>
      </c>
      <c r="D129" s="240">
        <v>-0.2</v>
      </c>
      <c r="E129" s="241" t="s">
        <v>257</v>
      </c>
      <c r="F129" s="258">
        <f t="shared" si="24"/>
        <v>0</v>
      </c>
      <c r="H129" s="244"/>
      <c r="I129" s="259">
        <v>60</v>
      </c>
      <c r="J129" s="240">
        <v>-0.5</v>
      </c>
      <c r="K129" s="241" t="s">
        <v>257</v>
      </c>
      <c r="L129" s="258">
        <f t="shared" si="25"/>
        <v>0</v>
      </c>
      <c r="O129" s="239"/>
      <c r="P129" s="229"/>
    </row>
    <row r="130" spans="1:16" ht="13">
      <c r="A130" s="1222"/>
      <c r="C130" s="259">
        <v>35</v>
      </c>
      <c r="D130" s="240">
        <v>-0.1</v>
      </c>
      <c r="E130" s="241" t="s">
        <v>257</v>
      </c>
      <c r="F130" s="258">
        <f t="shared" si="24"/>
        <v>0</v>
      </c>
      <c r="H130" s="244"/>
      <c r="I130" s="259">
        <v>70</v>
      </c>
      <c r="J130" s="240">
        <v>-0.8</v>
      </c>
      <c r="K130" s="241" t="s">
        <v>257</v>
      </c>
      <c r="L130" s="258">
        <f t="shared" si="25"/>
        <v>0</v>
      </c>
      <c r="O130" s="239"/>
      <c r="P130" s="229"/>
    </row>
    <row r="131" spans="1:16" ht="13">
      <c r="A131" s="1222"/>
      <c r="C131" s="259">
        <v>37</v>
      </c>
      <c r="D131" s="240">
        <v>-0.1</v>
      </c>
      <c r="E131" s="241" t="s">
        <v>257</v>
      </c>
      <c r="F131" s="258">
        <f t="shared" si="24"/>
        <v>0</v>
      </c>
      <c r="H131" s="244"/>
      <c r="I131" s="259">
        <v>80</v>
      </c>
      <c r="J131" s="240">
        <v>-1.3</v>
      </c>
      <c r="K131" s="241" t="s">
        <v>257</v>
      </c>
      <c r="L131" s="258">
        <f t="shared" si="25"/>
        <v>0</v>
      </c>
      <c r="O131" s="239"/>
      <c r="P131" s="229"/>
    </row>
    <row r="132" spans="1:16" ht="13.5" thickBot="1">
      <c r="A132" s="1223"/>
      <c r="B132" s="242"/>
      <c r="C132" s="260">
        <v>40</v>
      </c>
      <c r="D132" s="261">
        <v>0</v>
      </c>
      <c r="E132" s="264" t="s">
        <v>257</v>
      </c>
      <c r="F132" s="262">
        <f t="shared" si="24"/>
        <v>0</v>
      </c>
      <c r="G132" s="242"/>
      <c r="H132" s="263"/>
      <c r="I132" s="260">
        <v>90</v>
      </c>
      <c r="J132" s="261">
        <v>-2</v>
      </c>
      <c r="K132" s="264" t="s">
        <v>257</v>
      </c>
      <c r="L132" s="262">
        <f t="shared" si="25"/>
        <v>0</v>
      </c>
      <c r="M132" s="242"/>
      <c r="N132" s="242"/>
      <c r="O132" s="243"/>
      <c r="P132" s="229"/>
    </row>
    <row r="133" spans="1:16" ht="13.5" thickBot="1">
      <c r="A133" s="265"/>
      <c r="B133" s="266"/>
      <c r="C133" s="266"/>
      <c r="D133" s="266"/>
      <c r="E133" s="267"/>
      <c r="F133" s="276"/>
      <c r="G133" s="269"/>
      <c r="H133" s="266"/>
      <c r="I133" s="266"/>
      <c r="J133" s="266"/>
      <c r="K133" s="267"/>
      <c r="L133" s="276"/>
      <c r="O133" s="239"/>
      <c r="P133" s="229"/>
    </row>
    <row r="134" spans="1:16" ht="13.5" thickBot="1">
      <c r="A134" s="1221">
        <v>13</v>
      </c>
      <c r="B134" s="1224" t="s">
        <v>261</v>
      </c>
      <c r="C134" s="1225"/>
      <c r="D134" s="1225"/>
      <c r="E134" s="1225"/>
      <c r="F134" s="1226"/>
      <c r="G134" s="231"/>
      <c r="H134" s="1224" t="str">
        <f>B134</f>
        <v>KOREKSI EXTECH A.100609</v>
      </c>
      <c r="I134" s="1225"/>
      <c r="J134" s="1225"/>
      <c r="K134" s="1225"/>
      <c r="L134" s="1226"/>
      <c r="M134" s="231"/>
      <c r="N134" s="1237" t="s">
        <v>243</v>
      </c>
      <c r="O134" s="1238"/>
      <c r="P134" s="229"/>
    </row>
    <row r="135" spans="1:16" ht="13.5" thickBot="1">
      <c r="A135" s="1222"/>
      <c r="B135" s="1227" t="s">
        <v>244</v>
      </c>
      <c r="C135" s="1228"/>
      <c r="D135" s="1229" t="s">
        <v>245</v>
      </c>
      <c r="E135" s="1230"/>
      <c r="F135" s="1231" t="s">
        <v>246</v>
      </c>
      <c r="H135" s="1227" t="s">
        <v>247</v>
      </c>
      <c r="I135" s="1228"/>
      <c r="J135" s="1229" t="s">
        <v>245</v>
      </c>
      <c r="K135" s="1230"/>
      <c r="L135" s="1231" t="s">
        <v>246</v>
      </c>
      <c r="N135" s="248" t="s">
        <v>244</v>
      </c>
      <c r="O135" s="271">
        <v>0.4</v>
      </c>
      <c r="P135" s="229"/>
    </row>
    <row r="136" spans="1:16" ht="15" thickBot="1">
      <c r="A136" s="1222"/>
      <c r="B136" s="1233" t="s">
        <v>248</v>
      </c>
      <c r="C136" s="1234"/>
      <c r="D136" s="250">
        <v>2020</v>
      </c>
      <c r="E136" s="277" t="s">
        <v>257</v>
      </c>
      <c r="F136" s="1232"/>
      <c r="H136" s="1235" t="s">
        <v>118</v>
      </c>
      <c r="I136" s="1236"/>
      <c r="J136" s="251">
        <f>D136</f>
        <v>2020</v>
      </c>
      <c r="K136" s="251" t="str">
        <f>E136</f>
        <v>-</v>
      </c>
      <c r="L136" s="1232"/>
      <c r="N136" s="252" t="s">
        <v>118</v>
      </c>
      <c r="O136" s="270">
        <v>2.2000000000000002</v>
      </c>
      <c r="P136" s="229"/>
    </row>
    <row r="137" spans="1:16" ht="13">
      <c r="A137" s="1222"/>
      <c r="C137" s="254">
        <v>15</v>
      </c>
      <c r="D137" s="255">
        <v>-0.2</v>
      </c>
      <c r="E137" s="278" t="s">
        <v>257</v>
      </c>
      <c r="F137" s="256">
        <f t="shared" ref="F137:F143" si="26">0.5*(MAX(D137:E137)-MIN(D137:E137))</f>
        <v>0</v>
      </c>
      <c r="H137" s="244"/>
      <c r="I137" s="254">
        <v>35</v>
      </c>
      <c r="J137" s="255">
        <v>0.6</v>
      </c>
      <c r="K137" s="278" t="s">
        <v>257</v>
      </c>
      <c r="L137" s="256">
        <f t="shared" ref="L137:L143" si="27">0.5*(MAX(J137:K137)-MIN(J137:K137))</f>
        <v>0</v>
      </c>
      <c r="O137" s="239"/>
      <c r="P137" s="229"/>
    </row>
    <row r="138" spans="1:16" ht="13">
      <c r="A138" s="1222"/>
      <c r="C138" s="257">
        <v>20</v>
      </c>
      <c r="D138" s="237">
        <v>-0.1</v>
      </c>
      <c r="E138" s="279" t="s">
        <v>257</v>
      </c>
      <c r="F138" s="258">
        <f t="shared" si="26"/>
        <v>0</v>
      </c>
      <c r="H138" s="244"/>
      <c r="I138" s="257">
        <v>40</v>
      </c>
      <c r="J138" s="237">
        <v>0.3</v>
      </c>
      <c r="K138" s="279" t="s">
        <v>257</v>
      </c>
      <c r="L138" s="258">
        <f t="shared" si="27"/>
        <v>0</v>
      </c>
      <c r="O138" s="239"/>
      <c r="P138" s="229"/>
    </row>
    <row r="139" spans="1:16" ht="13">
      <c r="A139" s="1222"/>
      <c r="C139" s="257">
        <v>25</v>
      </c>
      <c r="D139" s="237">
        <v>-0.1</v>
      </c>
      <c r="E139" s="279" t="s">
        <v>257</v>
      </c>
      <c r="F139" s="258">
        <f t="shared" si="26"/>
        <v>0</v>
      </c>
      <c r="H139" s="244"/>
      <c r="I139" s="257">
        <v>50</v>
      </c>
      <c r="J139" s="237">
        <v>-0.2</v>
      </c>
      <c r="K139" s="279" t="s">
        <v>257</v>
      </c>
      <c r="L139" s="258">
        <f t="shared" si="27"/>
        <v>0</v>
      </c>
      <c r="O139" s="239"/>
      <c r="P139" s="229"/>
    </row>
    <row r="140" spans="1:16" ht="13">
      <c r="A140" s="1222"/>
      <c r="C140" s="259">
        <v>30</v>
      </c>
      <c r="D140" s="240">
        <v>-0.3</v>
      </c>
      <c r="E140" s="241" t="s">
        <v>257</v>
      </c>
      <c r="F140" s="258">
        <f t="shared" si="26"/>
        <v>0</v>
      </c>
      <c r="H140" s="244"/>
      <c r="I140" s="259">
        <v>60</v>
      </c>
      <c r="J140" s="240">
        <v>-0.6</v>
      </c>
      <c r="K140" s="241" t="s">
        <v>257</v>
      </c>
      <c r="L140" s="258">
        <f t="shared" si="27"/>
        <v>0</v>
      </c>
      <c r="O140" s="239"/>
      <c r="P140" s="229"/>
    </row>
    <row r="141" spans="1:16" ht="13">
      <c r="A141" s="1222"/>
      <c r="C141" s="259">
        <v>35</v>
      </c>
      <c r="D141" s="240">
        <v>-0.6</v>
      </c>
      <c r="E141" s="241" t="s">
        <v>257</v>
      </c>
      <c r="F141" s="258">
        <f t="shared" si="26"/>
        <v>0</v>
      </c>
      <c r="H141" s="244"/>
      <c r="I141" s="259">
        <v>70</v>
      </c>
      <c r="J141" s="240">
        <v>-0.8</v>
      </c>
      <c r="K141" s="241" t="s">
        <v>257</v>
      </c>
      <c r="L141" s="258">
        <f t="shared" si="27"/>
        <v>0</v>
      </c>
      <c r="O141" s="239"/>
      <c r="P141" s="229"/>
    </row>
    <row r="142" spans="1:16" ht="13">
      <c r="A142" s="1222"/>
      <c r="C142" s="259">
        <v>37</v>
      </c>
      <c r="D142" s="240">
        <v>-0.8</v>
      </c>
      <c r="E142" s="241" t="s">
        <v>257</v>
      </c>
      <c r="F142" s="258">
        <f t="shared" si="26"/>
        <v>0</v>
      </c>
      <c r="H142" s="244"/>
      <c r="I142" s="259">
        <v>80</v>
      </c>
      <c r="J142" s="240">
        <v>-0.9</v>
      </c>
      <c r="K142" s="241" t="s">
        <v>257</v>
      </c>
      <c r="L142" s="258">
        <f t="shared" si="27"/>
        <v>0</v>
      </c>
      <c r="O142" s="239"/>
      <c r="P142" s="229"/>
    </row>
    <row r="143" spans="1:16" ht="13.5" thickBot="1">
      <c r="A143" s="1223"/>
      <c r="B143" s="242"/>
      <c r="C143" s="260">
        <v>40</v>
      </c>
      <c r="D143" s="261">
        <v>-1.1000000000000001</v>
      </c>
      <c r="E143" s="264" t="s">
        <v>257</v>
      </c>
      <c r="F143" s="262">
        <f t="shared" si="26"/>
        <v>0</v>
      </c>
      <c r="G143" s="242"/>
      <c r="H143" s="263"/>
      <c r="I143" s="260">
        <v>90</v>
      </c>
      <c r="J143" s="261">
        <v>-0.8</v>
      </c>
      <c r="K143" s="264" t="s">
        <v>257</v>
      </c>
      <c r="L143" s="262">
        <f t="shared" si="27"/>
        <v>0</v>
      </c>
      <c r="M143" s="242"/>
      <c r="N143" s="242"/>
      <c r="O143" s="243"/>
      <c r="P143" s="229"/>
    </row>
    <row r="144" spans="1:16" ht="13.5" thickBot="1">
      <c r="A144" s="265"/>
      <c r="B144" s="266"/>
      <c r="C144" s="266"/>
      <c r="D144" s="266"/>
      <c r="E144" s="267"/>
      <c r="F144" s="276"/>
      <c r="G144" s="269"/>
      <c r="H144" s="266"/>
      <c r="I144" s="266"/>
      <c r="J144" s="266"/>
      <c r="K144" s="267"/>
      <c r="L144" s="276"/>
      <c r="O144" s="239"/>
      <c r="P144" s="229"/>
    </row>
    <row r="145" spans="1:16" ht="13.5" thickBot="1">
      <c r="A145" s="1221">
        <v>14</v>
      </c>
      <c r="B145" s="1224" t="s">
        <v>262</v>
      </c>
      <c r="C145" s="1225"/>
      <c r="D145" s="1225"/>
      <c r="E145" s="1225"/>
      <c r="F145" s="1226"/>
      <c r="G145" s="231"/>
      <c r="H145" s="1224" t="str">
        <f>B145</f>
        <v>KOREKSI EXTECH A.100605</v>
      </c>
      <c r="I145" s="1225"/>
      <c r="J145" s="1225"/>
      <c r="K145" s="1225"/>
      <c r="L145" s="1226"/>
      <c r="M145" s="231"/>
      <c r="N145" s="1237" t="s">
        <v>243</v>
      </c>
      <c r="O145" s="1238"/>
      <c r="P145" s="229"/>
    </row>
    <row r="146" spans="1:16" ht="13.5" thickBot="1">
      <c r="A146" s="1222"/>
      <c r="B146" s="1227" t="s">
        <v>244</v>
      </c>
      <c r="C146" s="1228"/>
      <c r="D146" s="1229" t="s">
        <v>245</v>
      </c>
      <c r="E146" s="1230"/>
      <c r="F146" s="1231" t="s">
        <v>246</v>
      </c>
      <c r="H146" s="1227" t="s">
        <v>247</v>
      </c>
      <c r="I146" s="1228"/>
      <c r="J146" s="1229" t="s">
        <v>245</v>
      </c>
      <c r="K146" s="1230"/>
      <c r="L146" s="1231" t="s">
        <v>246</v>
      </c>
      <c r="N146" s="248" t="s">
        <v>244</v>
      </c>
      <c r="O146" s="271">
        <v>0.3</v>
      </c>
      <c r="P146" s="229"/>
    </row>
    <row r="147" spans="1:16" ht="15" thickBot="1">
      <c r="A147" s="1222"/>
      <c r="B147" s="1233" t="s">
        <v>248</v>
      </c>
      <c r="C147" s="1234"/>
      <c r="D147" s="250">
        <v>2020</v>
      </c>
      <c r="E147" s="277" t="s">
        <v>257</v>
      </c>
      <c r="F147" s="1232"/>
      <c r="H147" s="1235" t="s">
        <v>118</v>
      </c>
      <c r="I147" s="1236"/>
      <c r="J147" s="251">
        <f>D147</f>
        <v>2020</v>
      </c>
      <c r="K147" s="251" t="str">
        <f>E147</f>
        <v>-</v>
      </c>
      <c r="L147" s="1232"/>
      <c r="N147" s="252" t="s">
        <v>118</v>
      </c>
      <c r="O147" s="270">
        <v>2.7</v>
      </c>
      <c r="P147" s="229"/>
    </row>
    <row r="148" spans="1:16" ht="13">
      <c r="A148" s="1222"/>
      <c r="C148" s="254">
        <v>15</v>
      </c>
      <c r="D148" s="255">
        <v>-0.7</v>
      </c>
      <c r="E148" s="278" t="s">
        <v>257</v>
      </c>
      <c r="F148" s="256">
        <f t="shared" ref="F148:F154" si="28">0.5*(MAX(D148:E148)-MIN(D148:E148))</f>
        <v>0</v>
      </c>
      <c r="H148" s="244"/>
      <c r="I148" s="254">
        <v>35</v>
      </c>
      <c r="J148" s="255">
        <v>-1.4</v>
      </c>
      <c r="K148" s="278" t="s">
        <v>257</v>
      </c>
      <c r="L148" s="256">
        <f t="shared" ref="L148:L154" si="29">0.5*(MAX(J148:K148)-MIN(J148:K148))</f>
        <v>0</v>
      </c>
      <c r="O148" s="239"/>
      <c r="P148" s="229"/>
    </row>
    <row r="149" spans="1:16" ht="13">
      <c r="A149" s="1222"/>
      <c r="C149" s="257">
        <v>20</v>
      </c>
      <c r="D149" s="237">
        <v>-0.4</v>
      </c>
      <c r="E149" s="279" t="s">
        <v>257</v>
      </c>
      <c r="F149" s="258">
        <f t="shared" si="28"/>
        <v>0</v>
      </c>
      <c r="H149" s="244"/>
      <c r="I149" s="257">
        <v>40</v>
      </c>
      <c r="J149" s="237">
        <v>-1.3</v>
      </c>
      <c r="K149" s="279" t="s">
        <v>257</v>
      </c>
      <c r="L149" s="258">
        <f t="shared" si="29"/>
        <v>0</v>
      </c>
      <c r="O149" s="239"/>
      <c r="P149" s="229"/>
    </row>
    <row r="150" spans="1:16" ht="13">
      <c r="A150" s="1222"/>
      <c r="C150" s="257">
        <v>25</v>
      </c>
      <c r="D150" s="237">
        <v>-0.2</v>
      </c>
      <c r="E150" s="279" t="s">
        <v>257</v>
      </c>
      <c r="F150" s="258">
        <f t="shared" si="28"/>
        <v>0</v>
      </c>
      <c r="H150" s="244"/>
      <c r="I150" s="257">
        <v>50</v>
      </c>
      <c r="J150" s="237">
        <v>-1.3</v>
      </c>
      <c r="K150" s="279" t="s">
        <v>257</v>
      </c>
      <c r="L150" s="258">
        <f t="shared" si="29"/>
        <v>0</v>
      </c>
      <c r="O150" s="239"/>
      <c r="P150" s="229"/>
    </row>
    <row r="151" spans="1:16" ht="13">
      <c r="A151" s="1222"/>
      <c r="C151" s="259">
        <v>30</v>
      </c>
      <c r="D151" s="240">
        <v>0.1</v>
      </c>
      <c r="E151" s="241" t="s">
        <v>257</v>
      </c>
      <c r="F151" s="258">
        <f t="shared" si="28"/>
        <v>0</v>
      </c>
      <c r="H151" s="244"/>
      <c r="I151" s="259">
        <v>60</v>
      </c>
      <c r="J151" s="240">
        <v>-1.5</v>
      </c>
      <c r="K151" s="241" t="s">
        <v>257</v>
      </c>
      <c r="L151" s="258">
        <f t="shared" si="29"/>
        <v>0</v>
      </c>
      <c r="O151" s="239"/>
      <c r="P151" s="229"/>
    </row>
    <row r="152" spans="1:16" ht="13">
      <c r="A152" s="1222"/>
      <c r="C152" s="259">
        <v>35</v>
      </c>
      <c r="D152" s="240">
        <v>0.3</v>
      </c>
      <c r="E152" s="241" t="s">
        <v>257</v>
      </c>
      <c r="F152" s="258">
        <f t="shared" si="28"/>
        <v>0</v>
      </c>
      <c r="H152" s="244"/>
      <c r="I152" s="259">
        <v>70</v>
      </c>
      <c r="J152" s="240">
        <v>-1.9</v>
      </c>
      <c r="K152" s="241" t="s">
        <v>257</v>
      </c>
      <c r="L152" s="258">
        <f t="shared" si="29"/>
        <v>0</v>
      </c>
      <c r="O152" s="239"/>
      <c r="P152" s="229"/>
    </row>
    <row r="153" spans="1:16" ht="13">
      <c r="A153" s="1222"/>
      <c r="C153" s="259">
        <v>37</v>
      </c>
      <c r="D153" s="240">
        <v>0.4</v>
      </c>
      <c r="E153" s="241" t="s">
        <v>257</v>
      </c>
      <c r="F153" s="258">
        <f t="shared" si="28"/>
        <v>0</v>
      </c>
      <c r="H153" s="244"/>
      <c r="I153" s="259">
        <v>80</v>
      </c>
      <c r="J153" s="240">
        <v>-2.5</v>
      </c>
      <c r="K153" s="241" t="s">
        <v>257</v>
      </c>
      <c r="L153" s="258">
        <f t="shared" si="29"/>
        <v>0</v>
      </c>
      <c r="O153" s="239"/>
      <c r="P153" s="229"/>
    </row>
    <row r="154" spans="1:16" ht="13.5" thickBot="1">
      <c r="A154" s="1223"/>
      <c r="B154" s="242"/>
      <c r="C154" s="260">
        <v>40</v>
      </c>
      <c r="D154" s="261">
        <v>0.5</v>
      </c>
      <c r="E154" s="264" t="s">
        <v>257</v>
      </c>
      <c r="F154" s="262">
        <f t="shared" si="28"/>
        <v>0</v>
      </c>
      <c r="G154" s="242"/>
      <c r="H154" s="263"/>
      <c r="I154" s="260">
        <v>90</v>
      </c>
      <c r="J154" s="261">
        <v>-3.2</v>
      </c>
      <c r="K154" s="264" t="s">
        <v>257</v>
      </c>
      <c r="L154" s="262">
        <f t="shared" si="29"/>
        <v>0</v>
      </c>
      <c r="M154" s="242"/>
      <c r="N154" s="242"/>
      <c r="O154" s="243"/>
      <c r="P154" s="229"/>
    </row>
    <row r="155" spans="1:16" ht="13.5" thickBot="1">
      <c r="A155" s="265"/>
      <c r="B155" s="266"/>
      <c r="C155" s="266"/>
      <c r="D155" s="266"/>
      <c r="E155" s="267"/>
      <c r="F155" s="276"/>
      <c r="G155" s="269"/>
      <c r="H155" s="266"/>
      <c r="I155" s="266"/>
      <c r="J155" s="266"/>
      <c r="K155" s="267"/>
      <c r="L155" s="276"/>
      <c r="O155" s="239"/>
      <c r="P155" s="229"/>
    </row>
    <row r="156" spans="1:16" ht="13.5" thickBot="1">
      <c r="A156" s="1221">
        <v>15</v>
      </c>
      <c r="B156" s="1224" t="s">
        <v>263</v>
      </c>
      <c r="C156" s="1225"/>
      <c r="D156" s="1225"/>
      <c r="E156" s="1225"/>
      <c r="F156" s="1226"/>
      <c r="G156" s="231"/>
      <c r="H156" s="1224" t="str">
        <f>B156</f>
        <v>KOREKSI EXTECH A.100617</v>
      </c>
      <c r="I156" s="1225"/>
      <c r="J156" s="1225"/>
      <c r="K156" s="1225"/>
      <c r="L156" s="1226"/>
      <c r="M156" s="231"/>
      <c r="N156" s="1237" t="s">
        <v>243</v>
      </c>
      <c r="O156" s="1238"/>
      <c r="P156" s="229"/>
    </row>
    <row r="157" spans="1:16" ht="13.5" thickBot="1">
      <c r="A157" s="1222"/>
      <c r="B157" s="1227" t="s">
        <v>244</v>
      </c>
      <c r="C157" s="1228"/>
      <c r="D157" s="1229" t="s">
        <v>245</v>
      </c>
      <c r="E157" s="1230"/>
      <c r="F157" s="1231" t="s">
        <v>246</v>
      </c>
      <c r="H157" s="1227" t="s">
        <v>247</v>
      </c>
      <c r="I157" s="1228"/>
      <c r="J157" s="1229" t="s">
        <v>245</v>
      </c>
      <c r="K157" s="1230"/>
      <c r="L157" s="1231" t="s">
        <v>246</v>
      </c>
      <c r="N157" s="248" t="s">
        <v>244</v>
      </c>
      <c r="O157" s="271">
        <v>0.3</v>
      </c>
      <c r="P157" s="229"/>
    </row>
    <row r="158" spans="1:16" ht="15" thickBot="1">
      <c r="A158" s="1222"/>
      <c r="B158" s="1233" t="s">
        <v>248</v>
      </c>
      <c r="C158" s="1234"/>
      <c r="D158" s="250">
        <v>2020</v>
      </c>
      <c r="E158" s="277" t="s">
        <v>257</v>
      </c>
      <c r="F158" s="1232"/>
      <c r="H158" s="1235" t="s">
        <v>118</v>
      </c>
      <c r="I158" s="1236"/>
      <c r="J158" s="251">
        <f>D158</f>
        <v>2020</v>
      </c>
      <c r="K158" s="251" t="str">
        <f>E158</f>
        <v>-</v>
      </c>
      <c r="L158" s="1232"/>
      <c r="N158" s="252" t="s">
        <v>118</v>
      </c>
      <c r="O158" s="270">
        <v>2.8</v>
      </c>
      <c r="P158" s="229"/>
    </row>
    <row r="159" spans="1:16" ht="13">
      <c r="A159" s="1222"/>
      <c r="C159" s="254">
        <v>15</v>
      </c>
      <c r="D159" s="255">
        <v>0.1</v>
      </c>
      <c r="E159" s="278" t="s">
        <v>257</v>
      </c>
      <c r="F159" s="256">
        <f t="shared" ref="F159:F165" si="30">0.5*(MAX(D159:E159)-MIN(D159:E159))</f>
        <v>0</v>
      </c>
      <c r="H159" s="244"/>
      <c r="I159" s="254">
        <v>30</v>
      </c>
      <c r="J159" s="255">
        <v>0.1</v>
      </c>
      <c r="K159" s="278" t="s">
        <v>257</v>
      </c>
      <c r="L159" s="256">
        <f t="shared" ref="L159:L165" si="31">0.5*(MAX(J159:K159)-MIN(J159:K159))</f>
        <v>0</v>
      </c>
      <c r="O159" s="239"/>
      <c r="P159" s="229"/>
    </row>
    <row r="160" spans="1:16" ht="13">
      <c r="A160" s="1222"/>
      <c r="C160" s="257">
        <v>20</v>
      </c>
      <c r="D160" s="237">
        <v>0.1</v>
      </c>
      <c r="E160" s="279" t="s">
        <v>257</v>
      </c>
      <c r="F160" s="258">
        <f t="shared" si="30"/>
        <v>0</v>
      </c>
      <c r="H160" s="244"/>
      <c r="I160" s="257">
        <v>40</v>
      </c>
      <c r="J160" s="237">
        <v>0.2</v>
      </c>
      <c r="K160" s="279" t="s">
        <v>257</v>
      </c>
      <c r="L160" s="258">
        <f t="shared" si="31"/>
        <v>0</v>
      </c>
      <c r="O160" s="239"/>
      <c r="P160" s="229"/>
    </row>
    <row r="161" spans="1:16" ht="13">
      <c r="A161" s="1222"/>
      <c r="C161" s="257">
        <v>25</v>
      </c>
      <c r="D161" s="237">
        <v>0</v>
      </c>
      <c r="E161" s="279" t="s">
        <v>257</v>
      </c>
      <c r="F161" s="258">
        <f t="shared" si="30"/>
        <v>0</v>
      </c>
      <c r="H161" s="244"/>
      <c r="I161" s="257">
        <v>50</v>
      </c>
      <c r="J161" s="237">
        <v>0.2</v>
      </c>
      <c r="K161" s="279" t="s">
        <v>257</v>
      </c>
      <c r="L161" s="258">
        <f t="shared" si="31"/>
        <v>0</v>
      </c>
      <c r="O161" s="239"/>
      <c r="P161" s="229"/>
    </row>
    <row r="162" spans="1:16" ht="13">
      <c r="A162" s="1222"/>
      <c r="C162" s="259">
        <v>30</v>
      </c>
      <c r="D162" s="240">
        <v>-0.2</v>
      </c>
      <c r="E162" s="241" t="s">
        <v>257</v>
      </c>
      <c r="F162" s="258">
        <f t="shared" si="30"/>
        <v>0</v>
      </c>
      <c r="H162" s="244"/>
      <c r="I162" s="259">
        <v>60</v>
      </c>
      <c r="J162" s="240">
        <v>0</v>
      </c>
      <c r="K162" s="241" t="s">
        <v>257</v>
      </c>
      <c r="L162" s="258">
        <f t="shared" si="31"/>
        <v>0</v>
      </c>
      <c r="O162" s="239"/>
      <c r="P162" s="229"/>
    </row>
    <row r="163" spans="1:16" ht="13">
      <c r="A163" s="1222"/>
      <c r="C163" s="259">
        <v>35</v>
      </c>
      <c r="D163" s="240">
        <v>-0.5</v>
      </c>
      <c r="E163" s="241" t="s">
        <v>257</v>
      </c>
      <c r="F163" s="258">
        <f t="shared" si="30"/>
        <v>0</v>
      </c>
      <c r="H163" s="244"/>
      <c r="I163" s="259">
        <v>70</v>
      </c>
      <c r="J163" s="240">
        <v>-0.3</v>
      </c>
      <c r="K163" s="241" t="s">
        <v>257</v>
      </c>
      <c r="L163" s="258">
        <f t="shared" si="31"/>
        <v>0</v>
      </c>
      <c r="O163" s="239"/>
      <c r="P163" s="229"/>
    </row>
    <row r="164" spans="1:16" ht="13">
      <c r="A164" s="1222"/>
      <c r="C164" s="259">
        <v>37</v>
      </c>
      <c r="D164" s="240">
        <v>-0.6</v>
      </c>
      <c r="E164" s="241" t="s">
        <v>257</v>
      </c>
      <c r="F164" s="258">
        <f t="shared" si="30"/>
        <v>0</v>
      </c>
      <c r="H164" s="244"/>
      <c r="I164" s="259">
        <v>80</v>
      </c>
      <c r="J164" s="240">
        <v>-0.8</v>
      </c>
      <c r="K164" s="241" t="s">
        <v>257</v>
      </c>
      <c r="L164" s="258">
        <f t="shared" si="31"/>
        <v>0</v>
      </c>
      <c r="O164" s="239"/>
      <c r="P164" s="229"/>
    </row>
    <row r="165" spans="1:16" ht="13.5" thickBot="1">
      <c r="A165" s="1223"/>
      <c r="B165" s="242"/>
      <c r="C165" s="260">
        <v>40</v>
      </c>
      <c r="D165" s="261">
        <v>-0.8</v>
      </c>
      <c r="E165" s="264" t="s">
        <v>257</v>
      </c>
      <c r="F165" s="262">
        <f t="shared" si="30"/>
        <v>0</v>
      </c>
      <c r="G165" s="242"/>
      <c r="H165" s="263"/>
      <c r="I165" s="260">
        <v>90</v>
      </c>
      <c r="J165" s="261">
        <v>-1.4</v>
      </c>
      <c r="K165" s="264" t="s">
        <v>257</v>
      </c>
      <c r="L165" s="262">
        <f t="shared" si="31"/>
        <v>0</v>
      </c>
      <c r="M165" s="242"/>
      <c r="N165" s="242"/>
      <c r="O165" s="243"/>
      <c r="P165" s="229"/>
    </row>
    <row r="166" spans="1:16" ht="13.5" thickBot="1">
      <c r="A166" s="265"/>
      <c r="B166" s="266"/>
      <c r="C166" s="266"/>
      <c r="D166" s="266"/>
      <c r="E166" s="267"/>
      <c r="F166" s="276"/>
      <c r="G166" s="269"/>
      <c r="H166" s="266"/>
      <c r="I166" s="266"/>
      <c r="J166" s="266"/>
      <c r="K166" s="267"/>
      <c r="L166" s="276"/>
      <c r="O166" s="239"/>
      <c r="P166" s="229"/>
    </row>
    <row r="167" spans="1:16" ht="13.5" thickBot="1">
      <c r="A167" s="1221">
        <v>16</v>
      </c>
      <c r="B167" s="1224" t="s">
        <v>264</v>
      </c>
      <c r="C167" s="1225"/>
      <c r="D167" s="1225"/>
      <c r="E167" s="1225"/>
      <c r="F167" s="1226"/>
      <c r="G167" s="231"/>
      <c r="H167" s="1224" t="str">
        <f>B167</f>
        <v>KOREKSI EXTECH A.100616</v>
      </c>
      <c r="I167" s="1225"/>
      <c r="J167" s="1225"/>
      <c r="K167" s="1225"/>
      <c r="L167" s="1226"/>
      <c r="M167" s="231"/>
      <c r="N167" s="1237" t="s">
        <v>243</v>
      </c>
      <c r="O167" s="1238"/>
      <c r="P167" s="229"/>
    </row>
    <row r="168" spans="1:16" ht="13.5" thickBot="1">
      <c r="A168" s="1222"/>
      <c r="B168" s="1227" t="s">
        <v>244</v>
      </c>
      <c r="C168" s="1228"/>
      <c r="D168" s="1229" t="s">
        <v>245</v>
      </c>
      <c r="E168" s="1230"/>
      <c r="F168" s="1231" t="s">
        <v>246</v>
      </c>
      <c r="H168" s="1227" t="s">
        <v>247</v>
      </c>
      <c r="I168" s="1228"/>
      <c r="J168" s="1229" t="s">
        <v>245</v>
      </c>
      <c r="K168" s="1230"/>
      <c r="L168" s="1231" t="s">
        <v>246</v>
      </c>
      <c r="N168" s="248" t="s">
        <v>244</v>
      </c>
      <c r="O168" s="271">
        <v>0.4</v>
      </c>
      <c r="P168" s="229"/>
    </row>
    <row r="169" spans="1:16" ht="15" thickBot="1">
      <c r="A169" s="1222"/>
      <c r="B169" s="1233" t="s">
        <v>248</v>
      </c>
      <c r="C169" s="1234"/>
      <c r="D169" s="250">
        <v>2020</v>
      </c>
      <c r="E169" s="277" t="s">
        <v>257</v>
      </c>
      <c r="F169" s="1232"/>
      <c r="H169" s="1235" t="s">
        <v>118</v>
      </c>
      <c r="I169" s="1236"/>
      <c r="J169" s="251">
        <f>D169</f>
        <v>2020</v>
      </c>
      <c r="K169" s="251" t="str">
        <f>E169</f>
        <v>-</v>
      </c>
      <c r="L169" s="1232"/>
      <c r="N169" s="252" t="s">
        <v>118</v>
      </c>
      <c r="O169" s="270">
        <v>2.2000000000000002</v>
      </c>
      <c r="P169" s="229"/>
    </row>
    <row r="170" spans="1:16" ht="13">
      <c r="A170" s="1222"/>
      <c r="C170" s="254">
        <v>15</v>
      </c>
      <c r="D170" s="255">
        <v>0.1</v>
      </c>
      <c r="E170" s="278" t="s">
        <v>257</v>
      </c>
      <c r="F170" s="256">
        <f t="shared" ref="F170:F176" si="32">0.5*(MAX(D170:E170)-MIN(D170:E170))</f>
        <v>0</v>
      </c>
      <c r="H170" s="244"/>
      <c r="I170" s="254">
        <v>30</v>
      </c>
      <c r="J170" s="255">
        <v>-1.6</v>
      </c>
      <c r="K170" s="278" t="s">
        <v>257</v>
      </c>
      <c r="L170" s="256">
        <f t="shared" ref="L170:L176" si="33">0.5*(MAX(J170:K170)-MIN(J170:K170))</f>
        <v>0</v>
      </c>
      <c r="O170" s="239"/>
      <c r="P170" s="229"/>
    </row>
    <row r="171" spans="1:16" ht="13">
      <c r="A171" s="1222"/>
      <c r="C171" s="257">
        <v>20</v>
      </c>
      <c r="D171" s="237">
        <v>0.2</v>
      </c>
      <c r="E171" s="279" t="s">
        <v>257</v>
      </c>
      <c r="F171" s="258">
        <f t="shared" si="32"/>
        <v>0</v>
      </c>
      <c r="H171" s="244"/>
      <c r="I171" s="257">
        <v>40</v>
      </c>
      <c r="J171" s="237">
        <v>-1.4</v>
      </c>
      <c r="K171" s="279" t="s">
        <v>257</v>
      </c>
      <c r="L171" s="258">
        <f t="shared" si="33"/>
        <v>0</v>
      </c>
      <c r="O171" s="239"/>
      <c r="P171" s="229"/>
    </row>
    <row r="172" spans="1:16" ht="13">
      <c r="A172" s="1222"/>
      <c r="C172" s="257">
        <v>25</v>
      </c>
      <c r="D172" s="237">
        <v>0.2</v>
      </c>
      <c r="E172" s="279" t="s">
        <v>257</v>
      </c>
      <c r="F172" s="258">
        <f t="shared" si="32"/>
        <v>0</v>
      </c>
      <c r="H172" s="244"/>
      <c r="I172" s="257">
        <v>50</v>
      </c>
      <c r="J172" s="237">
        <v>-1.4</v>
      </c>
      <c r="K172" s="279" t="s">
        <v>257</v>
      </c>
      <c r="L172" s="258">
        <f t="shared" si="33"/>
        <v>0</v>
      </c>
      <c r="O172" s="239"/>
      <c r="P172" s="229"/>
    </row>
    <row r="173" spans="1:16" ht="13">
      <c r="A173" s="1222"/>
      <c r="C173" s="259">
        <v>30</v>
      </c>
      <c r="D173" s="240">
        <v>0.2</v>
      </c>
      <c r="E173" s="241" t="s">
        <v>257</v>
      </c>
      <c r="F173" s="258">
        <f t="shared" si="32"/>
        <v>0</v>
      </c>
      <c r="H173" s="244"/>
      <c r="I173" s="259">
        <v>60</v>
      </c>
      <c r="J173" s="240">
        <v>-1.5</v>
      </c>
      <c r="K173" s="241" t="s">
        <v>257</v>
      </c>
      <c r="L173" s="258">
        <f t="shared" si="33"/>
        <v>0</v>
      </c>
      <c r="O173" s="239"/>
      <c r="P173" s="229"/>
    </row>
    <row r="174" spans="1:16" ht="13">
      <c r="A174" s="1222"/>
      <c r="C174" s="259">
        <v>35</v>
      </c>
      <c r="D174" s="240">
        <v>0.1</v>
      </c>
      <c r="E174" s="241" t="s">
        <v>257</v>
      </c>
      <c r="F174" s="258">
        <f t="shared" si="32"/>
        <v>0</v>
      </c>
      <c r="H174" s="244"/>
      <c r="I174" s="259">
        <v>70</v>
      </c>
      <c r="J174" s="240">
        <v>-1.8</v>
      </c>
      <c r="K174" s="241" t="s">
        <v>257</v>
      </c>
      <c r="L174" s="258">
        <f t="shared" si="33"/>
        <v>0</v>
      </c>
      <c r="O174" s="239"/>
      <c r="P174" s="229"/>
    </row>
    <row r="175" spans="1:16" ht="13">
      <c r="A175" s="1222"/>
      <c r="C175" s="259">
        <v>37</v>
      </c>
      <c r="D175" s="240">
        <v>0</v>
      </c>
      <c r="E175" s="241" t="s">
        <v>257</v>
      </c>
      <c r="F175" s="258">
        <f t="shared" si="32"/>
        <v>0</v>
      </c>
      <c r="H175" s="244"/>
      <c r="I175" s="259">
        <v>80</v>
      </c>
      <c r="J175" s="240">
        <v>-2.2999999999999998</v>
      </c>
      <c r="K175" s="241" t="s">
        <v>257</v>
      </c>
      <c r="L175" s="258">
        <f t="shared" si="33"/>
        <v>0</v>
      </c>
      <c r="O175" s="239"/>
      <c r="P175" s="229"/>
    </row>
    <row r="176" spans="1:16" ht="13.5" thickBot="1">
      <c r="A176" s="1223"/>
      <c r="B176" s="242"/>
      <c r="C176" s="260">
        <v>40</v>
      </c>
      <c r="D176" s="261">
        <v>0</v>
      </c>
      <c r="E176" s="264" t="s">
        <v>257</v>
      </c>
      <c r="F176" s="262">
        <f t="shared" si="32"/>
        <v>0</v>
      </c>
      <c r="G176" s="242"/>
      <c r="H176" s="263"/>
      <c r="I176" s="260">
        <v>90</v>
      </c>
      <c r="J176" s="261">
        <v>-3</v>
      </c>
      <c r="K176" s="264" t="s">
        <v>257</v>
      </c>
      <c r="L176" s="262">
        <f t="shared" si="33"/>
        <v>0</v>
      </c>
      <c r="M176" s="242"/>
      <c r="N176" s="242"/>
      <c r="O176" s="243"/>
      <c r="P176" s="229"/>
    </row>
    <row r="177" spans="1:16" ht="13.5" thickBot="1">
      <c r="A177" s="265"/>
      <c r="B177" s="266"/>
      <c r="C177" s="266"/>
      <c r="D177" s="266"/>
      <c r="E177" s="267"/>
      <c r="F177" s="276"/>
      <c r="G177" s="269"/>
      <c r="H177" s="266"/>
      <c r="I177" s="266"/>
      <c r="J177" s="266"/>
      <c r="K177" s="267"/>
      <c r="L177" s="276"/>
      <c r="O177" s="239"/>
      <c r="P177" s="229"/>
    </row>
    <row r="178" spans="1:16" ht="13.5" thickBot="1">
      <c r="A178" s="1221">
        <v>17</v>
      </c>
      <c r="B178" s="1224" t="s">
        <v>265</v>
      </c>
      <c r="C178" s="1225"/>
      <c r="D178" s="1225"/>
      <c r="E178" s="1225"/>
      <c r="F178" s="1226"/>
      <c r="G178" s="231"/>
      <c r="H178" s="1224" t="str">
        <f>B178</f>
        <v>KOREKSI EXTECH A.100618</v>
      </c>
      <c r="I178" s="1225"/>
      <c r="J178" s="1225"/>
      <c r="K178" s="1225"/>
      <c r="L178" s="1226"/>
      <c r="M178" s="231"/>
      <c r="N178" s="1237" t="s">
        <v>243</v>
      </c>
      <c r="O178" s="1238"/>
      <c r="P178" s="229"/>
    </row>
    <row r="179" spans="1:16" ht="13.5" thickBot="1">
      <c r="A179" s="1222"/>
      <c r="B179" s="1227" t="s">
        <v>244</v>
      </c>
      <c r="C179" s="1228"/>
      <c r="D179" s="1229" t="s">
        <v>245</v>
      </c>
      <c r="E179" s="1230"/>
      <c r="F179" s="1231" t="s">
        <v>246</v>
      </c>
      <c r="H179" s="1227" t="s">
        <v>247</v>
      </c>
      <c r="I179" s="1228"/>
      <c r="J179" s="1229" t="s">
        <v>245</v>
      </c>
      <c r="K179" s="1230"/>
      <c r="L179" s="1231" t="s">
        <v>246</v>
      </c>
      <c r="N179" s="248" t="s">
        <v>244</v>
      </c>
      <c r="O179" s="271">
        <v>0.3</v>
      </c>
      <c r="P179" s="229"/>
    </row>
    <row r="180" spans="1:16" ht="15" thickBot="1">
      <c r="A180" s="1222"/>
      <c r="B180" s="1233" t="s">
        <v>248</v>
      </c>
      <c r="C180" s="1234"/>
      <c r="D180" s="250">
        <v>2020</v>
      </c>
      <c r="E180" s="277" t="s">
        <v>257</v>
      </c>
      <c r="F180" s="1232"/>
      <c r="H180" s="1235" t="s">
        <v>118</v>
      </c>
      <c r="I180" s="1236"/>
      <c r="J180" s="251">
        <f>D180</f>
        <v>2020</v>
      </c>
      <c r="K180" s="251" t="str">
        <f>E180</f>
        <v>-</v>
      </c>
      <c r="L180" s="1232"/>
      <c r="N180" s="252" t="s">
        <v>118</v>
      </c>
      <c r="O180" s="270">
        <v>1.6</v>
      </c>
      <c r="P180" s="229"/>
    </row>
    <row r="181" spans="1:16" ht="13">
      <c r="A181" s="1222"/>
      <c r="C181" s="254">
        <v>15</v>
      </c>
      <c r="D181" s="255">
        <v>0</v>
      </c>
      <c r="E181" s="278" t="s">
        <v>257</v>
      </c>
      <c r="F181" s="256">
        <f t="shared" ref="F181:F187" si="34">0.5*(MAX(D181:E181)-MIN(D181:E181))</f>
        <v>0</v>
      </c>
      <c r="H181" s="244"/>
      <c r="I181" s="254">
        <v>30</v>
      </c>
      <c r="J181" s="255">
        <v>-0.4</v>
      </c>
      <c r="K181" s="278" t="s">
        <v>257</v>
      </c>
      <c r="L181" s="256">
        <f t="shared" ref="L181:L187" si="35">0.5*(MAX(J181:K181)-MIN(J181:K181))</f>
        <v>0</v>
      </c>
      <c r="O181" s="239"/>
      <c r="P181" s="229"/>
    </row>
    <row r="182" spans="1:16" ht="13">
      <c r="A182" s="1222"/>
      <c r="C182" s="257">
        <v>20</v>
      </c>
      <c r="D182" s="237">
        <v>-0.1</v>
      </c>
      <c r="E182" s="279" t="s">
        <v>257</v>
      </c>
      <c r="F182" s="258">
        <f t="shared" si="34"/>
        <v>0</v>
      </c>
      <c r="H182" s="244"/>
      <c r="I182" s="257">
        <v>40</v>
      </c>
      <c r="J182" s="237">
        <v>-0.2</v>
      </c>
      <c r="K182" s="279" t="s">
        <v>257</v>
      </c>
      <c r="L182" s="258">
        <f t="shared" si="35"/>
        <v>0</v>
      </c>
      <c r="O182" s="239"/>
      <c r="P182" s="229"/>
    </row>
    <row r="183" spans="1:16" ht="13">
      <c r="A183" s="1222"/>
      <c r="C183" s="257">
        <v>25</v>
      </c>
      <c r="D183" s="237">
        <v>-0.2</v>
      </c>
      <c r="E183" s="279" t="s">
        <v>257</v>
      </c>
      <c r="F183" s="258">
        <f t="shared" si="34"/>
        <v>0</v>
      </c>
      <c r="H183" s="244"/>
      <c r="I183" s="257">
        <v>50</v>
      </c>
      <c r="J183" s="237">
        <v>-0.2</v>
      </c>
      <c r="K183" s="279" t="s">
        <v>257</v>
      </c>
      <c r="L183" s="258">
        <f t="shared" si="35"/>
        <v>0</v>
      </c>
      <c r="O183" s="239"/>
      <c r="P183" s="229"/>
    </row>
    <row r="184" spans="1:16" ht="13">
      <c r="A184" s="1222"/>
      <c r="C184" s="259">
        <v>30</v>
      </c>
      <c r="D184" s="240">
        <v>-0.2</v>
      </c>
      <c r="E184" s="241" t="s">
        <v>257</v>
      </c>
      <c r="F184" s="258">
        <f t="shared" si="34"/>
        <v>0</v>
      </c>
      <c r="H184" s="244"/>
      <c r="I184" s="259">
        <v>60</v>
      </c>
      <c r="J184" s="240">
        <v>-0.2</v>
      </c>
      <c r="K184" s="241" t="s">
        <v>257</v>
      </c>
      <c r="L184" s="258">
        <f t="shared" si="35"/>
        <v>0</v>
      </c>
      <c r="O184" s="239"/>
      <c r="P184" s="229"/>
    </row>
    <row r="185" spans="1:16" ht="13">
      <c r="A185" s="1222"/>
      <c r="C185" s="259">
        <v>35</v>
      </c>
      <c r="D185" s="240">
        <v>-0.3</v>
      </c>
      <c r="E185" s="241" t="s">
        <v>257</v>
      </c>
      <c r="F185" s="258">
        <f t="shared" si="34"/>
        <v>0</v>
      </c>
      <c r="H185" s="244"/>
      <c r="I185" s="259">
        <v>70</v>
      </c>
      <c r="J185" s="240">
        <v>-0.3</v>
      </c>
      <c r="K185" s="241" t="s">
        <v>257</v>
      </c>
      <c r="L185" s="258">
        <f t="shared" si="35"/>
        <v>0</v>
      </c>
      <c r="O185" s="239"/>
      <c r="P185" s="229"/>
    </row>
    <row r="186" spans="1:16" ht="13">
      <c r="A186" s="1222"/>
      <c r="C186" s="259">
        <v>37</v>
      </c>
      <c r="D186" s="240">
        <v>-0.3</v>
      </c>
      <c r="E186" s="241" t="s">
        <v>257</v>
      </c>
      <c r="F186" s="258">
        <f t="shared" si="34"/>
        <v>0</v>
      </c>
      <c r="H186" s="244"/>
      <c r="I186" s="259">
        <v>80</v>
      </c>
      <c r="J186" s="240">
        <v>-0.5</v>
      </c>
      <c r="K186" s="241" t="s">
        <v>257</v>
      </c>
      <c r="L186" s="258">
        <f t="shared" si="35"/>
        <v>0</v>
      </c>
      <c r="O186" s="239"/>
      <c r="P186" s="229"/>
    </row>
    <row r="187" spans="1:16" ht="13.5" thickBot="1">
      <c r="A187" s="1223"/>
      <c r="B187" s="242"/>
      <c r="C187" s="260">
        <v>40</v>
      </c>
      <c r="D187" s="261">
        <v>-0.4</v>
      </c>
      <c r="E187" s="264" t="s">
        <v>257</v>
      </c>
      <c r="F187" s="262">
        <f t="shared" si="34"/>
        <v>0</v>
      </c>
      <c r="G187" s="242"/>
      <c r="H187" s="263"/>
      <c r="I187" s="260">
        <v>90</v>
      </c>
      <c r="J187" s="261">
        <v>-0.8</v>
      </c>
      <c r="K187" s="264" t="s">
        <v>257</v>
      </c>
      <c r="L187" s="262">
        <f t="shared" si="35"/>
        <v>0</v>
      </c>
      <c r="M187" s="242"/>
      <c r="N187" s="242"/>
      <c r="O187" s="243"/>
      <c r="P187" s="229"/>
    </row>
    <row r="188" spans="1:16" ht="13.5" thickBot="1">
      <c r="A188" s="265"/>
      <c r="B188" s="266"/>
      <c r="C188" s="266"/>
      <c r="D188" s="266"/>
      <c r="E188" s="267"/>
      <c r="F188" s="276"/>
      <c r="G188" s="269"/>
      <c r="H188" s="266"/>
      <c r="I188" s="266"/>
      <c r="J188" s="266"/>
      <c r="K188" s="267"/>
      <c r="L188" s="276"/>
      <c r="O188" s="239"/>
      <c r="P188" s="229"/>
    </row>
    <row r="189" spans="1:16" ht="13.5" thickBot="1">
      <c r="A189" s="1221">
        <v>18</v>
      </c>
      <c r="B189" s="1224" t="s">
        <v>266</v>
      </c>
      <c r="C189" s="1225"/>
      <c r="D189" s="1225"/>
      <c r="E189" s="1225"/>
      <c r="F189" s="1226"/>
      <c r="G189" s="231"/>
      <c r="H189" s="1224" t="str">
        <f>B189</f>
        <v>KOREKSI EXTECH A.100586</v>
      </c>
      <c r="I189" s="1225"/>
      <c r="J189" s="1225"/>
      <c r="K189" s="1225"/>
      <c r="L189" s="1226"/>
      <c r="M189" s="231"/>
      <c r="N189" s="1237" t="s">
        <v>243</v>
      </c>
      <c r="O189" s="1238"/>
      <c r="P189" s="229"/>
    </row>
    <row r="190" spans="1:16" ht="13.5" thickBot="1">
      <c r="A190" s="1222"/>
      <c r="B190" s="1227" t="s">
        <v>244</v>
      </c>
      <c r="C190" s="1228"/>
      <c r="D190" s="1229" t="s">
        <v>245</v>
      </c>
      <c r="E190" s="1230"/>
      <c r="F190" s="1231" t="s">
        <v>246</v>
      </c>
      <c r="H190" s="1227" t="s">
        <v>247</v>
      </c>
      <c r="I190" s="1228"/>
      <c r="J190" s="1229" t="s">
        <v>245</v>
      </c>
      <c r="K190" s="1230"/>
      <c r="L190" s="1231" t="s">
        <v>246</v>
      </c>
      <c r="N190" s="248" t="s">
        <v>244</v>
      </c>
      <c r="O190" s="271">
        <v>0.3</v>
      </c>
      <c r="P190" s="229"/>
    </row>
    <row r="191" spans="1:16" ht="15" thickBot="1">
      <c r="A191" s="1222"/>
      <c r="B191" s="1233" t="s">
        <v>248</v>
      </c>
      <c r="C191" s="1234"/>
      <c r="D191" s="250">
        <v>2017</v>
      </c>
      <c r="E191" s="277" t="s">
        <v>257</v>
      </c>
      <c r="F191" s="1232"/>
      <c r="H191" s="1235" t="s">
        <v>118</v>
      </c>
      <c r="I191" s="1236"/>
      <c r="J191" s="251">
        <f>D191</f>
        <v>2017</v>
      </c>
      <c r="K191" s="251" t="str">
        <f>E191</f>
        <v>-</v>
      </c>
      <c r="L191" s="1232"/>
      <c r="N191" s="252" t="s">
        <v>118</v>
      </c>
      <c r="O191" s="270">
        <v>2</v>
      </c>
      <c r="P191" s="229"/>
    </row>
    <row r="192" spans="1:16" ht="13">
      <c r="A192" s="1222"/>
      <c r="C192" s="254">
        <v>15</v>
      </c>
      <c r="D192" s="255">
        <v>0</v>
      </c>
      <c r="E192" s="278" t="s">
        <v>257</v>
      </c>
      <c r="F192" s="256">
        <f t="shared" ref="F192:F198" si="36">0.5*(MAX(D192:E192)-MIN(D192:E192))</f>
        <v>0</v>
      </c>
      <c r="H192" s="244"/>
      <c r="I192" s="254">
        <v>30</v>
      </c>
      <c r="J192" s="255">
        <v>-0.4</v>
      </c>
      <c r="K192" s="278" t="s">
        <v>257</v>
      </c>
      <c r="L192" s="256">
        <f t="shared" ref="L192:L198" si="37">0.5*(MAX(J192:K192)-MIN(J192:K192))</f>
        <v>0</v>
      </c>
      <c r="O192" s="239"/>
      <c r="P192" s="229"/>
    </row>
    <row r="193" spans="1:16" ht="13">
      <c r="A193" s="1222"/>
      <c r="C193" s="257">
        <v>20</v>
      </c>
      <c r="D193" s="237">
        <v>0</v>
      </c>
      <c r="E193" s="279" t="s">
        <v>257</v>
      </c>
      <c r="F193" s="258">
        <f t="shared" si="36"/>
        <v>0</v>
      </c>
      <c r="H193" s="244"/>
      <c r="I193" s="257">
        <v>40</v>
      </c>
      <c r="J193" s="237">
        <v>-0.1</v>
      </c>
      <c r="K193" s="279" t="s">
        <v>257</v>
      </c>
      <c r="L193" s="258">
        <f t="shared" si="37"/>
        <v>0</v>
      </c>
      <c r="O193" s="239"/>
      <c r="P193" s="229"/>
    </row>
    <row r="194" spans="1:16" ht="13">
      <c r="A194" s="1222"/>
      <c r="C194" s="257">
        <v>25</v>
      </c>
      <c r="D194" s="237">
        <v>0</v>
      </c>
      <c r="E194" s="279" t="s">
        <v>257</v>
      </c>
      <c r="F194" s="258">
        <f t="shared" si="36"/>
        <v>0</v>
      </c>
      <c r="H194" s="244"/>
      <c r="I194" s="257">
        <v>50</v>
      </c>
      <c r="J194" s="237">
        <v>0</v>
      </c>
      <c r="K194" s="279" t="s">
        <v>257</v>
      </c>
      <c r="L194" s="258">
        <f t="shared" si="37"/>
        <v>0</v>
      </c>
      <c r="O194" s="239"/>
      <c r="P194" s="229"/>
    </row>
    <row r="195" spans="1:16" ht="13">
      <c r="A195" s="1222"/>
      <c r="C195" s="259">
        <v>30</v>
      </c>
      <c r="D195" s="240">
        <v>-0.1</v>
      </c>
      <c r="E195" s="241" t="s">
        <v>257</v>
      </c>
      <c r="F195" s="258">
        <f t="shared" si="36"/>
        <v>0</v>
      </c>
      <c r="H195" s="244"/>
      <c r="I195" s="259">
        <v>60</v>
      </c>
      <c r="J195" s="240">
        <v>0</v>
      </c>
      <c r="K195" s="241" t="s">
        <v>257</v>
      </c>
      <c r="L195" s="258">
        <f t="shared" si="37"/>
        <v>0</v>
      </c>
      <c r="O195" s="239"/>
      <c r="P195" s="229"/>
    </row>
    <row r="196" spans="1:16" ht="13">
      <c r="A196" s="1222"/>
      <c r="C196" s="259">
        <v>35</v>
      </c>
      <c r="D196" s="240">
        <v>-0.2</v>
      </c>
      <c r="E196" s="241" t="s">
        <v>257</v>
      </c>
      <c r="F196" s="258">
        <f t="shared" si="36"/>
        <v>0</v>
      </c>
      <c r="H196" s="244"/>
      <c r="I196" s="259">
        <v>70</v>
      </c>
      <c r="J196" s="240">
        <v>-0.1</v>
      </c>
      <c r="K196" s="241" t="s">
        <v>257</v>
      </c>
      <c r="L196" s="258">
        <f t="shared" si="37"/>
        <v>0</v>
      </c>
      <c r="O196" s="239"/>
      <c r="P196" s="229"/>
    </row>
    <row r="197" spans="1:16" ht="13">
      <c r="A197" s="1222"/>
      <c r="C197" s="259">
        <v>37</v>
      </c>
      <c r="D197" s="240">
        <v>-0.3</v>
      </c>
      <c r="E197" s="241" t="s">
        <v>257</v>
      </c>
      <c r="F197" s="258">
        <f t="shared" si="36"/>
        <v>0</v>
      </c>
      <c r="H197" s="244"/>
      <c r="I197" s="259">
        <v>80</v>
      </c>
      <c r="J197" s="240">
        <v>-0.5</v>
      </c>
      <c r="K197" s="241" t="s">
        <v>257</v>
      </c>
      <c r="L197" s="258">
        <f t="shared" si="37"/>
        <v>0</v>
      </c>
      <c r="O197" s="239"/>
      <c r="P197" s="229"/>
    </row>
    <row r="198" spans="1:16" ht="13.5" thickBot="1">
      <c r="A198" s="1223"/>
      <c r="B198" s="242"/>
      <c r="C198" s="260">
        <v>40</v>
      </c>
      <c r="D198" s="261">
        <v>-0.4</v>
      </c>
      <c r="E198" s="264" t="s">
        <v>257</v>
      </c>
      <c r="F198" s="262">
        <f t="shared" si="36"/>
        <v>0</v>
      </c>
      <c r="G198" s="242"/>
      <c r="H198" s="263"/>
      <c r="I198" s="260">
        <v>90</v>
      </c>
      <c r="J198" s="261">
        <v>-0.9</v>
      </c>
      <c r="K198" s="264" t="s">
        <v>257</v>
      </c>
      <c r="L198" s="262">
        <f t="shared" si="37"/>
        <v>0</v>
      </c>
      <c r="M198" s="242"/>
      <c r="N198" s="242"/>
      <c r="O198" s="243"/>
      <c r="P198" s="229"/>
    </row>
    <row r="199" spans="1:16" ht="13.5" thickBot="1">
      <c r="A199" s="282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4"/>
      <c r="P199" s="229"/>
    </row>
    <row r="200" spans="1:16" ht="13.5" thickBot="1">
      <c r="A200" s="229"/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</row>
    <row r="201" spans="1:16">
      <c r="A201" s="1215" t="s">
        <v>49</v>
      </c>
      <c r="B201" s="1217" t="s">
        <v>267</v>
      </c>
      <c r="C201" s="1211" t="s">
        <v>268</v>
      </c>
      <c r="D201" s="1211"/>
      <c r="E201" s="1211"/>
      <c r="F201" s="1211"/>
      <c r="G201" s="160"/>
      <c r="H201" s="1219" t="s">
        <v>49</v>
      </c>
      <c r="I201" s="1217" t="s">
        <v>267</v>
      </c>
      <c r="J201" s="1211" t="s">
        <v>268</v>
      </c>
      <c r="K201" s="1211"/>
      <c r="L201" s="1211"/>
      <c r="M201" s="1211"/>
      <c r="N201" s="161"/>
      <c r="O201" s="1212" t="s">
        <v>243</v>
      </c>
      <c r="P201" s="1213"/>
    </row>
    <row r="202" spans="1:16" ht="13.5">
      <c r="A202" s="1216"/>
      <c r="B202" s="1218"/>
      <c r="C202" s="285" t="s">
        <v>244</v>
      </c>
      <c r="D202" s="1214" t="s">
        <v>245</v>
      </c>
      <c r="E202" s="1214"/>
      <c r="F202" s="1214" t="s">
        <v>246</v>
      </c>
      <c r="G202" s="229"/>
      <c r="H202" s="1220"/>
      <c r="I202" s="1218"/>
      <c r="J202" s="285" t="s">
        <v>247</v>
      </c>
      <c r="K202" s="1214" t="s">
        <v>245</v>
      </c>
      <c r="L202" s="1214"/>
      <c r="M202" s="1214" t="s">
        <v>246</v>
      </c>
      <c r="N202" s="229"/>
      <c r="O202" s="1209" t="s">
        <v>244</v>
      </c>
      <c r="P202" s="1210"/>
    </row>
    <row r="203" spans="1:16" ht="14">
      <c r="A203" s="1216"/>
      <c r="B203" s="1218"/>
      <c r="C203" s="286" t="s">
        <v>269</v>
      </c>
      <c r="D203" s="285"/>
      <c r="E203" s="285"/>
      <c r="F203" s="1214"/>
      <c r="G203" s="229"/>
      <c r="H203" s="1220"/>
      <c r="I203" s="1218"/>
      <c r="J203" s="286" t="s">
        <v>118</v>
      </c>
      <c r="K203" s="285"/>
      <c r="L203" s="285"/>
      <c r="M203" s="1214"/>
      <c r="N203" s="229"/>
      <c r="O203" s="287">
        <v>1</v>
      </c>
      <c r="P203" s="288">
        <f>O3</f>
        <v>0.6</v>
      </c>
    </row>
    <row r="204" spans="1:16" ht="13">
      <c r="A204" s="1203" t="s">
        <v>270</v>
      </c>
      <c r="B204" s="289">
        <v>1</v>
      </c>
      <c r="C204" s="290">
        <f>C5</f>
        <v>15</v>
      </c>
      <c r="D204" s="290">
        <f t="shared" ref="D204:F204" si="38">D5</f>
        <v>-0.5</v>
      </c>
      <c r="E204" s="290">
        <f t="shared" si="38"/>
        <v>0.3</v>
      </c>
      <c r="F204" s="290">
        <f t="shared" si="38"/>
        <v>0.4</v>
      </c>
      <c r="G204" s="229"/>
      <c r="H204" s="1204" t="s">
        <v>270</v>
      </c>
      <c r="I204" s="289">
        <v>1</v>
      </c>
      <c r="J204" s="290">
        <f>I5</f>
        <v>35</v>
      </c>
      <c r="K204" s="290">
        <f t="shared" ref="K204:M204" si="39">J5</f>
        <v>-6</v>
      </c>
      <c r="L204" s="290">
        <f t="shared" si="39"/>
        <v>-9.4</v>
      </c>
      <c r="M204" s="290">
        <f t="shared" si="39"/>
        <v>1.7000000000000002</v>
      </c>
      <c r="N204" s="229"/>
      <c r="O204" s="291">
        <v>2</v>
      </c>
      <c r="P204" s="292">
        <f>O14</f>
        <v>0.3</v>
      </c>
    </row>
    <row r="205" spans="1:16" ht="13">
      <c r="A205" s="1203"/>
      <c r="B205" s="289">
        <v>2</v>
      </c>
      <c r="C205" s="290">
        <f>C16</f>
        <v>15</v>
      </c>
      <c r="D205" s="290">
        <f t="shared" ref="D205:F205" si="40">D16</f>
        <v>0</v>
      </c>
      <c r="E205" s="290">
        <f t="shared" si="40"/>
        <v>0.5</v>
      </c>
      <c r="F205" s="290">
        <f t="shared" si="40"/>
        <v>0.25</v>
      </c>
      <c r="G205" s="229"/>
      <c r="H205" s="1204"/>
      <c r="I205" s="289">
        <v>2</v>
      </c>
      <c r="J205" s="290">
        <f>I16</f>
        <v>35</v>
      </c>
      <c r="K205" s="290">
        <f t="shared" ref="K205:M205" si="41">J16</f>
        <v>-1.6</v>
      </c>
      <c r="L205" s="290">
        <f t="shared" si="41"/>
        <v>-0.9</v>
      </c>
      <c r="M205" s="290">
        <f t="shared" si="41"/>
        <v>0.35000000000000003</v>
      </c>
      <c r="N205" s="229"/>
      <c r="O205" s="291">
        <v>3</v>
      </c>
      <c r="P205" s="293">
        <f>O25</f>
        <v>0.3</v>
      </c>
    </row>
    <row r="206" spans="1:16" ht="13">
      <c r="A206" s="1203"/>
      <c r="B206" s="289">
        <v>3</v>
      </c>
      <c r="C206" s="290">
        <f>C27</f>
        <v>15</v>
      </c>
      <c r="D206" s="290">
        <f t="shared" ref="D206:F206" si="42">D27</f>
        <v>0</v>
      </c>
      <c r="E206" s="290">
        <f t="shared" si="42"/>
        <v>0.2</v>
      </c>
      <c r="F206" s="290">
        <f t="shared" si="42"/>
        <v>0.1</v>
      </c>
      <c r="G206" s="229"/>
      <c r="H206" s="1204"/>
      <c r="I206" s="289">
        <v>3</v>
      </c>
      <c r="J206" s="290">
        <f>I27</f>
        <v>30</v>
      </c>
      <c r="K206" s="290">
        <f t="shared" ref="K206:M206" si="43">J27</f>
        <v>-5.7</v>
      </c>
      <c r="L206" s="290">
        <f t="shared" si="43"/>
        <v>-1.1000000000000001</v>
      </c>
      <c r="M206" s="290">
        <f t="shared" si="43"/>
        <v>2.2999999999999998</v>
      </c>
      <c r="N206" s="229"/>
      <c r="O206" s="291">
        <v>4</v>
      </c>
      <c r="P206" s="293">
        <f>O36</f>
        <v>0.6</v>
      </c>
    </row>
    <row r="207" spans="1:16" ht="13">
      <c r="A207" s="1203"/>
      <c r="B207" s="289">
        <v>4</v>
      </c>
      <c r="C207" s="294">
        <f>C38</f>
        <v>15</v>
      </c>
      <c r="D207" s="294">
        <f t="shared" ref="D207:F207" si="44">D38</f>
        <v>-0.1</v>
      </c>
      <c r="E207" s="294">
        <f t="shared" si="44"/>
        <v>0.4</v>
      </c>
      <c r="F207" s="294">
        <f t="shared" si="44"/>
        <v>0.25</v>
      </c>
      <c r="G207" s="229"/>
      <c r="H207" s="1204"/>
      <c r="I207" s="289">
        <v>4</v>
      </c>
      <c r="J207" s="294">
        <f>I38</f>
        <v>35</v>
      </c>
      <c r="K207" s="294">
        <f t="shared" ref="K207:M207" si="45">J38</f>
        <v>-1.7</v>
      </c>
      <c r="L207" s="294">
        <f t="shared" si="45"/>
        <v>-0.8</v>
      </c>
      <c r="M207" s="294">
        <f t="shared" si="45"/>
        <v>0.44999999999999996</v>
      </c>
      <c r="N207" s="229"/>
      <c r="O207" s="291">
        <v>5</v>
      </c>
      <c r="P207" s="293">
        <f>O47</f>
        <v>0.4</v>
      </c>
    </row>
    <row r="208" spans="1:16" ht="13">
      <c r="A208" s="1203"/>
      <c r="B208" s="289">
        <v>5</v>
      </c>
      <c r="C208" s="294">
        <f>C49</f>
        <v>15</v>
      </c>
      <c r="D208" s="294">
        <f t="shared" ref="D208:F208" si="46">D49</f>
        <v>-0.3</v>
      </c>
      <c r="E208" s="294">
        <f t="shared" si="46"/>
        <v>0.3</v>
      </c>
      <c r="F208" s="294">
        <f t="shared" si="46"/>
        <v>0.3</v>
      </c>
      <c r="G208" s="229"/>
      <c r="H208" s="1204"/>
      <c r="I208" s="289">
        <v>5</v>
      </c>
      <c r="J208" s="294">
        <f>I49</f>
        <v>35</v>
      </c>
      <c r="K208" s="294">
        <f t="shared" ref="K208:M208" si="47">J49</f>
        <v>-7.7</v>
      </c>
      <c r="L208" s="294">
        <f t="shared" si="47"/>
        <v>-9.6</v>
      </c>
      <c r="M208" s="294">
        <f t="shared" si="47"/>
        <v>0.94999999999999973</v>
      </c>
      <c r="N208" s="229"/>
      <c r="O208" s="287">
        <v>6</v>
      </c>
      <c r="P208" s="288">
        <f>O58</f>
        <v>0.8</v>
      </c>
    </row>
    <row r="209" spans="1:16" ht="13">
      <c r="A209" s="1203"/>
      <c r="B209" s="289">
        <v>6</v>
      </c>
      <c r="C209" s="294">
        <f>C60</f>
        <v>15</v>
      </c>
      <c r="D209" s="294">
        <f t="shared" ref="D209:F209" si="48">D60</f>
        <v>0.4</v>
      </c>
      <c r="E209" s="294">
        <f t="shared" si="48"/>
        <v>0.4</v>
      </c>
      <c r="F209" s="294">
        <f t="shared" si="48"/>
        <v>0</v>
      </c>
      <c r="G209" s="229"/>
      <c r="H209" s="1204"/>
      <c r="I209" s="289">
        <v>6</v>
      </c>
      <c r="J209" s="294">
        <f>I60</f>
        <v>30</v>
      </c>
      <c r="K209" s="294">
        <f t="shared" ref="K209:M209" si="49">J60</f>
        <v>-1.5</v>
      </c>
      <c r="L209" s="294">
        <f t="shared" si="49"/>
        <v>-4.9000000000000004</v>
      </c>
      <c r="M209" s="294">
        <f t="shared" si="49"/>
        <v>1.7000000000000002</v>
      </c>
      <c r="N209" s="229"/>
      <c r="O209" s="287">
        <v>7</v>
      </c>
      <c r="P209" s="288">
        <f>O69</f>
        <v>0.3</v>
      </c>
    </row>
    <row r="210" spans="1:16" ht="13">
      <c r="A210" s="1203"/>
      <c r="B210" s="289">
        <v>7</v>
      </c>
      <c r="C210" s="294">
        <f>C71</f>
        <v>15</v>
      </c>
      <c r="D210" s="294">
        <f t="shared" ref="D210:F210" si="50">D71</f>
        <v>0.3</v>
      </c>
      <c r="E210" s="294">
        <f t="shared" si="50"/>
        <v>0.2</v>
      </c>
      <c r="F210" s="294">
        <f t="shared" si="50"/>
        <v>4.9999999999999989E-2</v>
      </c>
      <c r="G210" s="229"/>
      <c r="H210" s="1204"/>
      <c r="I210" s="289">
        <v>7</v>
      </c>
      <c r="J210" s="294">
        <f>I71</f>
        <v>30</v>
      </c>
      <c r="K210" s="294">
        <f t="shared" ref="K210:M210" si="51">J71</f>
        <v>1.8</v>
      </c>
      <c r="L210" s="294">
        <f t="shared" si="51"/>
        <v>-0.1</v>
      </c>
      <c r="M210" s="294">
        <f t="shared" si="51"/>
        <v>0.95000000000000007</v>
      </c>
      <c r="N210" s="229"/>
      <c r="O210" s="287">
        <v>8</v>
      </c>
      <c r="P210" s="288">
        <f>O80</f>
        <v>0.3</v>
      </c>
    </row>
    <row r="211" spans="1:16" ht="13">
      <c r="A211" s="1203"/>
      <c r="B211" s="289">
        <v>8</v>
      </c>
      <c r="C211" s="294">
        <f>C82</f>
        <v>15</v>
      </c>
      <c r="D211" s="294">
        <f t="shared" ref="D211:F211" si="52">D82</f>
        <v>0</v>
      </c>
      <c r="E211" s="294">
        <f t="shared" si="52"/>
        <v>-0.2</v>
      </c>
      <c r="F211" s="294">
        <f t="shared" si="52"/>
        <v>0.1</v>
      </c>
      <c r="G211" s="229"/>
      <c r="H211" s="1204"/>
      <c r="I211" s="289">
        <v>8</v>
      </c>
      <c r="J211" s="294">
        <f>I82</f>
        <v>30</v>
      </c>
      <c r="K211" s="294">
        <f t="shared" ref="K211:M211" si="53">J82</f>
        <v>-1.4</v>
      </c>
      <c r="L211" s="294">
        <f t="shared" si="53"/>
        <v>1</v>
      </c>
      <c r="M211" s="294">
        <f t="shared" si="53"/>
        <v>1.2</v>
      </c>
      <c r="N211" s="229"/>
      <c r="O211" s="287">
        <v>9</v>
      </c>
      <c r="P211" s="288">
        <f>O91</f>
        <v>0.3</v>
      </c>
    </row>
    <row r="212" spans="1:16" ht="13">
      <c r="A212" s="1203"/>
      <c r="B212" s="289">
        <v>9</v>
      </c>
      <c r="C212" s="294">
        <f>C93</f>
        <v>15</v>
      </c>
      <c r="D212" s="294">
        <f t="shared" ref="D212:F212" si="54">D93</f>
        <v>0</v>
      </c>
      <c r="E212" s="294" t="str">
        <f t="shared" si="54"/>
        <v>-</v>
      </c>
      <c r="F212" s="294">
        <f t="shared" si="54"/>
        <v>0</v>
      </c>
      <c r="G212" s="229"/>
      <c r="H212" s="1204"/>
      <c r="I212" s="289">
        <v>9</v>
      </c>
      <c r="J212" s="294">
        <f>I93</f>
        <v>30</v>
      </c>
      <c r="K212" s="294">
        <f t="shared" ref="K212:M212" si="55">J93</f>
        <v>-1.2</v>
      </c>
      <c r="L212" s="294" t="str">
        <f t="shared" si="55"/>
        <v>-</v>
      </c>
      <c r="M212" s="294">
        <f t="shared" si="55"/>
        <v>0</v>
      </c>
      <c r="N212" s="229"/>
      <c r="O212" s="287">
        <v>10</v>
      </c>
      <c r="P212" s="288">
        <f>O102</f>
        <v>0.3</v>
      </c>
    </row>
    <row r="213" spans="1:16" ht="13">
      <c r="A213" s="1203"/>
      <c r="B213" s="289">
        <v>10</v>
      </c>
      <c r="C213" s="294">
        <f>C104</f>
        <v>15</v>
      </c>
      <c r="D213" s="294">
        <f t="shared" ref="D213:F213" si="56">D104</f>
        <v>0.2</v>
      </c>
      <c r="E213" s="294">
        <f t="shared" si="56"/>
        <v>0.2</v>
      </c>
      <c r="F213" s="294">
        <f t="shared" si="56"/>
        <v>0</v>
      </c>
      <c r="G213" s="229"/>
      <c r="H213" s="1204"/>
      <c r="I213" s="289">
        <v>10</v>
      </c>
      <c r="J213" s="294">
        <f>I104</f>
        <v>30</v>
      </c>
      <c r="K213" s="294">
        <f t="shared" ref="K213:M213" si="57">J104</f>
        <v>-2.9</v>
      </c>
      <c r="L213" s="294">
        <f t="shared" si="57"/>
        <v>-5.8</v>
      </c>
      <c r="M213" s="294">
        <f t="shared" si="57"/>
        <v>1.45</v>
      </c>
      <c r="N213" s="229"/>
      <c r="O213" s="287">
        <v>11</v>
      </c>
      <c r="P213" s="288">
        <f>O113</f>
        <v>0.3</v>
      </c>
    </row>
    <row r="214" spans="1:16" ht="13">
      <c r="A214" s="1203"/>
      <c r="B214" s="289">
        <v>11</v>
      </c>
      <c r="C214" s="294">
        <f>C115</f>
        <v>15</v>
      </c>
      <c r="D214" s="294">
        <f t="shared" ref="D214:F214" si="58">D115</f>
        <v>0.3</v>
      </c>
      <c r="E214" s="294" t="str">
        <f t="shared" si="58"/>
        <v>-</v>
      </c>
      <c r="F214" s="294">
        <f t="shared" si="58"/>
        <v>0</v>
      </c>
      <c r="G214" s="229"/>
      <c r="H214" s="1204"/>
      <c r="I214" s="289">
        <v>11</v>
      </c>
      <c r="J214" s="294">
        <f>I115</f>
        <v>35</v>
      </c>
      <c r="K214" s="294">
        <f t="shared" ref="K214:M214" si="59">J115</f>
        <v>-5.2</v>
      </c>
      <c r="L214" s="294" t="str">
        <f t="shared" si="59"/>
        <v>-</v>
      </c>
      <c r="M214" s="294">
        <f t="shared" si="59"/>
        <v>0</v>
      </c>
      <c r="N214" s="229"/>
      <c r="O214" s="287">
        <v>12</v>
      </c>
      <c r="P214" s="295">
        <f>O124</f>
        <v>0.3</v>
      </c>
    </row>
    <row r="215" spans="1:16" ht="13">
      <c r="A215" s="1203"/>
      <c r="B215" s="289">
        <v>12</v>
      </c>
      <c r="C215" s="294">
        <f>C126</f>
        <v>15</v>
      </c>
      <c r="D215" s="294">
        <f t="shared" ref="D215:F215" si="60">D126</f>
        <v>-0.6</v>
      </c>
      <c r="E215" s="294" t="str">
        <f t="shared" si="60"/>
        <v>-</v>
      </c>
      <c r="F215" s="294">
        <f t="shared" si="60"/>
        <v>0</v>
      </c>
      <c r="G215" s="229"/>
      <c r="H215" s="1204"/>
      <c r="I215" s="296">
        <v>12</v>
      </c>
      <c r="J215" s="294">
        <f>I126</f>
        <v>35</v>
      </c>
      <c r="K215" s="294">
        <f t="shared" ref="K215:M215" si="61">J126</f>
        <v>-0.4</v>
      </c>
      <c r="L215" s="294" t="str">
        <f t="shared" si="61"/>
        <v>-</v>
      </c>
      <c r="M215" s="294">
        <f t="shared" si="61"/>
        <v>0</v>
      </c>
      <c r="N215" s="229"/>
      <c r="O215" s="287">
        <v>13</v>
      </c>
      <c r="P215" s="295">
        <f>O135</f>
        <v>0.4</v>
      </c>
    </row>
    <row r="216" spans="1:16" ht="13">
      <c r="A216" s="1203"/>
      <c r="B216" s="289">
        <v>13</v>
      </c>
      <c r="C216" s="294">
        <f>C137</f>
        <v>15</v>
      </c>
      <c r="D216" s="294">
        <f t="shared" ref="D216:F216" si="62">D137</f>
        <v>-0.2</v>
      </c>
      <c r="E216" s="294" t="str">
        <f t="shared" si="62"/>
        <v>-</v>
      </c>
      <c r="F216" s="294">
        <f t="shared" si="62"/>
        <v>0</v>
      </c>
      <c r="G216" s="229"/>
      <c r="H216" s="1204"/>
      <c r="I216" s="289">
        <v>13</v>
      </c>
      <c r="J216" s="294">
        <f>I137</f>
        <v>35</v>
      </c>
      <c r="K216" s="294">
        <f t="shared" ref="K216:M216" si="63">J137</f>
        <v>0.6</v>
      </c>
      <c r="L216" s="294" t="str">
        <f t="shared" si="63"/>
        <v>-</v>
      </c>
      <c r="M216" s="294">
        <f t="shared" si="63"/>
        <v>0</v>
      </c>
      <c r="N216" s="229"/>
      <c r="O216" s="287">
        <v>14</v>
      </c>
      <c r="P216" s="295">
        <f>O146</f>
        <v>0.3</v>
      </c>
    </row>
    <row r="217" spans="1:16" ht="13">
      <c r="A217" s="1203"/>
      <c r="B217" s="289">
        <v>14</v>
      </c>
      <c r="C217" s="294">
        <f>C148</f>
        <v>15</v>
      </c>
      <c r="D217" s="294">
        <f t="shared" ref="D217:F217" si="64">D148</f>
        <v>-0.7</v>
      </c>
      <c r="E217" s="294" t="str">
        <f t="shared" si="64"/>
        <v>-</v>
      </c>
      <c r="F217" s="294">
        <f t="shared" si="64"/>
        <v>0</v>
      </c>
      <c r="G217" s="229"/>
      <c r="H217" s="1204"/>
      <c r="I217" s="289">
        <v>14</v>
      </c>
      <c r="J217" s="294">
        <f>I148</f>
        <v>35</v>
      </c>
      <c r="K217" s="294">
        <f t="shared" ref="K217:M217" si="65">J148</f>
        <v>-1.4</v>
      </c>
      <c r="L217" s="294" t="str">
        <f t="shared" si="65"/>
        <v>-</v>
      </c>
      <c r="M217" s="294">
        <f t="shared" si="65"/>
        <v>0</v>
      </c>
      <c r="N217" s="229"/>
      <c r="O217" s="287">
        <v>15</v>
      </c>
      <c r="P217" s="295">
        <f>O157</f>
        <v>0.3</v>
      </c>
    </row>
    <row r="218" spans="1:16" ht="13">
      <c r="A218" s="1203"/>
      <c r="B218" s="289">
        <v>15</v>
      </c>
      <c r="C218" s="294">
        <f>C159</f>
        <v>15</v>
      </c>
      <c r="D218" s="294">
        <f t="shared" ref="D218:F218" si="66">D159</f>
        <v>0.1</v>
      </c>
      <c r="E218" s="294" t="str">
        <f t="shared" si="66"/>
        <v>-</v>
      </c>
      <c r="F218" s="294">
        <f t="shared" si="66"/>
        <v>0</v>
      </c>
      <c r="G218" s="229"/>
      <c r="H218" s="1204"/>
      <c r="I218" s="289">
        <v>15</v>
      </c>
      <c r="J218" s="294">
        <f>I159</f>
        <v>30</v>
      </c>
      <c r="K218" s="294">
        <f t="shared" ref="K218:M218" si="67">J159</f>
        <v>0.1</v>
      </c>
      <c r="L218" s="294" t="str">
        <f t="shared" si="67"/>
        <v>-</v>
      </c>
      <c r="M218" s="294">
        <f t="shared" si="67"/>
        <v>0</v>
      </c>
      <c r="N218" s="229"/>
      <c r="O218" s="287">
        <v>16</v>
      </c>
      <c r="P218" s="295">
        <f>O168</f>
        <v>0.4</v>
      </c>
    </row>
    <row r="219" spans="1:16" ht="13">
      <c r="A219" s="1203"/>
      <c r="B219" s="289">
        <v>16</v>
      </c>
      <c r="C219" s="294">
        <f>C170</f>
        <v>15</v>
      </c>
      <c r="D219" s="294">
        <f t="shared" ref="D219:F219" si="68">D170</f>
        <v>0.1</v>
      </c>
      <c r="E219" s="294" t="str">
        <f t="shared" si="68"/>
        <v>-</v>
      </c>
      <c r="F219" s="294">
        <f t="shared" si="68"/>
        <v>0</v>
      </c>
      <c r="G219" s="229"/>
      <c r="H219" s="1204"/>
      <c r="I219" s="289">
        <v>16</v>
      </c>
      <c r="J219" s="294">
        <f>I170</f>
        <v>30</v>
      </c>
      <c r="K219" s="294">
        <f t="shared" ref="K219:M219" si="69">J170</f>
        <v>-1.6</v>
      </c>
      <c r="L219" s="294" t="str">
        <f t="shared" si="69"/>
        <v>-</v>
      </c>
      <c r="M219" s="294">
        <f t="shared" si="69"/>
        <v>0</v>
      </c>
      <c r="N219" s="229"/>
      <c r="O219" s="287">
        <v>17</v>
      </c>
      <c r="P219" s="295">
        <f>O179</f>
        <v>0.3</v>
      </c>
    </row>
    <row r="220" spans="1:16" ht="13">
      <c r="A220" s="1203"/>
      <c r="B220" s="289">
        <v>17</v>
      </c>
      <c r="C220" s="294">
        <f>C181</f>
        <v>15</v>
      </c>
      <c r="D220" s="294">
        <f t="shared" ref="D220:F220" si="70">D181</f>
        <v>0</v>
      </c>
      <c r="E220" s="294" t="str">
        <f t="shared" si="70"/>
        <v>-</v>
      </c>
      <c r="F220" s="294">
        <f t="shared" si="70"/>
        <v>0</v>
      </c>
      <c r="G220" s="229"/>
      <c r="H220" s="1204"/>
      <c r="I220" s="289">
        <v>17</v>
      </c>
      <c r="J220" s="294">
        <f>I181</f>
        <v>30</v>
      </c>
      <c r="K220" s="294">
        <f t="shared" ref="K220:M220" si="71">J181</f>
        <v>-0.4</v>
      </c>
      <c r="L220" s="294" t="str">
        <f t="shared" si="71"/>
        <v>-</v>
      </c>
      <c r="M220" s="294">
        <f t="shared" si="71"/>
        <v>0</v>
      </c>
      <c r="N220" s="229"/>
      <c r="O220" s="287">
        <v>18</v>
      </c>
      <c r="P220" s="295">
        <f>O190</f>
        <v>0.3</v>
      </c>
    </row>
    <row r="221" spans="1:16" ht="13">
      <c r="A221" s="1203"/>
      <c r="B221" s="289">
        <v>18</v>
      </c>
      <c r="C221" s="294">
        <f>C192</f>
        <v>15</v>
      </c>
      <c r="D221" s="294">
        <f t="shared" ref="D221:F221" si="72">D192</f>
        <v>0</v>
      </c>
      <c r="E221" s="294" t="str">
        <f t="shared" si="72"/>
        <v>-</v>
      </c>
      <c r="F221" s="294">
        <f t="shared" si="72"/>
        <v>0</v>
      </c>
      <c r="G221" s="229"/>
      <c r="H221" s="1204"/>
      <c r="I221" s="289">
        <v>18</v>
      </c>
      <c r="J221" s="294">
        <f>I192</f>
        <v>30</v>
      </c>
      <c r="K221" s="294">
        <f t="shared" ref="K221:M221" si="73">J192</f>
        <v>-0.4</v>
      </c>
      <c r="L221" s="294" t="str">
        <f t="shared" si="73"/>
        <v>-</v>
      </c>
      <c r="M221" s="294">
        <f t="shared" si="73"/>
        <v>0</v>
      </c>
      <c r="N221" s="229"/>
      <c r="O221" s="287">
        <v>19</v>
      </c>
      <c r="P221" s="297"/>
    </row>
    <row r="222" spans="1:16" ht="13">
      <c r="A222" s="298"/>
      <c r="B222" s="299"/>
      <c r="C222" s="300"/>
      <c r="D222" s="300"/>
      <c r="E222" s="300"/>
      <c r="F222" s="301"/>
      <c r="G222" s="302"/>
      <c r="H222" s="303"/>
      <c r="I222" s="303"/>
      <c r="J222" s="304"/>
      <c r="K222" s="304"/>
      <c r="L222" s="304"/>
      <c r="M222" s="304"/>
      <c r="N222" s="302"/>
      <c r="O222" s="302"/>
      <c r="P222" s="302"/>
    </row>
    <row r="223" spans="1:16" ht="13">
      <c r="A223" s="1203" t="s">
        <v>271</v>
      </c>
      <c r="B223" s="289">
        <v>1</v>
      </c>
      <c r="C223" s="294">
        <f>C6</f>
        <v>20</v>
      </c>
      <c r="D223" s="294">
        <f t="shared" ref="D223:F223" si="74">D6</f>
        <v>-0.2</v>
      </c>
      <c r="E223" s="294">
        <f t="shared" si="74"/>
        <v>0.2</v>
      </c>
      <c r="F223" s="294">
        <f t="shared" si="74"/>
        <v>0.2</v>
      </c>
      <c r="G223" s="229"/>
      <c r="H223" s="1204" t="s">
        <v>271</v>
      </c>
      <c r="I223" s="289">
        <v>1</v>
      </c>
      <c r="J223" s="294">
        <f>I6</f>
        <v>40</v>
      </c>
      <c r="K223" s="294">
        <f t="shared" ref="K223:M223" si="75">J50</f>
        <v>-7.2</v>
      </c>
      <c r="L223" s="294">
        <f t="shared" si="75"/>
        <v>-8</v>
      </c>
      <c r="M223" s="294">
        <f t="shared" si="75"/>
        <v>0.39999999999999991</v>
      </c>
      <c r="N223" s="229"/>
      <c r="O223" s="1207" t="s">
        <v>243</v>
      </c>
      <c r="P223" s="1208"/>
    </row>
    <row r="224" spans="1:16" ht="13">
      <c r="A224" s="1203"/>
      <c r="B224" s="289">
        <v>2</v>
      </c>
      <c r="C224" s="294">
        <f>C17</f>
        <v>20</v>
      </c>
      <c r="D224" s="294">
        <f t="shared" ref="D224:F224" si="76">D17</f>
        <v>-0.1</v>
      </c>
      <c r="E224" s="294">
        <f t="shared" si="76"/>
        <v>0</v>
      </c>
      <c r="F224" s="294">
        <f t="shared" si="76"/>
        <v>0.05</v>
      </c>
      <c r="G224" s="229"/>
      <c r="H224" s="1204"/>
      <c r="I224" s="289">
        <v>2</v>
      </c>
      <c r="J224" s="294">
        <f>I17</f>
        <v>40</v>
      </c>
      <c r="K224" s="294">
        <f t="shared" ref="K224:M224" si="77">J17</f>
        <v>-1.6</v>
      </c>
      <c r="L224" s="294">
        <f t="shared" si="77"/>
        <v>-1.1000000000000001</v>
      </c>
      <c r="M224" s="294">
        <f t="shared" si="77"/>
        <v>0.25</v>
      </c>
      <c r="N224" s="229"/>
      <c r="O224" s="1209" t="s">
        <v>247</v>
      </c>
      <c r="P224" s="1210"/>
    </row>
    <row r="225" spans="1:16" ht="13">
      <c r="A225" s="1203"/>
      <c r="B225" s="289">
        <v>3</v>
      </c>
      <c r="C225" s="290">
        <f>C28</f>
        <v>20</v>
      </c>
      <c r="D225" s="290">
        <f t="shared" ref="D225:F225" si="78">D28</f>
        <v>0</v>
      </c>
      <c r="E225" s="290">
        <f t="shared" si="78"/>
        <v>0</v>
      </c>
      <c r="F225" s="290">
        <f t="shared" si="78"/>
        <v>0</v>
      </c>
      <c r="G225" s="229"/>
      <c r="H225" s="1204"/>
      <c r="I225" s="289">
        <v>3</v>
      </c>
      <c r="J225" s="290">
        <f>I28</f>
        <v>40</v>
      </c>
      <c r="K225" s="290">
        <f t="shared" ref="K225:M225" si="79">J28</f>
        <v>-5.3</v>
      </c>
      <c r="L225" s="290">
        <f t="shared" si="79"/>
        <v>-1.9</v>
      </c>
      <c r="M225" s="290">
        <f t="shared" si="79"/>
        <v>1.7</v>
      </c>
      <c r="N225" s="229"/>
      <c r="O225" s="287">
        <v>1</v>
      </c>
      <c r="P225" s="288">
        <f>O4</f>
        <v>3.1</v>
      </c>
    </row>
    <row r="226" spans="1:16" ht="13">
      <c r="A226" s="1203"/>
      <c r="B226" s="289">
        <v>4</v>
      </c>
      <c r="C226" s="290">
        <f>C39</f>
        <v>20</v>
      </c>
      <c r="D226" s="290">
        <f t="shared" ref="D226:F226" si="80">D39</f>
        <v>-0.3</v>
      </c>
      <c r="E226" s="290">
        <f t="shared" si="80"/>
        <v>0</v>
      </c>
      <c r="F226" s="290">
        <f t="shared" si="80"/>
        <v>0.15</v>
      </c>
      <c r="G226" s="229"/>
      <c r="H226" s="1204"/>
      <c r="I226" s="289">
        <v>4</v>
      </c>
      <c r="J226" s="290">
        <f>I39</f>
        <v>40</v>
      </c>
      <c r="K226" s="290">
        <f t="shared" ref="K226:M226" si="81">J39</f>
        <v>-1.5</v>
      </c>
      <c r="L226" s="290">
        <f t="shared" si="81"/>
        <v>-0.9</v>
      </c>
      <c r="M226" s="290">
        <f t="shared" si="81"/>
        <v>0.3</v>
      </c>
      <c r="N226" s="229"/>
      <c r="O226" s="291">
        <v>2</v>
      </c>
      <c r="P226" s="292">
        <f>O15</f>
        <v>3.3</v>
      </c>
    </row>
    <row r="227" spans="1:16" ht="13">
      <c r="A227" s="1203"/>
      <c r="B227" s="289">
        <v>5</v>
      </c>
      <c r="C227" s="290">
        <f>C50</f>
        <v>20</v>
      </c>
      <c r="D227" s="290">
        <f t="shared" ref="D227:F227" si="82">D50</f>
        <v>0.1</v>
      </c>
      <c r="E227" s="290">
        <f t="shared" si="82"/>
        <v>0.3</v>
      </c>
      <c r="F227" s="290">
        <f t="shared" si="82"/>
        <v>9.9999999999999992E-2</v>
      </c>
      <c r="G227" s="229"/>
      <c r="H227" s="1204"/>
      <c r="I227" s="289">
        <v>5</v>
      </c>
      <c r="J227" s="290">
        <f>I50</f>
        <v>40</v>
      </c>
      <c r="K227" s="290">
        <f t="shared" ref="K227:M227" si="83">J50</f>
        <v>-7.2</v>
      </c>
      <c r="L227" s="290">
        <f t="shared" si="83"/>
        <v>-8</v>
      </c>
      <c r="M227" s="290">
        <f t="shared" si="83"/>
        <v>0.39999999999999991</v>
      </c>
      <c r="N227" s="229"/>
      <c r="O227" s="291">
        <v>3</v>
      </c>
      <c r="P227" s="293">
        <f>O26</f>
        <v>3.1</v>
      </c>
    </row>
    <row r="228" spans="1:16" ht="13">
      <c r="A228" s="1203"/>
      <c r="B228" s="289">
        <v>6</v>
      </c>
      <c r="C228" s="290">
        <f>C61</f>
        <v>20</v>
      </c>
      <c r="D228" s="290">
        <f t="shared" ref="D228:F228" si="84">D61</f>
        <v>0.3</v>
      </c>
      <c r="E228" s="290">
        <f t="shared" si="84"/>
        <v>0.2</v>
      </c>
      <c r="F228" s="290">
        <f t="shared" si="84"/>
        <v>4.9999999999999989E-2</v>
      </c>
      <c r="G228" s="229"/>
      <c r="H228" s="1204"/>
      <c r="I228" s="289">
        <v>6</v>
      </c>
      <c r="J228" s="290">
        <f>I61</f>
        <v>40</v>
      </c>
      <c r="K228" s="290">
        <f t="shared" ref="K228:M228" si="85">J61</f>
        <v>-3.8</v>
      </c>
      <c r="L228" s="290">
        <f t="shared" si="85"/>
        <v>-3.4</v>
      </c>
      <c r="M228" s="290">
        <f t="shared" si="85"/>
        <v>0.19999999999999996</v>
      </c>
      <c r="N228" s="229"/>
      <c r="O228" s="291">
        <v>4</v>
      </c>
      <c r="P228" s="293">
        <f>O37</f>
        <v>2.6</v>
      </c>
    </row>
    <row r="229" spans="1:16" ht="13">
      <c r="A229" s="1203"/>
      <c r="B229" s="289">
        <v>7</v>
      </c>
      <c r="C229" s="290">
        <f>C72</f>
        <v>20</v>
      </c>
      <c r="D229" s="290">
        <f t="shared" ref="D229:F229" si="86">D72</f>
        <v>0.1</v>
      </c>
      <c r="E229" s="290">
        <f t="shared" si="86"/>
        <v>0.1</v>
      </c>
      <c r="F229" s="290">
        <f t="shared" si="86"/>
        <v>0</v>
      </c>
      <c r="G229" s="229"/>
      <c r="H229" s="1204"/>
      <c r="I229" s="289">
        <v>7</v>
      </c>
      <c r="J229" s="290">
        <f>I72</f>
        <v>40</v>
      </c>
      <c r="K229" s="290">
        <f t="shared" ref="K229:M229" si="87">J72</f>
        <v>1.2</v>
      </c>
      <c r="L229" s="290">
        <f t="shared" si="87"/>
        <v>0</v>
      </c>
      <c r="M229" s="290">
        <f t="shared" si="87"/>
        <v>0.6</v>
      </c>
      <c r="N229" s="229"/>
      <c r="O229" s="291">
        <v>5</v>
      </c>
      <c r="P229" s="293">
        <f>O48</f>
        <v>2.8</v>
      </c>
    </row>
    <row r="230" spans="1:16" ht="13">
      <c r="A230" s="1203"/>
      <c r="B230" s="289">
        <v>8</v>
      </c>
      <c r="C230" s="290">
        <f>C83</f>
        <v>20</v>
      </c>
      <c r="D230" s="290">
        <f t="shared" ref="D230:F230" si="88">D83</f>
        <v>-0.2</v>
      </c>
      <c r="E230" s="290">
        <f t="shared" si="88"/>
        <v>-0.2</v>
      </c>
      <c r="F230" s="290">
        <f t="shared" si="88"/>
        <v>0</v>
      </c>
      <c r="G230" s="229"/>
      <c r="H230" s="1204"/>
      <c r="I230" s="289">
        <v>8</v>
      </c>
      <c r="J230" s="290">
        <f>I83</f>
        <v>40</v>
      </c>
      <c r="K230" s="290">
        <f t="shared" ref="K230:M230" si="89">J83</f>
        <v>-1.2</v>
      </c>
      <c r="L230" s="290">
        <f t="shared" si="89"/>
        <v>1.1000000000000001</v>
      </c>
      <c r="M230" s="290">
        <f t="shared" si="89"/>
        <v>1.1499999999999999</v>
      </c>
      <c r="N230" s="229"/>
      <c r="O230" s="287">
        <v>6</v>
      </c>
      <c r="P230" s="288">
        <f>O59</f>
        <v>2.6</v>
      </c>
    </row>
    <row r="231" spans="1:16" ht="13">
      <c r="A231" s="1203"/>
      <c r="B231" s="289">
        <v>9</v>
      </c>
      <c r="C231" s="290">
        <f>C94</f>
        <v>20</v>
      </c>
      <c r="D231" s="290">
        <f t="shared" ref="D231:F231" si="90">D94</f>
        <v>-0.2</v>
      </c>
      <c r="E231" s="290" t="str">
        <f t="shared" si="90"/>
        <v>-</v>
      </c>
      <c r="F231" s="290">
        <f t="shared" si="90"/>
        <v>0</v>
      </c>
      <c r="G231" s="229"/>
      <c r="H231" s="1204"/>
      <c r="I231" s="289">
        <v>9</v>
      </c>
      <c r="J231" s="290">
        <f>I94</f>
        <v>40</v>
      </c>
      <c r="K231" s="290">
        <f t="shared" ref="K231:M231" si="91">J94</f>
        <v>-1</v>
      </c>
      <c r="L231" s="290" t="str">
        <f t="shared" si="91"/>
        <v>-</v>
      </c>
      <c r="M231" s="290">
        <f t="shared" si="91"/>
        <v>0</v>
      </c>
      <c r="N231" s="229"/>
      <c r="O231" s="287">
        <v>7</v>
      </c>
      <c r="P231" s="288">
        <f>O70</f>
        <v>2.2999999999999998</v>
      </c>
    </row>
    <row r="232" spans="1:16" ht="13">
      <c r="A232" s="1203"/>
      <c r="B232" s="289">
        <v>10</v>
      </c>
      <c r="C232" s="290">
        <f>C105</f>
        <v>20</v>
      </c>
      <c r="D232" s="290">
        <f t="shared" ref="D232:F232" si="92">D105</f>
        <v>0.2</v>
      </c>
      <c r="E232" s="290">
        <f t="shared" si="92"/>
        <v>-0.7</v>
      </c>
      <c r="F232" s="290">
        <f t="shared" si="92"/>
        <v>0.44999999999999996</v>
      </c>
      <c r="G232" s="229"/>
      <c r="H232" s="1204"/>
      <c r="I232" s="289">
        <v>10</v>
      </c>
      <c r="J232" s="290">
        <f>I105</f>
        <v>40</v>
      </c>
      <c r="K232" s="290">
        <f t="shared" ref="K232:M232" si="93">J105</f>
        <v>-3.3</v>
      </c>
      <c r="L232" s="290">
        <f t="shared" si="93"/>
        <v>-6.4</v>
      </c>
      <c r="M232" s="290">
        <f t="shared" si="93"/>
        <v>1.5500000000000003</v>
      </c>
      <c r="N232" s="229"/>
      <c r="O232" s="287">
        <v>8</v>
      </c>
      <c r="P232" s="288">
        <f>O81</f>
        <v>2.6</v>
      </c>
    </row>
    <row r="233" spans="1:16" ht="13">
      <c r="A233" s="1203"/>
      <c r="B233" s="289">
        <v>11</v>
      </c>
      <c r="C233" s="290">
        <f>C116</f>
        <v>20</v>
      </c>
      <c r="D233" s="290">
        <f t="shared" ref="D233:F233" si="94">D116</f>
        <v>0.4</v>
      </c>
      <c r="E233" s="290" t="str">
        <f t="shared" si="94"/>
        <v>-</v>
      </c>
      <c r="F233" s="290">
        <f t="shared" si="94"/>
        <v>0</v>
      </c>
      <c r="G233" s="229"/>
      <c r="H233" s="1204"/>
      <c r="I233" s="289">
        <v>11</v>
      </c>
      <c r="J233" s="290">
        <f>I116</f>
        <v>40</v>
      </c>
      <c r="K233" s="290">
        <f t="shared" ref="K233:M233" si="95">J116</f>
        <v>-5.5</v>
      </c>
      <c r="L233" s="290" t="str">
        <f t="shared" si="95"/>
        <v>-</v>
      </c>
      <c r="M233" s="290">
        <f t="shared" si="95"/>
        <v>0</v>
      </c>
      <c r="N233" s="229"/>
      <c r="O233" s="287">
        <v>9</v>
      </c>
      <c r="P233" s="288">
        <f>O92</f>
        <v>2.4</v>
      </c>
    </row>
    <row r="234" spans="1:16" ht="13">
      <c r="A234" s="1203"/>
      <c r="B234" s="289">
        <v>12</v>
      </c>
      <c r="C234" s="290">
        <f>C127</f>
        <v>20</v>
      </c>
      <c r="D234" s="290">
        <f t="shared" ref="D234:F234" si="96">D127</f>
        <v>-0.5</v>
      </c>
      <c r="E234" s="290" t="str">
        <f t="shared" si="96"/>
        <v>-</v>
      </c>
      <c r="F234" s="290">
        <f t="shared" si="96"/>
        <v>0</v>
      </c>
      <c r="G234" s="229"/>
      <c r="H234" s="1204"/>
      <c r="I234" s="289">
        <v>12</v>
      </c>
      <c r="J234" s="290">
        <f>I127</f>
        <v>40</v>
      </c>
      <c r="K234" s="290">
        <f t="shared" ref="K234:M234" si="97">J127</f>
        <v>-0.3</v>
      </c>
      <c r="L234" s="290" t="str">
        <f t="shared" si="97"/>
        <v>-</v>
      </c>
      <c r="M234" s="290">
        <f t="shared" si="97"/>
        <v>0</v>
      </c>
      <c r="N234" s="229"/>
      <c r="O234" s="287">
        <v>10</v>
      </c>
      <c r="P234" s="288">
        <f>O103</f>
        <v>1.5</v>
      </c>
    </row>
    <row r="235" spans="1:16" ht="13">
      <c r="A235" s="1203"/>
      <c r="B235" s="289">
        <v>13</v>
      </c>
      <c r="C235" s="290">
        <f>C138</f>
        <v>20</v>
      </c>
      <c r="D235" s="290">
        <f t="shared" ref="D235:F235" si="98">D138</f>
        <v>-0.1</v>
      </c>
      <c r="E235" s="290" t="str">
        <f t="shared" si="98"/>
        <v>-</v>
      </c>
      <c r="F235" s="290">
        <f t="shared" si="98"/>
        <v>0</v>
      </c>
      <c r="G235" s="229"/>
      <c r="H235" s="1204"/>
      <c r="I235" s="289">
        <v>13</v>
      </c>
      <c r="J235" s="290">
        <f>I138</f>
        <v>40</v>
      </c>
      <c r="K235" s="290">
        <f t="shared" ref="K235:M235" si="99">J138</f>
        <v>0.3</v>
      </c>
      <c r="L235" s="290" t="str">
        <f t="shared" si="99"/>
        <v>-</v>
      </c>
      <c r="M235" s="290">
        <f t="shared" si="99"/>
        <v>0</v>
      </c>
      <c r="N235" s="229"/>
      <c r="O235" s="287">
        <v>11</v>
      </c>
      <c r="P235" s="288">
        <f>O114</f>
        <v>1.8</v>
      </c>
    </row>
    <row r="236" spans="1:16" ht="13">
      <c r="A236" s="1203"/>
      <c r="B236" s="289">
        <v>14</v>
      </c>
      <c r="C236" s="290">
        <f>C149</f>
        <v>20</v>
      </c>
      <c r="D236" s="290">
        <f t="shared" ref="D236:F236" si="100">D149</f>
        <v>-0.4</v>
      </c>
      <c r="E236" s="290" t="str">
        <f t="shared" si="100"/>
        <v>-</v>
      </c>
      <c r="F236" s="290">
        <f t="shared" si="100"/>
        <v>0</v>
      </c>
      <c r="G236" s="229"/>
      <c r="H236" s="1204"/>
      <c r="I236" s="289">
        <v>14</v>
      </c>
      <c r="J236" s="290">
        <f>I149</f>
        <v>40</v>
      </c>
      <c r="K236" s="290">
        <f t="shared" ref="K236:M236" si="101">J149</f>
        <v>-1.3</v>
      </c>
      <c r="L236" s="290" t="str">
        <f t="shared" si="101"/>
        <v>-</v>
      </c>
      <c r="M236" s="290">
        <f t="shared" si="101"/>
        <v>0</v>
      </c>
      <c r="N236" s="229"/>
      <c r="O236" s="287">
        <v>12</v>
      </c>
      <c r="P236" s="305">
        <f>O125</f>
        <v>2.7</v>
      </c>
    </row>
    <row r="237" spans="1:16" ht="13">
      <c r="A237" s="1203"/>
      <c r="B237" s="289">
        <v>15</v>
      </c>
      <c r="C237" s="290">
        <f>C160</f>
        <v>20</v>
      </c>
      <c r="D237" s="290">
        <f t="shared" ref="D237:F237" si="102">D160</f>
        <v>0.1</v>
      </c>
      <c r="E237" s="290" t="str">
        <f t="shared" si="102"/>
        <v>-</v>
      </c>
      <c r="F237" s="290">
        <f t="shared" si="102"/>
        <v>0</v>
      </c>
      <c r="G237" s="229"/>
      <c r="H237" s="1204"/>
      <c r="I237" s="289">
        <v>15</v>
      </c>
      <c r="J237" s="290">
        <f>I160</f>
        <v>40</v>
      </c>
      <c r="K237" s="290">
        <f t="shared" ref="K237:M237" si="103">J160</f>
        <v>0.2</v>
      </c>
      <c r="L237" s="290" t="str">
        <f t="shared" si="103"/>
        <v>-</v>
      </c>
      <c r="M237" s="290">
        <f t="shared" si="103"/>
        <v>0</v>
      </c>
      <c r="N237" s="229"/>
      <c r="O237" s="287">
        <v>13</v>
      </c>
      <c r="P237" s="288">
        <f>O136</f>
        <v>2.2000000000000002</v>
      </c>
    </row>
    <row r="238" spans="1:16" ht="13">
      <c r="A238" s="1203"/>
      <c r="B238" s="289">
        <v>16</v>
      </c>
      <c r="C238" s="290">
        <f>C171</f>
        <v>20</v>
      </c>
      <c r="D238" s="290">
        <f t="shared" ref="D238:F238" si="104">D171</f>
        <v>0.2</v>
      </c>
      <c r="E238" s="290" t="str">
        <f t="shared" si="104"/>
        <v>-</v>
      </c>
      <c r="F238" s="290">
        <f t="shared" si="104"/>
        <v>0</v>
      </c>
      <c r="G238" s="229"/>
      <c r="H238" s="1204"/>
      <c r="I238" s="289">
        <v>16</v>
      </c>
      <c r="J238" s="290">
        <f>I171</f>
        <v>40</v>
      </c>
      <c r="K238" s="290">
        <f t="shared" ref="K238:M238" si="105">J171</f>
        <v>-1.4</v>
      </c>
      <c r="L238" s="290" t="str">
        <f t="shared" si="105"/>
        <v>-</v>
      </c>
      <c r="M238" s="290">
        <f t="shared" si="105"/>
        <v>0</v>
      </c>
      <c r="N238" s="229"/>
      <c r="O238" s="287">
        <v>14</v>
      </c>
      <c r="P238" s="288">
        <f>O147</f>
        <v>2.7</v>
      </c>
    </row>
    <row r="239" spans="1:16" ht="13">
      <c r="A239" s="1203"/>
      <c r="B239" s="289">
        <v>17</v>
      </c>
      <c r="C239" s="290">
        <f>C182</f>
        <v>20</v>
      </c>
      <c r="D239" s="290">
        <f t="shared" ref="D239:F239" si="106">D182</f>
        <v>-0.1</v>
      </c>
      <c r="E239" s="290" t="str">
        <f t="shared" si="106"/>
        <v>-</v>
      </c>
      <c r="F239" s="290">
        <f t="shared" si="106"/>
        <v>0</v>
      </c>
      <c r="G239" s="229"/>
      <c r="H239" s="1204"/>
      <c r="I239" s="289">
        <v>17</v>
      </c>
      <c r="J239" s="290">
        <f>I182</f>
        <v>40</v>
      </c>
      <c r="K239" s="290">
        <f t="shared" ref="K239:M239" si="107">J182</f>
        <v>-0.2</v>
      </c>
      <c r="L239" s="290" t="str">
        <f t="shared" si="107"/>
        <v>-</v>
      </c>
      <c r="M239" s="290">
        <f t="shared" si="107"/>
        <v>0</v>
      </c>
      <c r="N239" s="229"/>
      <c r="O239" s="306">
        <v>15</v>
      </c>
      <c r="P239" s="307">
        <f>O158</f>
        <v>2.8</v>
      </c>
    </row>
    <row r="240" spans="1:16" ht="13">
      <c r="A240" s="1203"/>
      <c r="B240" s="289">
        <v>18</v>
      </c>
      <c r="C240" s="290">
        <f>C193</f>
        <v>20</v>
      </c>
      <c r="D240" s="290">
        <f t="shared" ref="D240:F240" si="108">D193</f>
        <v>0</v>
      </c>
      <c r="E240" s="290" t="str">
        <f t="shared" si="108"/>
        <v>-</v>
      </c>
      <c r="F240" s="290">
        <f t="shared" si="108"/>
        <v>0</v>
      </c>
      <c r="G240" s="229"/>
      <c r="H240" s="1204"/>
      <c r="I240" s="289">
        <v>18</v>
      </c>
      <c r="J240" s="290">
        <f>I193</f>
        <v>40</v>
      </c>
      <c r="K240" s="290">
        <f t="shared" ref="K240:M240" si="109">J193</f>
        <v>-0.1</v>
      </c>
      <c r="L240" s="290" t="str">
        <f t="shared" si="109"/>
        <v>-</v>
      </c>
      <c r="M240" s="290">
        <f t="shared" si="109"/>
        <v>0</v>
      </c>
      <c r="N240" s="229"/>
      <c r="O240" s="287">
        <v>16</v>
      </c>
      <c r="P240" s="308">
        <f>O169</f>
        <v>2.2000000000000002</v>
      </c>
    </row>
    <row r="241" spans="1:16" ht="13">
      <c r="A241" s="298"/>
      <c r="B241" s="299"/>
      <c r="C241" s="309"/>
      <c r="D241" s="309"/>
      <c r="E241" s="309"/>
      <c r="F241" s="310"/>
      <c r="G241" s="302"/>
      <c r="H241" s="298"/>
      <c r="I241" s="299"/>
      <c r="J241" s="309"/>
      <c r="K241" s="309"/>
      <c r="L241" s="309"/>
      <c r="M241" s="310"/>
      <c r="N241" s="229"/>
      <c r="O241" s="306">
        <v>17</v>
      </c>
      <c r="P241" s="308">
        <f>O180</f>
        <v>1.6</v>
      </c>
    </row>
    <row r="242" spans="1:16" ht="13">
      <c r="A242" s="1203" t="s">
        <v>272</v>
      </c>
      <c r="B242" s="289">
        <v>1</v>
      </c>
      <c r="C242" s="290">
        <f>C7</f>
        <v>25</v>
      </c>
      <c r="D242" s="290">
        <f t="shared" ref="D242:F242" si="110">D7</f>
        <v>0</v>
      </c>
      <c r="E242" s="290">
        <f t="shared" si="110"/>
        <v>0.1</v>
      </c>
      <c r="F242" s="290">
        <f t="shared" si="110"/>
        <v>0.05</v>
      </c>
      <c r="G242" s="229"/>
      <c r="H242" s="1204" t="s">
        <v>272</v>
      </c>
      <c r="I242" s="289">
        <v>1</v>
      </c>
      <c r="J242" s="290">
        <f>I7</f>
        <v>50</v>
      </c>
      <c r="K242" s="290">
        <f t="shared" ref="K242:M242" si="111">J7</f>
        <v>-5.3</v>
      </c>
      <c r="L242" s="290">
        <f t="shared" si="111"/>
        <v>-7.2</v>
      </c>
      <c r="M242" s="290">
        <f t="shared" si="111"/>
        <v>0.95000000000000018</v>
      </c>
      <c r="N242" s="229"/>
      <c r="O242" s="287">
        <v>18</v>
      </c>
      <c r="P242" s="308">
        <f>O191</f>
        <v>2</v>
      </c>
    </row>
    <row r="243" spans="1:16" ht="13">
      <c r="A243" s="1203"/>
      <c r="B243" s="289">
        <v>2</v>
      </c>
      <c r="C243" s="290">
        <f>C18</f>
        <v>25</v>
      </c>
      <c r="D243" s="290">
        <f t="shared" ref="D243:F243" si="112">D18</f>
        <v>-0.2</v>
      </c>
      <c r="E243" s="290">
        <f t="shared" si="112"/>
        <v>-0.5</v>
      </c>
      <c r="F243" s="290">
        <f t="shared" si="112"/>
        <v>0.15</v>
      </c>
      <c r="G243" s="229"/>
      <c r="H243" s="1204"/>
      <c r="I243" s="289">
        <v>2</v>
      </c>
      <c r="J243" s="290">
        <f>I18</f>
        <v>50</v>
      </c>
      <c r="K243" s="290">
        <f t="shared" ref="K243:M243" si="113">J18</f>
        <v>-1.5</v>
      </c>
      <c r="L243" s="290">
        <f t="shared" si="113"/>
        <v>-1.4</v>
      </c>
      <c r="M243" s="290">
        <f t="shared" si="113"/>
        <v>5.0000000000000044E-2</v>
      </c>
      <c r="N243" s="229"/>
    </row>
    <row r="244" spans="1:16" ht="13">
      <c r="A244" s="1203"/>
      <c r="B244" s="289">
        <v>3</v>
      </c>
      <c r="C244" s="290">
        <f>C29</f>
        <v>25</v>
      </c>
      <c r="D244" s="290">
        <f t="shared" ref="D244:F244" si="114">D29</f>
        <v>-0.1</v>
      </c>
      <c r="E244" s="290">
        <f t="shared" si="114"/>
        <v>-0.2</v>
      </c>
      <c r="F244" s="290">
        <f t="shared" si="114"/>
        <v>0.05</v>
      </c>
      <c r="G244" s="229"/>
      <c r="H244" s="1204"/>
      <c r="I244" s="289">
        <v>3</v>
      </c>
      <c r="J244" s="290">
        <f>I29</f>
        <v>50</v>
      </c>
      <c r="K244" s="290">
        <f t="shared" ref="K244:M244" si="115">J29</f>
        <v>-4.9000000000000004</v>
      </c>
      <c r="L244" s="290">
        <f t="shared" si="115"/>
        <v>-2.2999999999999998</v>
      </c>
      <c r="M244" s="290">
        <f t="shared" si="115"/>
        <v>1.3000000000000003</v>
      </c>
      <c r="N244" s="229"/>
      <c r="O244" s="229"/>
      <c r="P244" s="229"/>
    </row>
    <row r="245" spans="1:16" ht="13">
      <c r="A245" s="1203"/>
      <c r="B245" s="289">
        <v>4</v>
      </c>
      <c r="C245" s="290">
        <f>C40</f>
        <v>25</v>
      </c>
      <c r="D245" s="290">
        <f t="shared" ref="D245:F245" si="116">D40</f>
        <v>-0.5</v>
      </c>
      <c r="E245" s="290">
        <f t="shared" si="116"/>
        <v>-0.5</v>
      </c>
      <c r="F245" s="290">
        <f t="shared" si="116"/>
        <v>0</v>
      </c>
      <c r="G245" s="229"/>
      <c r="H245" s="1204"/>
      <c r="I245" s="289">
        <v>4</v>
      </c>
      <c r="J245" s="290">
        <f>I40</f>
        <v>50</v>
      </c>
      <c r="K245" s="290">
        <f t="shared" ref="K245:M245" si="117">J40</f>
        <v>-1</v>
      </c>
      <c r="L245" s="290">
        <f t="shared" si="117"/>
        <v>-1</v>
      </c>
      <c r="M245" s="290">
        <f t="shared" si="117"/>
        <v>0</v>
      </c>
      <c r="N245" s="229"/>
      <c r="O245" s="229"/>
      <c r="P245" s="229"/>
    </row>
    <row r="246" spans="1:16" ht="13">
      <c r="A246" s="1203"/>
      <c r="B246" s="289">
        <v>5</v>
      </c>
      <c r="C246" s="290">
        <f>C51</f>
        <v>25</v>
      </c>
      <c r="D246" s="290">
        <f t="shared" ref="D246:F246" si="118">D51</f>
        <v>0.4</v>
      </c>
      <c r="E246" s="290">
        <f t="shared" si="118"/>
        <v>0.2</v>
      </c>
      <c r="F246" s="290">
        <f t="shared" si="118"/>
        <v>0.1</v>
      </c>
      <c r="G246" s="229"/>
      <c r="H246" s="1204"/>
      <c r="I246" s="289">
        <v>5</v>
      </c>
      <c r="J246" s="290">
        <f>I51</f>
        <v>50</v>
      </c>
      <c r="K246" s="290">
        <f t="shared" ref="K246:M246" si="119">J51</f>
        <v>-6.2</v>
      </c>
      <c r="L246" s="290">
        <f t="shared" si="119"/>
        <v>-6.2</v>
      </c>
      <c r="M246" s="290">
        <f t="shared" si="119"/>
        <v>0</v>
      </c>
      <c r="N246" s="229"/>
      <c r="O246" s="229"/>
      <c r="P246" s="229"/>
    </row>
    <row r="247" spans="1:16" ht="13">
      <c r="A247" s="1203"/>
      <c r="B247" s="289">
        <v>6</v>
      </c>
      <c r="C247" s="290">
        <f>C62</f>
        <v>25</v>
      </c>
      <c r="D247" s="290">
        <f t="shared" ref="D247:F247" si="120">D62</f>
        <v>0.2</v>
      </c>
      <c r="E247" s="290">
        <f t="shared" si="120"/>
        <v>-0.1</v>
      </c>
      <c r="F247" s="290">
        <f t="shared" si="120"/>
        <v>0.15000000000000002</v>
      </c>
      <c r="G247" s="229"/>
      <c r="H247" s="1204"/>
      <c r="I247" s="289">
        <v>6</v>
      </c>
      <c r="J247" s="290">
        <f>I62</f>
        <v>50</v>
      </c>
      <c r="K247" s="290">
        <f t="shared" ref="K247:M247" si="121">J62</f>
        <v>-5.4</v>
      </c>
      <c r="L247" s="290">
        <f t="shared" si="121"/>
        <v>-2.5</v>
      </c>
      <c r="M247" s="290">
        <f t="shared" si="121"/>
        <v>1.4500000000000002</v>
      </c>
      <c r="N247" s="229"/>
      <c r="O247" s="229"/>
      <c r="P247" s="229"/>
    </row>
    <row r="248" spans="1:16" ht="13">
      <c r="A248" s="1203"/>
      <c r="B248" s="289">
        <v>7</v>
      </c>
      <c r="C248" s="290">
        <f>C73</f>
        <v>25</v>
      </c>
      <c r="D248" s="290">
        <f t="shared" ref="D248:F248" si="122">D73</f>
        <v>-0.2</v>
      </c>
      <c r="E248" s="290">
        <f t="shared" si="122"/>
        <v>0</v>
      </c>
      <c r="F248" s="290">
        <f t="shared" si="122"/>
        <v>0.1</v>
      </c>
      <c r="G248" s="229"/>
      <c r="H248" s="1204"/>
      <c r="I248" s="289">
        <v>7</v>
      </c>
      <c r="J248" s="290">
        <f>I73</f>
        <v>50</v>
      </c>
      <c r="K248" s="290">
        <f t="shared" ref="K248:M248" si="123">J73</f>
        <v>0.8</v>
      </c>
      <c r="L248" s="290">
        <f t="shared" si="123"/>
        <v>0.6</v>
      </c>
      <c r="M248" s="290">
        <f t="shared" si="123"/>
        <v>0.10000000000000003</v>
      </c>
      <c r="N248" s="229"/>
      <c r="O248" s="229"/>
      <c r="P248" s="229"/>
    </row>
    <row r="249" spans="1:16" ht="13">
      <c r="A249" s="1203"/>
      <c r="B249" s="289">
        <v>8</v>
      </c>
      <c r="C249" s="290">
        <f>C84</f>
        <v>25</v>
      </c>
      <c r="D249" s="290">
        <f t="shared" ref="D249:F249" si="124">D84</f>
        <v>-0.4</v>
      </c>
      <c r="E249" s="290">
        <f t="shared" si="124"/>
        <v>-0.2</v>
      </c>
      <c r="F249" s="290">
        <f t="shared" si="124"/>
        <v>0.1</v>
      </c>
      <c r="G249" s="229"/>
      <c r="H249" s="1204"/>
      <c r="I249" s="289">
        <v>8</v>
      </c>
      <c r="J249" s="290">
        <f>I84</f>
        <v>50</v>
      </c>
      <c r="K249" s="290">
        <f t="shared" ref="K249:M249" si="125">J84</f>
        <v>-1.2</v>
      </c>
      <c r="L249" s="290">
        <f t="shared" si="125"/>
        <v>1.3</v>
      </c>
      <c r="M249" s="290">
        <f t="shared" si="125"/>
        <v>1.25</v>
      </c>
      <c r="N249" s="229"/>
      <c r="O249" s="229"/>
      <c r="P249" s="229"/>
    </row>
    <row r="250" spans="1:16" ht="13">
      <c r="A250" s="1203"/>
      <c r="B250" s="289">
        <v>9</v>
      </c>
      <c r="C250" s="290">
        <f>C95</f>
        <v>25</v>
      </c>
      <c r="D250" s="290">
        <f t="shared" ref="D250:F250" si="126">D95</f>
        <v>-0.4</v>
      </c>
      <c r="E250" s="290" t="str">
        <f t="shared" si="126"/>
        <v>-</v>
      </c>
      <c r="F250" s="290">
        <f t="shared" si="126"/>
        <v>0</v>
      </c>
      <c r="G250" s="229"/>
      <c r="H250" s="1204"/>
      <c r="I250" s="289">
        <v>9</v>
      </c>
      <c r="J250" s="290">
        <f>I95</f>
        <v>50</v>
      </c>
      <c r="K250" s="290">
        <f t="shared" ref="K250:M250" si="127">J95</f>
        <v>-0.9</v>
      </c>
      <c r="L250" s="290" t="str">
        <f t="shared" si="127"/>
        <v>-</v>
      </c>
      <c r="M250" s="290">
        <f t="shared" si="127"/>
        <v>0</v>
      </c>
      <c r="N250" s="229"/>
      <c r="O250" s="229"/>
      <c r="P250" s="229"/>
    </row>
    <row r="251" spans="1:16" ht="13">
      <c r="A251" s="1203"/>
      <c r="B251" s="289">
        <v>10</v>
      </c>
      <c r="C251" s="290">
        <f>C106</f>
        <v>25</v>
      </c>
      <c r="D251" s="290">
        <f t="shared" ref="D251:F251" si="128">D106</f>
        <v>0.1</v>
      </c>
      <c r="E251" s="290">
        <f t="shared" si="128"/>
        <v>-0.5</v>
      </c>
      <c r="F251" s="290">
        <f t="shared" si="128"/>
        <v>0.3</v>
      </c>
      <c r="G251" s="229"/>
      <c r="H251" s="1204"/>
      <c r="I251" s="289">
        <v>10</v>
      </c>
      <c r="J251" s="290">
        <f>I106</f>
        <v>50</v>
      </c>
      <c r="K251" s="290">
        <f t="shared" ref="K251:M251" si="129">J106</f>
        <v>-3.1</v>
      </c>
      <c r="L251" s="290">
        <f t="shared" si="129"/>
        <v>-6.1</v>
      </c>
      <c r="M251" s="290">
        <f t="shared" si="129"/>
        <v>1.4999999999999998</v>
      </c>
      <c r="N251" s="229"/>
      <c r="O251" s="229"/>
      <c r="P251" s="229"/>
    </row>
    <row r="252" spans="1:16" ht="13">
      <c r="A252" s="1203"/>
      <c r="B252" s="289">
        <v>11</v>
      </c>
      <c r="C252" s="290">
        <f>C117</f>
        <v>25</v>
      </c>
      <c r="D252" s="290">
        <f t="shared" ref="D252:F252" si="130">D117</f>
        <v>0.4</v>
      </c>
      <c r="E252" s="290" t="str">
        <f t="shared" si="130"/>
        <v>-</v>
      </c>
      <c r="F252" s="290">
        <f t="shared" si="130"/>
        <v>0</v>
      </c>
      <c r="G252" s="229"/>
      <c r="H252" s="1204"/>
      <c r="I252" s="289">
        <v>11</v>
      </c>
      <c r="J252" s="290">
        <f>I117</f>
        <v>50</v>
      </c>
      <c r="K252" s="290">
        <f t="shared" ref="K252:M252" si="131">J117</f>
        <v>-5.5</v>
      </c>
      <c r="L252" s="290" t="str">
        <f t="shared" si="131"/>
        <v>-</v>
      </c>
      <c r="M252" s="290">
        <f t="shared" si="131"/>
        <v>0</v>
      </c>
      <c r="N252" s="229"/>
      <c r="O252" s="229"/>
      <c r="P252" s="229"/>
    </row>
    <row r="253" spans="1:16" ht="13">
      <c r="A253" s="1203"/>
      <c r="B253" s="289">
        <v>12</v>
      </c>
      <c r="C253" s="290">
        <f>C128</f>
        <v>25</v>
      </c>
      <c r="D253" s="290">
        <f t="shared" ref="D253:F253" si="132">D128</f>
        <v>-0.4</v>
      </c>
      <c r="E253" s="290" t="str">
        <f t="shared" si="132"/>
        <v>-</v>
      </c>
      <c r="F253" s="290">
        <f t="shared" si="132"/>
        <v>0</v>
      </c>
      <c r="G253" s="229"/>
      <c r="H253" s="1204"/>
      <c r="I253" s="289">
        <v>12</v>
      </c>
      <c r="J253" s="290">
        <f>I128</f>
        <v>50</v>
      </c>
      <c r="K253" s="290">
        <f t="shared" ref="K253:M253" si="133">J128</f>
        <v>-0.3</v>
      </c>
      <c r="L253" s="290" t="str">
        <f t="shared" si="133"/>
        <v>-</v>
      </c>
      <c r="M253" s="290">
        <f t="shared" si="133"/>
        <v>0</v>
      </c>
      <c r="N253" s="229"/>
      <c r="O253" s="229"/>
      <c r="P253" s="229"/>
    </row>
    <row r="254" spans="1:16" ht="13">
      <c r="A254" s="1203"/>
      <c r="B254" s="289">
        <v>13</v>
      </c>
      <c r="C254" s="290">
        <f>C139</f>
        <v>25</v>
      </c>
      <c r="D254" s="290">
        <f t="shared" ref="D254:F254" si="134">D139</f>
        <v>-0.1</v>
      </c>
      <c r="E254" s="290" t="str">
        <f t="shared" si="134"/>
        <v>-</v>
      </c>
      <c r="F254" s="290">
        <f t="shared" si="134"/>
        <v>0</v>
      </c>
      <c r="G254" s="229"/>
      <c r="H254" s="1204"/>
      <c r="I254" s="289">
        <v>13</v>
      </c>
      <c r="J254" s="290">
        <f>I139</f>
        <v>50</v>
      </c>
      <c r="K254" s="290">
        <f t="shared" ref="K254:M254" si="135">J139</f>
        <v>-0.2</v>
      </c>
      <c r="L254" s="290" t="str">
        <f t="shared" si="135"/>
        <v>-</v>
      </c>
      <c r="M254" s="290">
        <f t="shared" si="135"/>
        <v>0</v>
      </c>
      <c r="N254" s="229"/>
      <c r="O254" s="229"/>
      <c r="P254" s="229"/>
    </row>
    <row r="255" spans="1:16" ht="13">
      <c r="A255" s="1203"/>
      <c r="B255" s="289">
        <v>14</v>
      </c>
      <c r="C255" s="290">
        <f>C150</f>
        <v>25</v>
      </c>
      <c r="D255" s="290">
        <f t="shared" ref="D255:F255" si="136">D150</f>
        <v>-0.2</v>
      </c>
      <c r="E255" s="290" t="str">
        <f t="shared" si="136"/>
        <v>-</v>
      </c>
      <c r="F255" s="290">
        <f t="shared" si="136"/>
        <v>0</v>
      </c>
      <c r="G255" s="229"/>
      <c r="H255" s="1204"/>
      <c r="I255" s="289">
        <v>14</v>
      </c>
      <c r="J255" s="290">
        <f>I150</f>
        <v>50</v>
      </c>
      <c r="K255" s="290">
        <f t="shared" ref="K255:M255" si="137">J150</f>
        <v>-1.3</v>
      </c>
      <c r="L255" s="290" t="str">
        <f t="shared" si="137"/>
        <v>-</v>
      </c>
      <c r="M255" s="290">
        <f t="shared" si="137"/>
        <v>0</v>
      </c>
      <c r="N255" s="229"/>
      <c r="O255" s="229"/>
      <c r="P255" s="229"/>
    </row>
    <row r="256" spans="1:16" ht="13">
      <c r="A256" s="1203"/>
      <c r="B256" s="289">
        <v>15</v>
      </c>
      <c r="C256" s="290">
        <f>C161</f>
        <v>25</v>
      </c>
      <c r="D256" s="290">
        <f t="shared" ref="D256:F256" si="138">D161</f>
        <v>0</v>
      </c>
      <c r="E256" s="290" t="str">
        <f t="shared" si="138"/>
        <v>-</v>
      </c>
      <c r="F256" s="290">
        <f t="shared" si="138"/>
        <v>0</v>
      </c>
      <c r="G256" s="229"/>
      <c r="H256" s="1204"/>
      <c r="I256" s="289">
        <v>15</v>
      </c>
      <c r="J256" s="290">
        <f>I161</f>
        <v>50</v>
      </c>
      <c r="K256" s="290">
        <f t="shared" ref="K256:M256" si="139">J161</f>
        <v>0.2</v>
      </c>
      <c r="L256" s="290" t="str">
        <f t="shared" si="139"/>
        <v>-</v>
      </c>
      <c r="M256" s="290">
        <f t="shared" si="139"/>
        <v>0</v>
      </c>
      <c r="N256" s="229"/>
      <c r="O256" s="229"/>
      <c r="P256" s="229"/>
    </row>
    <row r="257" spans="1:16" ht="13">
      <c r="A257" s="1203"/>
      <c r="B257" s="289">
        <v>16</v>
      </c>
      <c r="C257" s="290">
        <f>C172</f>
        <v>25</v>
      </c>
      <c r="D257" s="290">
        <f t="shared" ref="D257:F257" si="140">D172</f>
        <v>0.2</v>
      </c>
      <c r="E257" s="290" t="str">
        <f t="shared" si="140"/>
        <v>-</v>
      </c>
      <c r="F257" s="290">
        <f t="shared" si="140"/>
        <v>0</v>
      </c>
      <c r="G257" s="229"/>
      <c r="H257" s="1204"/>
      <c r="I257" s="289">
        <v>16</v>
      </c>
      <c r="J257" s="290">
        <f>I172</f>
        <v>50</v>
      </c>
      <c r="K257" s="290">
        <f t="shared" ref="K257:M257" si="141">J172</f>
        <v>-1.4</v>
      </c>
      <c r="L257" s="290" t="str">
        <f t="shared" si="141"/>
        <v>-</v>
      </c>
      <c r="M257" s="290">
        <f t="shared" si="141"/>
        <v>0</v>
      </c>
      <c r="N257" s="229"/>
      <c r="O257" s="229"/>
      <c r="P257" s="229"/>
    </row>
    <row r="258" spans="1:16" ht="13">
      <c r="A258" s="1203"/>
      <c r="B258" s="289">
        <v>17</v>
      </c>
      <c r="C258" s="290">
        <f>C183</f>
        <v>25</v>
      </c>
      <c r="D258" s="290">
        <f t="shared" ref="D258:F258" si="142">D183</f>
        <v>-0.2</v>
      </c>
      <c r="E258" s="290" t="str">
        <f t="shared" si="142"/>
        <v>-</v>
      </c>
      <c r="F258" s="290">
        <f t="shared" si="142"/>
        <v>0</v>
      </c>
      <c r="G258" s="229"/>
      <c r="H258" s="1204"/>
      <c r="I258" s="289">
        <v>17</v>
      </c>
      <c r="J258" s="290">
        <f>I183</f>
        <v>50</v>
      </c>
      <c r="K258" s="290">
        <f t="shared" ref="K258:M258" si="143">J183</f>
        <v>-0.2</v>
      </c>
      <c r="L258" s="290" t="str">
        <f t="shared" si="143"/>
        <v>-</v>
      </c>
      <c r="M258" s="290">
        <f t="shared" si="143"/>
        <v>0</v>
      </c>
      <c r="N258" s="229"/>
      <c r="O258" s="229"/>
      <c r="P258" s="229"/>
    </row>
    <row r="259" spans="1:16" ht="13">
      <c r="A259" s="1203"/>
      <c r="B259" s="289">
        <v>18</v>
      </c>
      <c r="C259" s="290">
        <f>C194</f>
        <v>25</v>
      </c>
      <c r="D259" s="290">
        <f t="shared" ref="D259:F259" si="144">D194</f>
        <v>0</v>
      </c>
      <c r="E259" s="290" t="str">
        <f t="shared" si="144"/>
        <v>-</v>
      </c>
      <c r="F259" s="290">
        <f t="shared" si="144"/>
        <v>0</v>
      </c>
      <c r="G259" s="229"/>
      <c r="H259" s="1204"/>
      <c r="I259" s="289">
        <v>18</v>
      </c>
      <c r="J259" s="290">
        <f>I194</f>
        <v>50</v>
      </c>
      <c r="K259" s="290">
        <f t="shared" ref="K259:M259" si="145">J194</f>
        <v>0</v>
      </c>
      <c r="L259" s="290" t="str">
        <f t="shared" si="145"/>
        <v>-</v>
      </c>
      <c r="M259" s="290">
        <f t="shared" si="145"/>
        <v>0</v>
      </c>
      <c r="N259" s="229"/>
      <c r="O259" s="229"/>
      <c r="P259" s="229"/>
    </row>
    <row r="260" spans="1:16" ht="13">
      <c r="A260" s="298"/>
      <c r="B260" s="299"/>
      <c r="C260" s="309"/>
      <c r="D260" s="309"/>
      <c r="E260" s="309"/>
      <c r="F260" s="310"/>
      <c r="G260" s="302"/>
      <c r="H260" s="298"/>
      <c r="I260" s="311"/>
      <c r="J260" s="309"/>
      <c r="K260" s="309"/>
      <c r="L260" s="309"/>
      <c r="M260" s="310"/>
      <c r="N260" s="229"/>
      <c r="O260" s="229"/>
      <c r="P260" s="229"/>
    </row>
    <row r="261" spans="1:16" ht="13">
      <c r="A261" s="1203" t="s">
        <v>273</v>
      </c>
      <c r="B261" s="289">
        <v>1</v>
      </c>
      <c r="C261" s="290">
        <f>C8</f>
        <v>30</v>
      </c>
      <c r="D261" s="290">
        <f t="shared" ref="D261:F261" si="146">D8</f>
        <v>0</v>
      </c>
      <c r="E261" s="290">
        <f t="shared" si="146"/>
        <v>-0.2</v>
      </c>
      <c r="F261" s="290">
        <f t="shared" si="146"/>
        <v>0.1</v>
      </c>
      <c r="G261" s="229"/>
      <c r="H261" s="1204" t="s">
        <v>273</v>
      </c>
      <c r="I261" s="289">
        <v>1</v>
      </c>
      <c r="J261" s="290">
        <f>I8</f>
        <v>60</v>
      </c>
      <c r="K261" s="290">
        <f t="shared" ref="K261:M261" si="147">J8</f>
        <v>-4.4000000000000004</v>
      </c>
      <c r="L261" s="290">
        <f t="shared" si="147"/>
        <v>-5.2</v>
      </c>
      <c r="M261" s="290">
        <f t="shared" si="147"/>
        <v>0.39999999999999991</v>
      </c>
      <c r="N261" s="229"/>
      <c r="O261" s="229"/>
      <c r="P261" s="229"/>
    </row>
    <row r="262" spans="1:16" ht="13">
      <c r="A262" s="1203"/>
      <c r="B262" s="289">
        <v>2</v>
      </c>
      <c r="C262" s="290">
        <f>C19</f>
        <v>30</v>
      </c>
      <c r="D262" s="290">
        <f t="shared" ref="D262:F262" si="148">D19</f>
        <v>-0.3</v>
      </c>
      <c r="E262" s="290">
        <f t="shared" si="148"/>
        <v>-1</v>
      </c>
      <c r="F262" s="290">
        <f t="shared" si="148"/>
        <v>0.35</v>
      </c>
      <c r="G262" s="229"/>
      <c r="H262" s="1204"/>
      <c r="I262" s="289">
        <v>2</v>
      </c>
      <c r="J262" s="290">
        <f>I19</f>
        <v>60</v>
      </c>
      <c r="K262" s="290">
        <f t="shared" ref="K262:M262" si="149">J19</f>
        <v>-1.3</v>
      </c>
      <c r="L262" s="290">
        <f t="shared" si="149"/>
        <v>-1.3</v>
      </c>
      <c r="M262" s="290">
        <f t="shared" si="149"/>
        <v>0</v>
      </c>
      <c r="N262" s="229"/>
      <c r="O262" s="229"/>
      <c r="P262" s="229"/>
    </row>
    <row r="263" spans="1:16" ht="13">
      <c r="A263" s="1203"/>
      <c r="B263" s="289">
        <v>3</v>
      </c>
      <c r="C263" s="290">
        <f>C30</f>
        <v>30</v>
      </c>
      <c r="D263" s="290">
        <f t="shared" ref="D263:F263" si="150">D30</f>
        <v>-0.3</v>
      </c>
      <c r="E263" s="290">
        <f t="shared" si="150"/>
        <v>-0.3</v>
      </c>
      <c r="F263" s="290">
        <f t="shared" si="150"/>
        <v>0</v>
      </c>
      <c r="G263" s="229"/>
      <c r="H263" s="1204"/>
      <c r="I263" s="289">
        <v>3</v>
      </c>
      <c r="J263" s="290">
        <f>I30</f>
        <v>60</v>
      </c>
      <c r="K263" s="290">
        <f t="shared" ref="K263:M263" si="151">J30</f>
        <v>-4.3</v>
      </c>
      <c r="L263" s="290">
        <f t="shared" si="151"/>
        <v>-2.2000000000000002</v>
      </c>
      <c r="M263" s="290">
        <f t="shared" si="151"/>
        <v>1.0499999999999998</v>
      </c>
      <c r="N263" s="229"/>
      <c r="O263" s="229"/>
      <c r="P263" s="229"/>
    </row>
    <row r="264" spans="1:16" ht="13">
      <c r="A264" s="1203"/>
      <c r="B264" s="289">
        <v>4</v>
      </c>
      <c r="C264" s="290">
        <f>C41</f>
        <v>30</v>
      </c>
      <c r="D264" s="290">
        <f t="shared" ref="D264:F264" si="152">D41</f>
        <v>-0.6</v>
      </c>
      <c r="E264" s="290">
        <f t="shared" si="152"/>
        <v>-1</v>
      </c>
      <c r="F264" s="290">
        <f t="shared" si="152"/>
        <v>0.2</v>
      </c>
      <c r="G264" s="229"/>
      <c r="H264" s="1204"/>
      <c r="I264" s="289">
        <v>4</v>
      </c>
      <c r="J264" s="290">
        <f>I41</f>
        <v>60</v>
      </c>
      <c r="K264" s="290">
        <f t="shared" ref="K264:M264" si="153">J41</f>
        <v>-0.3</v>
      </c>
      <c r="L264" s="290">
        <f t="shared" si="153"/>
        <v>-0.9</v>
      </c>
      <c r="M264" s="290">
        <f t="shared" si="153"/>
        <v>0.30000000000000004</v>
      </c>
      <c r="N264" s="229"/>
      <c r="O264" s="229"/>
      <c r="P264" s="229"/>
    </row>
    <row r="265" spans="1:16" ht="13">
      <c r="A265" s="1203"/>
      <c r="B265" s="289">
        <v>5</v>
      </c>
      <c r="C265" s="290">
        <f>C52</f>
        <v>30</v>
      </c>
      <c r="D265" s="290">
        <f t="shared" ref="D265:F265" si="154">D52</f>
        <v>0.6</v>
      </c>
      <c r="E265" s="290">
        <f t="shared" si="154"/>
        <v>0.1</v>
      </c>
      <c r="F265" s="290">
        <f t="shared" si="154"/>
        <v>0.25</v>
      </c>
      <c r="G265" s="229"/>
      <c r="H265" s="1204"/>
      <c r="I265" s="289">
        <v>5</v>
      </c>
      <c r="J265" s="290">
        <f>I52</f>
        <v>60</v>
      </c>
      <c r="K265" s="290">
        <f t="shared" ref="K265:M265" si="155">J52</f>
        <v>-5.2</v>
      </c>
      <c r="L265" s="290">
        <f t="shared" si="155"/>
        <v>-4.2</v>
      </c>
      <c r="M265" s="290">
        <f t="shared" si="155"/>
        <v>0.5</v>
      </c>
      <c r="N265" s="229"/>
      <c r="O265" s="229"/>
      <c r="P265" s="229"/>
    </row>
    <row r="266" spans="1:16" ht="13">
      <c r="A266" s="1203"/>
      <c r="B266" s="289">
        <v>6</v>
      </c>
      <c r="C266" s="290">
        <f>C63</f>
        <v>30</v>
      </c>
      <c r="D266" s="290">
        <f t="shared" ref="D266:F266" si="156">D63</f>
        <v>0.1</v>
      </c>
      <c r="E266" s="290">
        <f t="shared" si="156"/>
        <v>-0.5</v>
      </c>
      <c r="F266" s="290">
        <f t="shared" si="156"/>
        <v>0.3</v>
      </c>
      <c r="G266" s="229"/>
      <c r="H266" s="1204"/>
      <c r="I266" s="289">
        <v>6</v>
      </c>
      <c r="J266" s="290">
        <f>I63</f>
        <v>60</v>
      </c>
      <c r="K266" s="290">
        <f t="shared" ref="K266:M266" si="157">J63</f>
        <v>-6.4</v>
      </c>
      <c r="L266" s="290">
        <f t="shared" si="157"/>
        <v>-2</v>
      </c>
      <c r="M266" s="290">
        <f t="shared" si="157"/>
        <v>2.2000000000000002</v>
      </c>
      <c r="N266" s="229"/>
      <c r="O266" s="229"/>
      <c r="P266" s="229"/>
    </row>
    <row r="267" spans="1:16" ht="13">
      <c r="A267" s="1203"/>
      <c r="B267" s="289">
        <v>7</v>
      </c>
      <c r="C267" s="290">
        <f>C74</f>
        <v>30</v>
      </c>
      <c r="D267" s="290">
        <f t="shared" ref="D267:F267" si="158">D74</f>
        <v>-0.6</v>
      </c>
      <c r="E267" s="290">
        <f t="shared" si="158"/>
        <v>-0.1</v>
      </c>
      <c r="F267" s="290">
        <f t="shared" si="158"/>
        <v>0.25</v>
      </c>
      <c r="G267" s="229"/>
      <c r="H267" s="1204"/>
      <c r="I267" s="289">
        <v>7</v>
      </c>
      <c r="J267" s="290">
        <f>I74</f>
        <v>60</v>
      </c>
      <c r="K267" s="290">
        <f t="shared" ref="K267:M267" si="159">J74</f>
        <v>0.7</v>
      </c>
      <c r="L267" s="290">
        <f t="shared" si="159"/>
        <v>1.5</v>
      </c>
      <c r="M267" s="290">
        <f t="shared" si="159"/>
        <v>0.4</v>
      </c>
      <c r="N267" s="229"/>
      <c r="O267" s="229"/>
      <c r="P267" s="229"/>
    </row>
    <row r="268" spans="1:16" ht="13">
      <c r="A268" s="1203"/>
      <c r="B268" s="289">
        <v>8</v>
      </c>
      <c r="C268" s="290">
        <f>C85</f>
        <v>30</v>
      </c>
      <c r="D268" s="290">
        <f t="shared" ref="D268:F268" si="160">D85</f>
        <v>-0.4</v>
      </c>
      <c r="E268" s="290">
        <f t="shared" si="160"/>
        <v>-0.2</v>
      </c>
      <c r="F268" s="290">
        <f t="shared" si="160"/>
        <v>0.1</v>
      </c>
      <c r="G268" s="229"/>
      <c r="H268" s="1204"/>
      <c r="I268" s="289">
        <v>8</v>
      </c>
      <c r="J268" s="290">
        <f>I85</f>
        <v>60</v>
      </c>
      <c r="K268" s="290">
        <f t="shared" ref="K268:M268" si="161">J85</f>
        <v>-1.1000000000000001</v>
      </c>
      <c r="L268" s="290">
        <f t="shared" si="161"/>
        <v>1.7</v>
      </c>
      <c r="M268" s="290">
        <f t="shared" si="161"/>
        <v>1.4</v>
      </c>
      <c r="N268" s="229"/>
      <c r="O268" s="229"/>
      <c r="P268" s="229"/>
    </row>
    <row r="269" spans="1:16" ht="13">
      <c r="A269" s="1203"/>
      <c r="B269" s="289">
        <v>9</v>
      </c>
      <c r="C269" s="290">
        <f>C96</f>
        <v>30</v>
      </c>
      <c r="D269" s="290">
        <f t="shared" ref="D269:F269" si="162">D96</f>
        <v>-0.5</v>
      </c>
      <c r="E269" s="290" t="str">
        <f t="shared" si="162"/>
        <v>-</v>
      </c>
      <c r="F269" s="290">
        <f t="shared" si="162"/>
        <v>0</v>
      </c>
      <c r="G269" s="229"/>
      <c r="H269" s="1204"/>
      <c r="I269" s="289">
        <v>9</v>
      </c>
      <c r="J269" s="290">
        <f>I96</f>
        <v>60</v>
      </c>
      <c r="K269" s="290">
        <f t="shared" ref="K269:M269" si="163">J96</f>
        <v>-0.8</v>
      </c>
      <c r="L269" s="290" t="str">
        <f t="shared" si="163"/>
        <v>-</v>
      </c>
      <c r="M269" s="290">
        <f t="shared" si="163"/>
        <v>0</v>
      </c>
      <c r="N269" s="229"/>
      <c r="O269" s="229"/>
      <c r="P269" s="229"/>
    </row>
    <row r="270" spans="1:16" ht="13">
      <c r="A270" s="1203"/>
      <c r="B270" s="289">
        <v>10</v>
      </c>
      <c r="C270" s="290">
        <f>C107</f>
        <v>30</v>
      </c>
      <c r="D270" s="290">
        <f t="shared" ref="D270:F270" si="164">D107</f>
        <v>0.1</v>
      </c>
      <c r="E270" s="290">
        <f t="shared" si="164"/>
        <v>0.2</v>
      </c>
      <c r="F270" s="290">
        <f t="shared" si="164"/>
        <v>0.05</v>
      </c>
      <c r="G270" s="229"/>
      <c r="H270" s="1204"/>
      <c r="I270" s="289">
        <v>10</v>
      </c>
      <c r="J270" s="290">
        <f>I107</f>
        <v>60</v>
      </c>
      <c r="K270" s="290">
        <f t="shared" ref="K270:M270" si="165">J107</f>
        <v>-2.1</v>
      </c>
      <c r="L270" s="290">
        <f t="shared" si="165"/>
        <v>-5.6</v>
      </c>
      <c r="M270" s="290">
        <f t="shared" si="165"/>
        <v>1.7499999999999998</v>
      </c>
      <c r="N270" s="229"/>
      <c r="O270" s="229"/>
      <c r="P270" s="229"/>
    </row>
    <row r="271" spans="1:16" ht="13">
      <c r="A271" s="1203"/>
      <c r="B271" s="289">
        <v>11</v>
      </c>
      <c r="C271" s="290">
        <f>C118</f>
        <v>30</v>
      </c>
      <c r="D271" s="290">
        <f t="shared" ref="D271:F271" si="166">D118</f>
        <v>0.5</v>
      </c>
      <c r="E271" s="290" t="str">
        <f t="shared" si="166"/>
        <v>-</v>
      </c>
      <c r="F271" s="290">
        <f t="shared" si="166"/>
        <v>0</v>
      </c>
      <c r="G271" s="229"/>
      <c r="H271" s="1204"/>
      <c r="I271" s="289">
        <v>11</v>
      </c>
      <c r="J271" s="290">
        <f>I118</f>
        <v>60</v>
      </c>
      <c r="K271" s="290">
        <f t="shared" ref="K271:M271" si="167">J118</f>
        <v>-4.8</v>
      </c>
      <c r="L271" s="290" t="str">
        <f t="shared" si="167"/>
        <v>-</v>
      </c>
      <c r="M271" s="290">
        <f t="shared" si="167"/>
        <v>0</v>
      </c>
      <c r="N271" s="229"/>
      <c r="O271" s="229"/>
      <c r="P271" s="229"/>
    </row>
    <row r="272" spans="1:16" ht="13">
      <c r="A272" s="1203"/>
      <c r="B272" s="289">
        <v>12</v>
      </c>
      <c r="C272" s="290">
        <f>C129</f>
        <v>30</v>
      </c>
      <c r="D272" s="290">
        <f t="shared" ref="D272:F272" si="168">D129</f>
        <v>-0.2</v>
      </c>
      <c r="E272" s="290" t="str">
        <f t="shared" si="168"/>
        <v>-</v>
      </c>
      <c r="F272" s="290">
        <f t="shared" si="168"/>
        <v>0</v>
      </c>
      <c r="G272" s="229"/>
      <c r="H272" s="1204"/>
      <c r="I272" s="289">
        <v>12</v>
      </c>
      <c r="J272" s="290">
        <f>I129</f>
        <v>60</v>
      </c>
      <c r="K272" s="290">
        <f t="shared" ref="K272:M272" si="169">J129</f>
        <v>-0.5</v>
      </c>
      <c r="L272" s="290" t="str">
        <f t="shared" si="169"/>
        <v>-</v>
      </c>
      <c r="M272" s="290">
        <f t="shared" si="169"/>
        <v>0</v>
      </c>
      <c r="N272" s="229"/>
      <c r="O272" s="229"/>
      <c r="P272" s="229"/>
    </row>
    <row r="273" spans="1:16" ht="13">
      <c r="A273" s="1203"/>
      <c r="B273" s="289">
        <v>13</v>
      </c>
      <c r="C273" s="290">
        <f>C140</f>
        <v>30</v>
      </c>
      <c r="D273" s="290">
        <f t="shared" ref="D273:F273" si="170">D140</f>
        <v>-0.3</v>
      </c>
      <c r="E273" s="290" t="str">
        <f t="shared" si="170"/>
        <v>-</v>
      </c>
      <c r="F273" s="290">
        <f t="shared" si="170"/>
        <v>0</v>
      </c>
      <c r="G273" s="229"/>
      <c r="H273" s="1204"/>
      <c r="I273" s="289">
        <v>13</v>
      </c>
      <c r="J273" s="290">
        <f>I140</f>
        <v>60</v>
      </c>
      <c r="K273" s="290">
        <f t="shared" ref="K273:M273" si="171">J140</f>
        <v>-0.6</v>
      </c>
      <c r="L273" s="290" t="str">
        <f t="shared" si="171"/>
        <v>-</v>
      </c>
      <c r="M273" s="290">
        <f t="shared" si="171"/>
        <v>0</v>
      </c>
      <c r="N273" s="229"/>
      <c r="O273" s="229"/>
      <c r="P273" s="229"/>
    </row>
    <row r="274" spans="1:16" ht="13">
      <c r="A274" s="1203"/>
      <c r="B274" s="289">
        <v>14</v>
      </c>
      <c r="C274" s="290">
        <f>C151</f>
        <v>30</v>
      </c>
      <c r="D274" s="290">
        <f t="shared" ref="D274:F274" si="172">D151</f>
        <v>0.1</v>
      </c>
      <c r="E274" s="290" t="str">
        <f t="shared" si="172"/>
        <v>-</v>
      </c>
      <c r="F274" s="290">
        <f t="shared" si="172"/>
        <v>0</v>
      </c>
      <c r="G274" s="229"/>
      <c r="H274" s="1204"/>
      <c r="I274" s="289">
        <v>14</v>
      </c>
      <c r="J274" s="290">
        <f>I151</f>
        <v>60</v>
      </c>
      <c r="K274" s="290">
        <f t="shared" ref="K274:M274" si="173">J151</f>
        <v>-1.5</v>
      </c>
      <c r="L274" s="290" t="str">
        <f t="shared" si="173"/>
        <v>-</v>
      </c>
      <c r="M274" s="290">
        <f t="shared" si="173"/>
        <v>0</v>
      </c>
      <c r="N274" s="229"/>
      <c r="O274" s="229"/>
      <c r="P274" s="229"/>
    </row>
    <row r="275" spans="1:16" ht="13">
      <c r="A275" s="1203"/>
      <c r="B275" s="289">
        <v>15</v>
      </c>
      <c r="C275" s="290">
        <f>C162</f>
        <v>30</v>
      </c>
      <c r="D275" s="290">
        <f t="shared" ref="D275:F275" si="174">D162</f>
        <v>-0.2</v>
      </c>
      <c r="E275" s="290" t="str">
        <f t="shared" si="174"/>
        <v>-</v>
      </c>
      <c r="F275" s="290">
        <f t="shared" si="174"/>
        <v>0</v>
      </c>
      <c r="G275" s="229"/>
      <c r="H275" s="1204"/>
      <c r="I275" s="289">
        <v>15</v>
      </c>
      <c r="J275" s="290">
        <f>I162</f>
        <v>60</v>
      </c>
      <c r="K275" s="290">
        <f t="shared" ref="K275:M275" si="175">J162</f>
        <v>0</v>
      </c>
      <c r="L275" s="290" t="str">
        <f t="shared" si="175"/>
        <v>-</v>
      </c>
      <c r="M275" s="290">
        <f t="shared" si="175"/>
        <v>0</v>
      </c>
      <c r="N275" s="229"/>
      <c r="O275" s="229"/>
      <c r="P275" s="229"/>
    </row>
    <row r="276" spans="1:16" ht="13">
      <c r="A276" s="1203"/>
      <c r="B276" s="289">
        <v>16</v>
      </c>
      <c r="C276" s="290">
        <f>C173</f>
        <v>30</v>
      </c>
      <c r="D276" s="290">
        <f t="shared" ref="D276:F276" si="176">D173</f>
        <v>0.2</v>
      </c>
      <c r="E276" s="290" t="str">
        <f t="shared" si="176"/>
        <v>-</v>
      </c>
      <c r="F276" s="290">
        <f t="shared" si="176"/>
        <v>0</v>
      </c>
      <c r="G276" s="229"/>
      <c r="H276" s="1204"/>
      <c r="I276" s="289">
        <v>16</v>
      </c>
      <c r="J276" s="290">
        <f>I173</f>
        <v>60</v>
      </c>
      <c r="K276" s="290">
        <f t="shared" ref="K276:M276" si="177">J173</f>
        <v>-1.5</v>
      </c>
      <c r="L276" s="290" t="str">
        <f t="shared" si="177"/>
        <v>-</v>
      </c>
      <c r="M276" s="290">
        <f t="shared" si="177"/>
        <v>0</v>
      </c>
      <c r="N276" s="229"/>
      <c r="O276" s="229"/>
      <c r="P276" s="229"/>
    </row>
    <row r="277" spans="1:16" ht="13">
      <c r="A277" s="1203"/>
      <c r="B277" s="289">
        <v>17</v>
      </c>
      <c r="C277" s="290">
        <f>C184</f>
        <v>30</v>
      </c>
      <c r="D277" s="290">
        <f t="shared" ref="D277:F277" si="178">D184</f>
        <v>-0.2</v>
      </c>
      <c r="E277" s="290" t="str">
        <f t="shared" si="178"/>
        <v>-</v>
      </c>
      <c r="F277" s="290">
        <f t="shared" si="178"/>
        <v>0</v>
      </c>
      <c r="G277" s="229"/>
      <c r="H277" s="1204"/>
      <c r="I277" s="289">
        <v>17</v>
      </c>
      <c r="J277" s="290">
        <f>I184</f>
        <v>60</v>
      </c>
      <c r="K277" s="290">
        <f t="shared" ref="K277:M277" si="179">J184</f>
        <v>-0.2</v>
      </c>
      <c r="L277" s="290" t="str">
        <f t="shared" si="179"/>
        <v>-</v>
      </c>
      <c r="M277" s="290">
        <f t="shared" si="179"/>
        <v>0</v>
      </c>
      <c r="N277" s="229"/>
      <c r="O277" s="229"/>
      <c r="P277" s="229"/>
    </row>
    <row r="278" spans="1:16" ht="13">
      <c r="A278" s="1203"/>
      <c r="B278" s="289">
        <v>18</v>
      </c>
      <c r="C278" s="290">
        <f>C195</f>
        <v>30</v>
      </c>
      <c r="D278" s="290">
        <f t="shared" ref="D278:F278" si="180">D195</f>
        <v>-0.1</v>
      </c>
      <c r="E278" s="290" t="str">
        <f t="shared" si="180"/>
        <v>-</v>
      </c>
      <c r="F278" s="290">
        <f t="shared" si="180"/>
        <v>0</v>
      </c>
      <c r="G278" s="229"/>
      <c r="H278" s="1204"/>
      <c r="I278" s="289">
        <v>18</v>
      </c>
      <c r="J278" s="290">
        <f>I195</f>
        <v>60</v>
      </c>
      <c r="K278" s="290">
        <f t="shared" ref="K278:M278" si="181">J195</f>
        <v>0</v>
      </c>
      <c r="L278" s="290" t="str">
        <f t="shared" si="181"/>
        <v>-</v>
      </c>
      <c r="M278" s="290">
        <f t="shared" si="181"/>
        <v>0</v>
      </c>
      <c r="N278" s="229"/>
      <c r="O278" s="229"/>
      <c r="P278" s="229"/>
    </row>
    <row r="279" spans="1:16" ht="13">
      <c r="A279" s="298"/>
      <c r="B279" s="299"/>
      <c r="C279" s="309"/>
      <c r="D279" s="309"/>
      <c r="E279" s="309"/>
      <c r="F279" s="310"/>
      <c r="G279" s="302"/>
      <c r="H279" s="298"/>
      <c r="I279" s="311"/>
      <c r="J279" s="309"/>
      <c r="K279" s="309"/>
      <c r="L279" s="309"/>
      <c r="M279" s="310"/>
      <c r="N279" s="229"/>
      <c r="O279" s="229"/>
      <c r="P279" s="229"/>
    </row>
    <row r="280" spans="1:16" ht="13">
      <c r="A280" s="1203" t="s">
        <v>274</v>
      </c>
      <c r="B280" s="289">
        <v>1</v>
      </c>
      <c r="C280" s="290">
        <f>C9</f>
        <v>35</v>
      </c>
      <c r="D280" s="290">
        <f t="shared" ref="D280:F280" si="182">D9</f>
        <v>-0.1</v>
      </c>
      <c r="E280" s="290">
        <f t="shared" si="182"/>
        <v>-0.5</v>
      </c>
      <c r="F280" s="290">
        <f t="shared" si="182"/>
        <v>0.2</v>
      </c>
      <c r="G280" s="229"/>
      <c r="H280" s="1204" t="s">
        <v>274</v>
      </c>
      <c r="I280" s="289">
        <v>1</v>
      </c>
      <c r="J280" s="290">
        <f>I20</f>
        <v>70</v>
      </c>
      <c r="K280" s="290">
        <f t="shared" ref="K280:M280" si="183">J20</f>
        <v>-1.1000000000000001</v>
      </c>
      <c r="L280" s="290">
        <f t="shared" si="183"/>
        <v>-1</v>
      </c>
      <c r="M280" s="290">
        <f t="shared" si="183"/>
        <v>5.0000000000000044E-2</v>
      </c>
      <c r="N280" s="229"/>
      <c r="O280" s="229"/>
      <c r="P280" s="229"/>
    </row>
    <row r="281" spans="1:16" ht="13">
      <c r="A281" s="1203"/>
      <c r="B281" s="289">
        <v>2</v>
      </c>
      <c r="C281" s="290">
        <f>C20</f>
        <v>35</v>
      </c>
      <c r="D281" s="290">
        <f t="shared" ref="D281:F281" si="184">D20</f>
        <v>-0.3</v>
      </c>
      <c r="E281" s="290">
        <f t="shared" si="184"/>
        <v>-1.6</v>
      </c>
      <c r="F281" s="290">
        <f t="shared" si="184"/>
        <v>0.65</v>
      </c>
      <c r="G281" s="229"/>
      <c r="H281" s="1204"/>
      <c r="I281" s="289">
        <v>2</v>
      </c>
      <c r="J281" s="290">
        <f>I20</f>
        <v>70</v>
      </c>
      <c r="K281" s="290">
        <f t="shared" ref="K281:M281" si="185">J20</f>
        <v>-1.1000000000000001</v>
      </c>
      <c r="L281" s="290">
        <f t="shared" si="185"/>
        <v>-1</v>
      </c>
      <c r="M281" s="290">
        <f t="shared" si="185"/>
        <v>5.0000000000000044E-2</v>
      </c>
      <c r="N281" s="229"/>
      <c r="O281" s="229"/>
      <c r="P281" s="229"/>
    </row>
    <row r="282" spans="1:16" ht="13">
      <c r="A282" s="1203"/>
      <c r="B282" s="289">
        <v>3</v>
      </c>
      <c r="C282" s="290">
        <f>C31</f>
        <v>35</v>
      </c>
      <c r="D282" s="290">
        <f t="shared" ref="D282:F282" si="186">D31</f>
        <v>-0.5</v>
      </c>
      <c r="E282" s="290">
        <f t="shared" si="186"/>
        <v>-0.4</v>
      </c>
      <c r="F282" s="290">
        <f t="shared" si="186"/>
        <v>4.9999999999999989E-2</v>
      </c>
      <c r="G282" s="229"/>
      <c r="H282" s="1204"/>
      <c r="I282" s="289">
        <v>3</v>
      </c>
      <c r="J282" s="290">
        <f>I31</f>
        <v>70</v>
      </c>
      <c r="K282" s="290">
        <f t="shared" ref="K282:M282" si="187">J31</f>
        <v>-3.6</v>
      </c>
      <c r="L282" s="290">
        <f t="shared" si="187"/>
        <v>-1.6</v>
      </c>
      <c r="M282" s="290">
        <f t="shared" si="187"/>
        <v>1</v>
      </c>
      <c r="N282" s="229"/>
      <c r="O282" s="229"/>
      <c r="P282" s="229"/>
    </row>
    <row r="283" spans="1:16" ht="13">
      <c r="A283" s="1203"/>
      <c r="B283" s="289">
        <v>4</v>
      </c>
      <c r="C283" s="290">
        <f>C42</f>
        <v>35</v>
      </c>
      <c r="D283" s="290">
        <f t="shared" ref="D283:F283" si="188">D42</f>
        <v>-0.6</v>
      </c>
      <c r="E283" s="290">
        <f t="shared" si="188"/>
        <v>-1.5</v>
      </c>
      <c r="F283" s="290">
        <f t="shared" si="188"/>
        <v>0.45</v>
      </c>
      <c r="G283" s="229"/>
      <c r="H283" s="1204"/>
      <c r="I283" s="289">
        <v>4</v>
      </c>
      <c r="J283" s="290">
        <f>I42</f>
        <v>70</v>
      </c>
      <c r="K283" s="290">
        <f t="shared" ref="K283:M283" si="189">J42</f>
        <v>0.7</v>
      </c>
      <c r="L283" s="290">
        <f t="shared" si="189"/>
        <v>-0.7</v>
      </c>
      <c r="M283" s="290">
        <f t="shared" si="189"/>
        <v>0.7</v>
      </c>
      <c r="N283" s="229"/>
      <c r="O283" s="229"/>
      <c r="P283" s="229"/>
    </row>
    <row r="284" spans="1:16" ht="13">
      <c r="A284" s="1203"/>
      <c r="B284" s="289">
        <v>5</v>
      </c>
      <c r="C284" s="290">
        <f>C53</f>
        <v>35</v>
      </c>
      <c r="D284" s="290">
        <f t="shared" ref="D284:F284" si="190">D53</f>
        <v>0.7</v>
      </c>
      <c r="E284" s="290">
        <f t="shared" si="190"/>
        <v>0</v>
      </c>
      <c r="F284" s="290">
        <f t="shared" si="190"/>
        <v>0.35</v>
      </c>
      <c r="G284" s="229"/>
      <c r="H284" s="1204"/>
      <c r="I284" s="289">
        <v>5</v>
      </c>
      <c r="J284" s="290">
        <f>I53</f>
        <v>70</v>
      </c>
      <c r="K284" s="290">
        <f t="shared" ref="K284:M284" si="191">J53</f>
        <v>-4.0999999999999996</v>
      </c>
      <c r="L284" s="290">
        <f t="shared" si="191"/>
        <v>-2.1</v>
      </c>
      <c r="M284" s="290">
        <f t="shared" si="191"/>
        <v>0.99999999999999978</v>
      </c>
      <c r="N284" s="229"/>
      <c r="O284" s="229"/>
      <c r="P284" s="229"/>
    </row>
    <row r="285" spans="1:16" ht="13">
      <c r="A285" s="1203"/>
      <c r="B285" s="289">
        <v>6</v>
      </c>
      <c r="C285" s="290">
        <f>C64</f>
        <v>35</v>
      </c>
      <c r="D285" s="290">
        <f t="shared" ref="D285:F285" si="192">D64</f>
        <v>0.1</v>
      </c>
      <c r="E285" s="290">
        <f t="shared" si="192"/>
        <v>-0.9</v>
      </c>
      <c r="F285" s="290">
        <f t="shared" si="192"/>
        <v>0.5</v>
      </c>
      <c r="G285" s="229"/>
      <c r="H285" s="1204"/>
      <c r="I285" s="289">
        <v>6</v>
      </c>
      <c r="J285" s="290">
        <f>I64</f>
        <v>70</v>
      </c>
      <c r="K285" s="290">
        <f t="shared" ref="K285:M285" si="193">J64</f>
        <v>-6.7</v>
      </c>
      <c r="L285" s="290">
        <f t="shared" si="193"/>
        <v>-2.1</v>
      </c>
      <c r="M285" s="290">
        <f t="shared" si="193"/>
        <v>2.2999999999999998</v>
      </c>
      <c r="N285" s="229"/>
      <c r="O285" s="229"/>
      <c r="P285" s="229"/>
    </row>
    <row r="286" spans="1:16" ht="13">
      <c r="A286" s="1203"/>
      <c r="B286" s="289">
        <v>7</v>
      </c>
      <c r="C286" s="290">
        <f>C75</f>
        <v>35</v>
      </c>
      <c r="D286" s="290">
        <f t="shared" ref="D286:F286" si="194">D75</f>
        <v>-1.1000000000000001</v>
      </c>
      <c r="E286" s="290">
        <f t="shared" si="194"/>
        <v>-0.1</v>
      </c>
      <c r="F286" s="290">
        <f t="shared" si="194"/>
        <v>0.5</v>
      </c>
      <c r="G286" s="229"/>
      <c r="H286" s="1204"/>
      <c r="I286" s="289">
        <v>7</v>
      </c>
      <c r="J286" s="290">
        <f>I75</f>
        <v>70</v>
      </c>
      <c r="K286" s="290">
        <f t="shared" ref="K286:M286" si="195">J75</f>
        <v>0.9</v>
      </c>
      <c r="L286" s="290">
        <f t="shared" si="195"/>
        <v>2.8</v>
      </c>
      <c r="M286" s="290">
        <f t="shared" si="195"/>
        <v>0.95</v>
      </c>
      <c r="N286" s="229"/>
      <c r="O286" s="229"/>
      <c r="P286" s="229"/>
    </row>
    <row r="287" spans="1:16" ht="13">
      <c r="A287" s="1203"/>
      <c r="B287" s="289">
        <v>8</v>
      </c>
      <c r="C287" s="290">
        <f>C86</f>
        <v>35</v>
      </c>
      <c r="D287" s="290">
        <f t="shared" ref="D287:F287" si="196">D86</f>
        <v>-0.5</v>
      </c>
      <c r="E287" s="290">
        <f t="shared" si="196"/>
        <v>-0.3</v>
      </c>
      <c r="F287" s="290">
        <f t="shared" si="196"/>
        <v>0.1</v>
      </c>
      <c r="G287" s="229"/>
      <c r="H287" s="1204"/>
      <c r="I287" s="289">
        <v>8</v>
      </c>
      <c r="J287" s="290">
        <f>I86</f>
        <v>70</v>
      </c>
      <c r="K287" s="290">
        <f t="shared" ref="K287:M287" si="197">J86</f>
        <v>-1.2</v>
      </c>
      <c r="L287" s="290">
        <f t="shared" si="197"/>
        <v>2.1</v>
      </c>
      <c r="M287" s="290">
        <f t="shared" si="197"/>
        <v>1.65</v>
      </c>
      <c r="N287" s="229"/>
      <c r="O287" s="229"/>
      <c r="P287" s="229"/>
    </row>
    <row r="288" spans="1:16" ht="13">
      <c r="A288" s="1203"/>
      <c r="B288" s="289">
        <v>9</v>
      </c>
      <c r="C288" s="290">
        <f>C97</f>
        <v>35</v>
      </c>
      <c r="D288" s="290">
        <f t="shared" ref="D288:F288" si="198">D97</f>
        <v>-0.5</v>
      </c>
      <c r="E288" s="290" t="str">
        <f t="shared" si="198"/>
        <v>-</v>
      </c>
      <c r="F288" s="290">
        <f t="shared" si="198"/>
        <v>0</v>
      </c>
      <c r="G288" s="229"/>
      <c r="H288" s="1204"/>
      <c r="I288" s="289">
        <v>9</v>
      </c>
      <c r="J288" s="290">
        <f>I97</f>
        <v>70</v>
      </c>
      <c r="K288" s="290">
        <f t="shared" ref="K288:M288" si="199">J97</f>
        <v>-0.6</v>
      </c>
      <c r="L288" s="290" t="str">
        <f t="shared" si="199"/>
        <v>-</v>
      </c>
      <c r="M288" s="290">
        <f t="shared" si="199"/>
        <v>0</v>
      </c>
      <c r="N288" s="229"/>
      <c r="O288" s="229"/>
      <c r="P288" s="229"/>
    </row>
    <row r="289" spans="1:16" ht="13">
      <c r="A289" s="1203"/>
      <c r="B289" s="289">
        <v>10</v>
      </c>
      <c r="C289" s="290">
        <f>C108</f>
        <v>35</v>
      </c>
      <c r="D289" s="290">
        <f t="shared" ref="D289:F289" si="200">D108</f>
        <v>0.2</v>
      </c>
      <c r="E289" s="290">
        <f t="shared" si="200"/>
        <v>0.8</v>
      </c>
      <c r="F289" s="290">
        <f t="shared" si="200"/>
        <v>0.30000000000000004</v>
      </c>
      <c r="G289" s="229"/>
      <c r="H289" s="1204"/>
      <c r="I289" s="289">
        <v>10</v>
      </c>
      <c r="J289" s="290">
        <f>I108</f>
        <v>70</v>
      </c>
      <c r="K289" s="290">
        <f t="shared" ref="K289:M289" si="201">J108</f>
        <v>-0.3</v>
      </c>
      <c r="L289" s="290">
        <f t="shared" si="201"/>
        <v>-5.0999999999999996</v>
      </c>
      <c r="M289" s="290">
        <f t="shared" si="201"/>
        <v>2.4</v>
      </c>
      <c r="N289" s="229"/>
      <c r="O289" s="229"/>
      <c r="P289" s="229"/>
    </row>
    <row r="290" spans="1:16" ht="13">
      <c r="A290" s="1203"/>
      <c r="B290" s="289">
        <v>11</v>
      </c>
      <c r="C290" s="290">
        <f>C119</f>
        <v>35</v>
      </c>
      <c r="D290" s="290">
        <f t="shared" ref="D290:F290" si="202">D119</f>
        <v>0.5</v>
      </c>
      <c r="E290" s="290" t="str">
        <f t="shared" si="202"/>
        <v>-</v>
      </c>
      <c r="F290" s="290">
        <f t="shared" si="202"/>
        <v>0</v>
      </c>
      <c r="G290" s="229"/>
      <c r="H290" s="1204"/>
      <c r="I290" s="289">
        <v>11</v>
      </c>
      <c r="J290" s="290">
        <f>I119</f>
        <v>70</v>
      </c>
      <c r="K290" s="290">
        <f t="shared" ref="K290:M290" si="203">J119</f>
        <v>-3.4</v>
      </c>
      <c r="L290" s="290" t="str">
        <f t="shared" si="203"/>
        <v>-</v>
      </c>
      <c r="M290" s="290">
        <f t="shared" si="203"/>
        <v>0</v>
      </c>
      <c r="N290" s="229"/>
      <c r="O290" s="229"/>
      <c r="P290" s="229"/>
    </row>
    <row r="291" spans="1:16" ht="13">
      <c r="A291" s="1203"/>
      <c r="B291" s="289">
        <v>12</v>
      </c>
      <c r="C291" s="290">
        <f>C130</f>
        <v>35</v>
      </c>
      <c r="D291" s="290">
        <f t="shared" ref="D291:F291" si="204">D130</f>
        <v>-0.1</v>
      </c>
      <c r="E291" s="290" t="str">
        <f t="shared" si="204"/>
        <v>-</v>
      </c>
      <c r="F291" s="290">
        <f t="shared" si="204"/>
        <v>0</v>
      </c>
      <c r="G291" s="229"/>
      <c r="H291" s="1204"/>
      <c r="I291" s="289">
        <v>12</v>
      </c>
      <c r="J291" s="290">
        <f>I130</f>
        <v>70</v>
      </c>
      <c r="K291" s="290">
        <f t="shared" ref="K291:M291" si="205">J130</f>
        <v>-0.8</v>
      </c>
      <c r="L291" s="290" t="str">
        <f t="shared" si="205"/>
        <v>-</v>
      </c>
      <c r="M291" s="290">
        <f t="shared" si="205"/>
        <v>0</v>
      </c>
      <c r="N291" s="229"/>
      <c r="O291" s="229"/>
      <c r="P291" s="229"/>
    </row>
    <row r="292" spans="1:16" ht="13">
      <c r="A292" s="1203"/>
      <c r="B292" s="289">
        <v>13</v>
      </c>
      <c r="C292" s="290">
        <f>C141</f>
        <v>35</v>
      </c>
      <c r="D292" s="290">
        <f t="shared" ref="D292:F292" si="206">D141</f>
        <v>-0.6</v>
      </c>
      <c r="E292" s="290" t="str">
        <f t="shared" si="206"/>
        <v>-</v>
      </c>
      <c r="F292" s="290">
        <f t="shared" si="206"/>
        <v>0</v>
      </c>
      <c r="G292" s="229"/>
      <c r="H292" s="1204"/>
      <c r="I292" s="289">
        <v>13</v>
      </c>
      <c r="J292" s="290">
        <f>I141</f>
        <v>70</v>
      </c>
      <c r="K292" s="290">
        <f t="shared" ref="K292:M292" si="207">J141</f>
        <v>-0.8</v>
      </c>
      <c r="L292" s="290" t="str">
        <f t="shared" si="207"/>
        <v>-</v>
      </c>
      <c r="M292" s="290">
        <f t="shared" si="207"/>
        <v>0</v>
      </c>
      <c r="N292" s="229"/>
      <c r="O292" s="229"/>
      <c r="P292" s="229"/>
    </row>
    <row r="293" spans="1:16" ht="13">
      <c r="A293" s="1203"/>
      <c r="B293" s="289">
        <v>14</v>
      </c>
      <c r="C293" s="290">
        <f>C152</f>
        <v>35</v>
      </c>
      <c r="D293" s="290">
        <f t="shared" ref="D293:F293" si="208">D152</f>
        <v>0.3</v>
      </c>
      <c r="E293" s="290" t="str">
        <f t="shared" si="208"/>
        <v>-</v>
      </c>
      <c r="F293" s="290">
        <f t="shared" si="208"/>
        <v>0</v>
      </c>
      <c r="G293" s="229"/>
      <c r="H293" s="1204"/>
      <c r="I293" s="289">
        <v>14</v>
      </c>
      <c r="J293" s="290">
        <f>I152</f>
        <v>70</v>
      </c>
      <c r="K293" s="290">
        <f t="shared" ref="K293:M293" si="209">J152</f>
        <v>-1.9</v>
      </c>
      <c r="L293" s="290" t="str">
        <f t="shared" si="209"/>
        <v>-</v>
      </c>
      <c r="M293" s="290">
        <f t="shared" si="209"/>
        <v>0</v>
      </c>
      <c r="N293" s="229"/>
      <c r="O293" s="229"/>
      <c r="P293" s="229"/>
    </row>
    <row r="294" spans="1:16" ht="13">
      <c r="A294" s="1203"/>
      <c r="B294" s="289">
        <v>15</v>
      </c>
      <c r="C294" s="290">
        <f>C163</f>
        <v>35</v>
      </c>
      <c r="D294" s="290">
        <f t="shared" ref="D294:F294" si="210">D163</f>
        <v>-0.5</v>
      </c>
      <c r="E294" s="290" t="str">
        <f t="shared" si="210"/>
        <v>-</v>
      </c>
      <c r="F294" s="290">
        <f t="shared" si="210"/>
        <v>0</v>
      </c>
      <c r="G294" s="229"/>
      <c r="H294" s="1204"/>
      <c r="I294" s="289">
        <v>15</v>
      </c>
      <c r="J294" s="290">
        <f>I163</f>
        <v>70</v>
      </c>
      <c r="K294" s="290">
        <f t="shared" ref="K294:M294" si="211">J163</f>
        <v>-0.3</v>
      </c>
      <c r="L294" s="290" t="str">
        <f t="shared" si="211"/>
        <v>-</v>
      </c>
      <c r="M294" s="290">
        <f t="shared" si="211"/>
        <v>0</v>
      </c>
      <c r="N294" s="229"/>
      <c r="O294" s="229"/>
      <c r="P294" s="229"/>
    </row>
    <row r="295" spans="1:16" ht="13">
      <c r="A295" s="1203"/>
      <c r="B295" s="289">
        <v>16</v>
      </c>
      <c r="C295" s="290">
        <f>C174</f>
        <v>35</v>
      </c>
      <c r="D295" s="290">
        <f t="shared" ref="D295:F295" si="212">D174</f>
        <v>0.1</v>
      </c>
      <c r="E295" s="290" t="str">
        <f t="shared" si="212"/>
        <v>-</v>
      </c>
      <c r="F295" s="290">
        <f t="shared" si="212"/>
        <v>0</v>
      </c>
      <c r="G295" s="229"/>
      <c r="H295" s="1204"/>
      <c r="I295" s="289">
        <v>16</v>
      </c>
      <c r="J295" s="290">
        <f>I174</f>
        <v>70</v>
      </c>
      <c r="K295" s="290">
        <f t="shared" ref="K295:M295" si="213">J174</f>
        <v>-1.8</v>
      </c>
      <c r="L295" s="290" t="str">
        <f t="shared" si="213"/>
        <v>-</v>
      </c>
      <c r="M295" s="290">
        <f t="shared" si="213"/>
        <v>0</v>
      </c>
      <c r="N295" s="229"/>
      <c r="O295" s="229"/>
      <c r="P295" s="229"/>
    </row>
    <row r="296" spans="1:16" ht="13">
      <c r="A296" s="1203"/>
      <c r="B296" s="289">
        <v>17</v>
      </c>
      <c r="C296" s="290">
        <f>C185</f>
        <v>35</v>
      </c>
      <c r="D296" s="290">
        <f t="shared" ref="D296:F296" si="214">D185</f>
        <v>-0.3</v>
      </c>
      <c r="E296" s="290" t="str">
        <f t="shared" si="214"/>
        <v>-</v>
      </c>
      <c r="F296" s="290">
        <f t="shared" si="214"/>
        <v>0</v>
      </c>
      <c r="G296" s="229"/>
      <c r="H296" s="1204"/>
      <c r="I296" s="289">
        <v>17</v>
      </c>
      <c r="J296" s="290">
        <f>I185</f>
        <v>70</v>
      </c>
      <c r="K296" s="290">
        <f t="shared" ref="K296:M296" si="215">J185</f>
        <v>-0.3</v>
      </c>
      <c r="L296" s="290" t="str">
        <f t="shared" si="215"/>
        <v>-</v>
      </c>
      <c r="M296" s="290">
        <f t="shared" si="215"/>
        <v>0</v>
      </c>
      <c r="N296" s="229"/>
      <c r="O296" s="229"/>
      <c r="P296" s="229"/>
    </row>
    <row r="297" spans="1:16" ht="13">
      <c r="A297" s="1203"/>
      <c r="B297" s="289">
        <v>18</v>
      </c>
      <c r="C297" s="290">
        <f>C196</f>
        <v>35</v>
      </c>
      <c r="D297" s="290">
        <f t="shared" ref="D297:F297" si="216">D196</f>
        <v>-0.2</v>
      </c>
      <c r="E297" s="290" t="str">
        <f t="shared" si="216"/>
        <v>-</v>
      </c>
      <c r="F297" s="290">
        <f t="shared" si="216"/>
        <v>0</v>
      </c>
      <c r="G297" s="229"/>
      <c r="H297" s="1204"/>
      <c r="I297" s="289">
        <v>18</v>
      </c>
      <c r="J297" s="290">
        <f>I196</f>
        <v>70</v>
      </c>
      <c r="K297" s="290">
        <f t="shared" ref="K297:M297" si="217">J196</f>
        <v>-0.1</v>
      </c>
      <c r="L297" s="290" t="str">
        <f t="shared" si="217"/>
        <v>-</v>
      </c>
      <c r="M297" s="290">
        <f t="shared" si="217"/>
        <v>0</v>
      </c>
      <c r="N297" s="229"/>
      <c r="O297" s="229"/>
      <c r="P297" s="229"/>
    </row>
    <row r="298" spans="1:16" ht="13">
      <c r="A298" s="298"/>
      <c r="B298" s="299"/>
      <c r="C298" s="309"/>
      <c r="D298" s="309"/>
      <c r="E298" s="309"/>
      <c r="F298" s="310"/>
      <c r="G298" s="302"/>
      <c r="H298" s="298"/>
      <c r="I298" s="299"/>
      <c r="J298" s="309"/>
      <c r="K298" s="309"/>
      <c r="L298" s="309"/>
      <c r="M298" s="310"/>
      <c r="N298" s="229"/>
      <c r="O298" s="229"/>
      <c r="P298" s="229"/>
    </row>
    <row r="299" spans="1:16" ht="13">
      <c r="A299" s="1203" t="s">
        <v>275</v>
      </c>
      <c r="B299" s="289">
        <v>1</v>
      </c>
      <c r="C299" s="290">
        <f>C10</f>
        <v>37</v>
      </c>
      <c r="D299" s="290">
        <f t="shared" ref="D299:F299" si="218">D10</f>
        <v>-0.2</v>
      </c>
      <c r="E299" s="290">
        <f t="shared" si="218"/>
        <v>-0.6</v>
      </c>
      <c r="F299" s="290">
        <f t="shared" si="218"/>
        <v>0.19999999999999998</v>
      </c>
      <c r="G299" s="229"/>
      <c r="H299" s="1204" t="s">
        <v>275</v>
      </c>
      <c r="I299" s="289">
        <v>1</v>
      </c>
      <c r="J299" s="290">
        <f>I10</f>
        <v>80</v>
      </c>
      <c r="K299" s="290">
        <f t="shared" ref="K299:M299" si="219">J10</f>
        <v>-1.6</v>
      </c>
      <c r="L299" s="290">
        <f t="shared" si="219"/>
        <v>0.7</v>
      </c>
      <c r="M299" s="290">
        <f t="shared" si="219"/>
        <v>1.1499999999999999</v>
      </c>
      <c r="N299" s="229"/>
      <c r="O299" s="229"/>
      <c r="P299" s="229"/>
    </row>
    <row r="300" spans="1:16" ht="13">
      <c r="A300" s="1203"/>
      <c r="B300" s="289">
        <v>2</v>
      </c>
      <c r="C300" s="290">
        <f>C21</f>
        <v>37</v>
      </c>
      <c r="D300" s="290">
        <f t="shared" ref="D300:F300" si="220">D21</f>
        <v>-0.3</v>
      </c>
      <c r="E300" s="290">
        <f t="shared" si="220"/>
        <v>-1.8</v>
      </c>
      <c r="F300" s="290">
        <f t="shared" si="220"/>
        <v>0.75</v>
      </c>
      <c r="G300" s="229"/>
      <c r="H300" s="1204"/>
      <c r="I300" s="289">
        <v>2</v>
      </c>
      <c r="J300" s="290">
        <f>I21</f>
        <v>80</v>
      </c>
      <c r="K300" s="290">
        <f t="shared" ref="K300:M300" si="221">J21</f>
        <v>-0.7</v>
      </c>
      <c r="L300" s="290">
        <f t="shared" si="221"/>
        <v>-0.4</v>
      </c>
      <c r="M300" s="290">
        <f t="shared" si="221"/>
        <v>0.14999999999999997</v>
      </c>
      <c r="N300" s="229"/>
      <c r="O300" s="229"/>
      <c r="P300" s="229"/>
    </row>
    <row r="301" spans="1:16" ht="13">
      <c r="A301" s="1203"/>
      <c r="B301" s="289">
        <v>3</v>
      </c>
      <c r="C301" s="290">
        <f>C32</f>
        <v>37</v>
      </c>
      <c r="D301" s="290">
        <f t="shared" ref="D301:F301" si="222">D32</f>
        <v>-0.6</v>
      </c>
      <c r="E301" s="290">
        <f t="shared" si="222"/>
        <v>-0.5</v>
      </c>
      <c r="F301" s="290">
        <f t="shared" si="222"/>
        <v>4.9999999999999989E-2</v>
      </c>
      <c r="G301" s="229"/>
      <c r="H301" s="1204"/>
      <c r="I301" s="289">
        <v>3</v>
      </c>
      <c r="J301" s="290">
        <f>I32</f>
        <v>80</v>
      </c>
      <c r="K301" s="290">
        <f t="shared" ref="K301:M301" si="223">J32</f>
        <v>-2.9</v>
      </c>
      <c r="L301" s="290">
        <f t="shared" si="223"/>
        <v>-0.6</v>
      </c>
      <c r="M301" s="290">
        <f t="shared" si="223"/>
        <v>1.1499999999999999</v>
      </c>
      <c r="N301" s="229"/>
      <c r="O301" s="229"/>
      <c r="P301" s="229"/>
    </row>
    <row r="302" spans="1:16" ht="13">
      <c r="A302" s="1203"/>
      <c r="B302" s="289">
        <v>4</v>
      </c>
      <c r="C302" s="290">
        <f>C43</f>
        <v>37</v>
      </c>
      <c r="D302" s="290">
        <f t="shared" ref="D302:F302" si="224">D43</f>
        <v>-0.6</v>
      </c>
      <c r="E302" s="290">
        <f t="shared" si="224"/>
        <v>-1.8</v>
      </c>
      <c r="F302" s="290">
        <f t="shared" si="224"/>
        <v>0.60000000000000009</v>
      </c>
      <c r="G302" s="229"/>
      <c r="H302" s="1204"/>
      <c r="I302" s="289">
        <v>4</v>
      </c>
      <c r="J302" s="290">
        <f>I43</f>
        <v>80</v>
      </c>
      <c r="K302" s="290">
        <f t="shared" ref="K302:M302" si="225">J43</f>
        <v>1.9</v>
      </c>
      <c r="L302" s="290">
        <f t="shared" si="225"/>
        <v>-0.4</v>
      </c>
      <c r="M302" s="290">
        <f t="shared" si="225"/>
        <v>1.1499999999999999</v>
      </c>
      <c r="N302" s="229"/>
      <c r="O302" s="229"/>
      <c r="P302" s="229"/>
    </row>
    <row r="303" spans="1:16" ht="13">
      <c r="A303" s="1203"/>
      <c r="B303" s="289">
        <v>5</v>
      </c>
      <c r="C303" s="290">
        <f>C54</f>
        <v>37</v>
      </c>
      <c r="D303" s="290">
        <f t="shared" ref="D303:F303" si="226">D54</f>
        <v>0.7</v>
      </c>
      <c r="E303" s="290">
        <f t="shared" si="226"/>
        <v>0</v>
      </c>
      <c r="F303" s="290">
        <f t="shared" si="226"/>
        <v>0.35</v>
      </c>
      <c r="G303" s="229"/>
      <c r="H303" s="1204"/>
      <c r="I303" s="289">
        <v>5</v>
      </c>
      <c r="J303" s="290">
        <f>I54</f>
        <v>80</v>
      </c>
      <c r="K303" s="290">
        <f t="shared" ref="K303:M303" si="227">J54</f>
        <v>-3</v>
      </c>
      <c r="L303" s="290">
        <f t="shared" si="227"/>
        <v>0.2</v>
      </c>
      <c r="M303" s="290">
        <f t="shared" si="227"/>
        <v>1.6</v>
      </c>
      <c r="N303" s="229"/>
      <c r="O303" s="229"/>
      <c r="P303" s="229"/>
    </row>
    <row r="304" spans="1:16" ht="13">
      <c r="A304" s="1203"/>
      <c r="B304" s="289">
        <v>6</v>
      </c>
      <c r="C304" s="290">
        <f>C65</f>
        <v>37</v>
      </c>
      <c r="D304" s="290">
        <f t="shared" ref="D304:F304" si="228">D65</f>
        <v>0.1</v>
      </c>
      <c r="E304" s="290">
        <f t="shared" si="228"/>
        <v>-1.1000000000000001</v>
      </c>
      <c r="F304" s="290">
        <f t="shared" si="228"/>
        <v>0.60000000000000009</v>
      </c>
      <c r="G304" s="229"/>
      <c r="H304" s="1204"/>
      <c r="I304" s="289">
        <v>6</v>
      </c>
      <c r="J304" s="290">
        <f>I65</f>
        <v>80</v>
      </c>
      <c r="K304" s="290">
        <f t="shared" ref="K304:M304" si="229">J65</f>
        <v>-6.3</v>
      </c>
      <c r="L304" s="290">
        <f t="shared" si="229"/>
        <v>-2.6</v>
      </c>
      <c r="M304" s="290">
        <f t="shared" si="229"/>
        <v>1.8499999999999999</v>
      </c>
      <c r="N304" s="229"/>
      <c r="O304" s="229"/>
      <c r="P304" s="229"/>
    </row>
    <row r="305" spans="1:16" ht="13">
      <c r="A305" s="1203"/>
      <c r="B305" s="289">
        <v>7</v>
      </c>
      <c r="C305" s="290">
        <f>C76</f>
        <v>37</v>
      </c>
      <c r="D305" s="290">
        <f t="shared" ref="D305:F305" si="230">D76</f>
        <v>-1.4</v>
      </c>
      <c r="E305" s="290">
        <f t="shared" si="230"/>
        <v>-0.1</v>
      </c>
      <c r="F305" s="290">
        <f t="shared" si="230"/>
        <v>0.64999999999999991</v>
      </c>
      <c r="G305" s="229"/>
      <c r="H305" s="1204"/>
      <c r="I305" s="289">
        <v>7</v>
      </c>
      <c r="J305" s="290">
        <f>I76</f>
        <v>80</v>
      </c>
      <c r="K305" s="290">
        <f t="shared" ref="K305:M305" si="231">J76</f>
        <v>1.2</v>
      </c>
      <c r="L305" s="290">
        <f t="shared" si="231"/>
        <v>4.4000000000000004</v>
      </c>
      <c r="M305" s="290">
        <f t="shared" si="231"/>
        <v>1.6</v>
      </c>
      <c r="N305" s="229"/>
      <c r="O305" s="229"/>
      <c r="P305" s="229"/>
    </row>
    <row r="306" spans="1:16" ht="13">
      <c r="A306" s="1203"/>
      <c r="B306" s="289">
        <v>8</v>
      </c>
      <c r="C306" s="290">
        <f>C87</f>
        <v>37</v>
      </c>
      <c r="D306" s="290">
        <f t="shared" ref="D306:F306" si="232">D87</f>
        <v>-0.5</v>
      </c>
      <c r="E306" s="290">
        <f t="shared" si="232"/>
        <v>-0.3</v>
      </c>
      <c r="F306" s="290">
        <f t="shared" si="232"/>
        <v>0.1</v>
      </c>
      <c r="G306" s="229"/>
      <c r="H306" s="1204"/>
      <c r="I306" s="289">
        <v>8</v>
      </c>
      <c r="J306" s="290">
        <f>I87</f>
        <v>80</v>
      </c>
      <c r="K306" s="290">
        <f t="shared" ref="K306:M306" si="233">J87</f>
        <v>-1.2</v>
      </c>
      <c r="L306" s="290">
        <f t="shared" si="233"/>
        <v>2.6</v>
      </c>
      <c r="M306" s="290">
        <f t="shared" si="233"/>
        <v>1.9</v>
      </c>
      <c r="N306" s="229"/>
      <c r="O306" s="229"/>
      <c r="P306" s="229"/>
    </row>
    <row r="307" spans="1:16" ht="13">
      <c r="A307" s="1203"/>
      <c r="B307" s="289">
        <v>9</v>
      </c>
      <c r="C307" s="290">
        <f>C98</f>
        <v>37</v>
      </c>
      <c r="D307" s="290">
        <f t="shared" ref="D307:F307" si="234">D98</f>
        <v>-0.5</v>
      </c>
      <c r="E307" s="290" t="str">
        <f t="shared" si="234"/>
        <v>-</v>
      </c>
      <c r="F307" s="290">
        <f t="shared" si="234"/>
        <v>0</v>
      </c>
      <c r="G307" s="229"/>
      <c r="H307" s="1204"/>
      <c r="I307" s="289">
        <v>9</v>
      </c>
      <c r="J307" s="290">
        <f>I98</f>
        <v>80</v>
      </c>
      <c r="K307" s="290">
        <f t="shared" ref="K307:M307" si="235">J98</f>
        <v>-0.5</v>
      </c>
      <c r="L307" s="290" t="str">
        <f t="shared" si="235"/>
        <v>-</v>
      </c>
      <c r="M307" s="290">
        <f t="shared" si="235"/>
        <v>0</v>
      </c>
      <c r="N307" s="229"/>
      <c r="O307" s="229"/>
      <c r="P307" s="229"/>
    </row>
    <row r="308" spans="1:16" ht="13">
      <c r="A308" s="1203"/>
      <c r="B308" s="289">
        <v>10</v>
      </c>
      <c r="C308" s="290">
        <f>C109</f>
        <v>37</v>
      </c>
      <c r="D308" s="290">
        <f t="shared" ref="D308:F308" si="236">D109</f>
        <v>0.2</v>
      </c>
      <c r="E308" s="290">
        <f t="shared" si="236"/>
        <v>0.4</v>
      </c>
      <c r="F308" s="290">
        <f t="shared" si="236"/>
        <v>0.1</v>
      </c>
      <c r="G308" s="229"/>
      <c r="H308" s="1204"/>
      <c r="I308" s="289">
        <v>10</v>
      </c>
      <c r="J308" s="290">
        <f>I109</f>
        <v>80</v>
      </c>
      <c r="K308" s="290">
        <f t="shared" ref="K308:M308" si="237">J109</f>
        <v>2.2000000000000002</v>
      </c>
      <c r="L308" s="290">
        <f t="shared" si="237"/>
        <v>-4.7</v>
      </c>
      <c r="M308" s="290">
        <f t="shared" si="237"/>
        <v>3.45</v>
      </c>
      <c r="N308" s="229"/>
      <c r="O308" s="229"/>
      <c r="P308" s="229"/>
    </row>
    <row r="309" spans="1:16" ht="13">
      <c r="A309" s="1203"/>
      <c r="B309" s="289">
        <v>11</v>
      </c>
      <c r="C309" s="290">
        <f>C120</f>
        <v>37</v>
      </c>
      <c r="D309" s="290">
        <f t="shared" ref="D309:F309" si="238">D120</f>
        <v>0.5</v>
      </c>
      <c r="E309" s="290" t="str">
        <f t="shared" si="238"/>
        <v>-</v>
      </c>
      <c r="F309" s="290">
        <f t="shared" si="238"/>
        <v>0</v>
      </c>
      <c r="G309" s="229"/>
      <c r="H309" s="1204"/>
      <c r="I309" s="289">
        <v>11</v>
      </c>
      <c r="J309" s="290">
        <f>I120</f>
        <v>80</v>
      </c>
      <c r="K309" s="290">
        <f t="shared" ref="K309:M309" si="239">J120</f>
        <v>-1.4</v>
      </c>
      <c r="L309" s="290" t="str">
        <f t="shared" si="239"/>
        <v>-</v>
      </c>
      <c r="M309" s="290">
        <f t="shared" si="239"/>
        <v>0</v>
      </c>
      <c r="N309" s="229"/>
      <c r="O309" s="229"/>
      <c r="P309" s="229"/>
    </row>
    <row r="310" spans="1:16" ht="13">
      <c r="A310" s="1203"/>
      <c r="B310" s="289">
        <v>12</v>
      </c>
      <c r="C310" s="290">
        <f>C131</f>
        <v>37</v>
      </c>
      <c r="D310" s="290">
        <f t="shared" ref="D310:F310" si="240">D131</f>
        <v>-0.1</v>
      </c>
      <c r="E310" s="290" t="str">
        <f t="shared" si="240"/>
        <v>-</v>
      </c>
      <c r="F310" s="290">
        <f t="shared" si="240"/>
        <v>0</v>
      </c>
      <c r="G310" s="229"/>
      <c r="H310" s="1204"/>
      <c r="I310" s="289">
        <v>12</v>
      </c>
      <c r="J310" s="290">
        <f>I131</f>
        <v>80</v>
      </c>
      <c r="K310" s="290">
        <f t="shared" ref="K310:M310" si="241">J131</f>
        <v>-1.3</v>
      </c>
      <c r="L310" s="290" t="str">
        <f t="shared" si="241"/>
        <v>-</v>
      </c>
      <c r="M310" s="290">
        <f t="shared" si="241"/>
        <v>0</v>
      </c>
      <c r="N310" s="229"/>
      <c r="O310" s="229"/>
      <c r="P310" s="229"/>
    </row>
    <row r="311" spans="1:16" ht="13">
      <c r="A311" s="1203"/>
      <c r="B311" s="289">
        <v>13</v>
      </c>
      <c r="C311" s="290">
        <f>C142</f>
        <v>37</v>
      </c>
      <c r="D311" s="290">
        <f t="shared" ref="D311:F311" si="242">D142</f>
        <v>-0.8</v>
      </c>
      <c r="E311" s="290" t="str">
        <f t="shared" si="242"/>
        <v>-</v>
      </c>
      <c r="F311" s="290">
        <f t="shared" si="242"/>
        <v>0</v>
      </c>
      <c r="G311" s="229"/>
      <c r="H311" s="1204"/>
      <c r="I311" s="289">
        <v>13</v>
      </c>
      <c r="J311" s="290">
        <f>I142</f>
        <v>80</v>
      </c>
      <c r="K311" s="290">
        <f t="shared" ref="K311:M311" si="243">J142</f>
        <v>-0.9</v>
      </c>
      <c r="L311" s="290" t="str">
        <f t="shared" si="243"/>
        <v>-</v>
      </c>
      <c r="M311" s="290">
        <f t="shared" si="243"/>
        <v>0</v>
      </c>
      <c r="N311" s="229"/>
      <c r="O311" s="229"/>
      <c r="P311" s="229"/>
    </row>
    <row r="312" spans="1:16" ht="13">
      <c r="A312" s="1203"/>
      <c r="B312" s="289">
        <v>14</v>
      </c>
      <c r="C312" s="290">
        <f>C153</f>
        <v>37</v>
      </c>
      <c r="D312" s="290">
        <f t="shared" ref="D312:F312" si="244">D153</f>
        <v>0.4</v>
      </c>
      <c r="E312" s="290" t="str">
        <f t="shared" si="244"/>
        <v>-</v>
      </c>
      <c r="F312" s="290">
        <f t="shared" si="244"/>
        <v>0</v>
      </c>
      <c r="G312" s="229"/>
      <c r="H312" s="1204"/>
      <c r="I312" s="289">
        <v>14</v>
      </c>
      <c r="J312" s="290">
        <f>I153</f>
        <v>80</v>
      </c>
      <c r="K312" s="290">
        <f t="shared" ref="K312:M312" si="245">J153</f>
        <v>-2.5</v>
      </c>
      <c r="L312" s="290" t="str">
        <f t="shared" si="245"/>
        <v>-</v>
      </c>
      <c r="M312" s="290">
        <f t="shared" si="245"/>
        <v>0</v>
      </c>
      <c r="N312" s="229"/>
      <c r="O312" s="229"/>
      <c r="P312" s="229"/>
    </row>
    <row r="313" spans="1:16" ht="13">
      <c r="A313" s="1203"/>
      <c r="B313" s="289">
        <v>15</v>
      </c>
      <c r="C313" s="290">
        <f>C164</f>
        <v>37</v>
      </c>
      <c r="D313" s="290">
        <f t="shared" ref="D313:F313" si="246">D164</f>
        <v>-0.6</v>
      </c>
      <c r="E313" s="290" t="str">
        <f t="shared" si="246"/>
        <v>-</v>
      </c>
      <c r="F313" s="290">
        <f t="shared" si="246"/>
        <v>0</v>
      </c>
      <c r="G313" s="229"/>
      <c r="H313" s="1204"/>
      <c r="I313" s="289">
        <v>15</v>
      </c>
      <c r="J313" s="290">
        <f>I164</f>
        <v>80</v>
      </c>
      <c r="K313" s="290">
        <f t="shared" ref="K313:M313" si="247">J164</f>
        <v>-0.8</v>
      </c>
      <c r="L313" s="290" t="str">
        <f t="shared" si="247"/>
        <v>-</v>
      </c>
      <c r="M313" s="290">
        <f t="shared" si="247"/>
        <v>0</v>
      </c>
      <c r="N313" s="229"/>
      <c r="O313" s="229"/>
      <c r="P313" s="229"/>
    </row>
    <row r="314" spans="1:16" ht="13">
      <c r="A314" s="1203"/>
      <c r="B314" s="289">
        <v>16</v>
      </c>
      <c r="C314" s="290">
        <f>C175</f>
        <v>37</v>
      </c>
      <c r="D314" s="290">
        <f t="shared" ref="D314:F314" si="248">D175</f>
        <v>0</v>
      </c>
      <c r="E314" s="290" t="str">
        <f t="shared" si="248"/>
        <v>-</v>
      </c>
      <c r="F314" s="290">
        <f t="shared" si="248"/>
        <v>0</v>
      </c>
      <c r="G314" s="229"/>
      <c r="H314" s="1204"/>
      <c r="I314" s="289">
        <v>16</v>
      </c>
      <c r="J314" s="290">
        <f>I175</f>
        <v>80</v>
      </c>
      <c r="K314" s="290">
        <f t="shared" ref="K314:M314" si="249">J175</f>
        <v>-2.2999999999999998</v>
      </c>
      <c r="L314" s="290" t="str">
        <f t="shared" si="249"/>
        <v>-</v>
      </c>
      <c r="M314" s="290">
        <f t="shared" si="249"/>
        <v>0</v>
      </c>
      <c r="N314" s="229"/>
      <c r="O314" s="229"/>
      <c r="P314" s="229"/>
    </row>
    <row r="315" spans="1:16" ht="13">
      <c r="A315" s="1203"/>
      <c r="B315" s="289">
        <v>17</v>
      </c>
      <c r="C315" s="290">
        <f>C186</f>
        <v>37</v>
      </c>
      <c r="D315" s="290">
        <f t="shared" ref="D315:F315" si="250">D186</f>
        <v>-0.3</v>
      </c>
      <c r="E315" s="290" t="str">
        <f t="shared" si="250"/>
        <v>-</v>
      </c>
      <c r="F315" s="290">
        <f t="shared" si="250"/>
        <v>0</v>
      </c>
      <c r="G315" s="229"/>
      <c r="H315" s="1204"/>
      <c r="I315" s="289">
        <v>17</v>
      </c>
      <c r="J315" s="290">
        <f>I186</f>
        <v>80</v>
      </c>
      <c r="K315" s="290">
        <f t="shared" ref="K315:M315" si="251">J186</f>
        <v>-0.5</v>
      </c>
      <c r="L315" s="290" t="str">
        <f t="shared" si="251"/>
        <v>-</v>
      </c>
      <c r="M315" s="290">
        <f t="shared" si="251"/>
        <v>0</v>
      </c>
      <c r="N315" s="290"/>
      <c r="O315" s="229"/>
      <c r="P315" s="229"/>
    </row>
    <row r="316" spans="1:16" ht="13">
      <c r="A316" s="1203"/>
      <c r="B316" s="289">
        <v>18</v>
      </c>
      <c r="C316" s="290">
        <f>C197</f>
        <v>37</v>
      </c>
      <c r="D316" s="290">
        <f t="shared" ref="D316:F316" si="252">D197</f>
        <v>-0.3</v>
      </c>
      <c r="E316" s="290" t="str">
        <f t="shared" si="252"/>
        <v>-</v>
      </c>
      <c r="F316" s="290">
        <f t="shared" si="252"/>
        <v>0</v>
      </c>
      <c r="G316" s="229"/>
      <c r="H316" s="1204"/>
      <c r="I316" s="289">
        <v>18</v>
      </c>
      <c r="J316" s="290">
        <f>I197</f>
        <v>80</v>
      </c>
      <c r="K316" s="290">
        <f t="shared" ref="K316:M316" si="253">J197</f>
        <v>-0.5</v>
      </c>
      <c r="L316" s="290" t="str">
        <f t="shared" si="253"/>
        <v>-</v>
      </c>
      <c r="M316" s="290">
        <f t="shared" si="253"/>
        <v>0</v>
      </c>
      <c r="N316" s="229"/>
      <c r="O316" s="229"/>
      <c r="P316" s="229"/>
    </row>
    <row r="317" spans="1:16" ht="13">
      <c r="A317" s="298"/>
      <c r="B317" s="299"/>
      <c r="C317" s="309"/>
      <c r="D317" s="309"/>
      <c r="E317" s="309"/>
      <c r="F317" s="310"/>
      <c r="G317" s="302"/>
      <c r="H317" s="312"/>
      <c r="I317" s="299"/>
      <c r="J317" s="309"/>
      <c r="K317" s="309"/>
      <c r="L317" s="309"/>
      <c r="M317" s="310"/>
      <c r="N317" s="229"/>
      <c r="O317" s="229"/>
      <c r="P317" s="229"/>
    </row>
    <row r="318" spans="1:16" ht="13">
      <c r="A318" s="1203" t="s">
        <v>126</v>
      </c>
      <c r="B318" s="289">
        <v>1</v>
      </c>
      <c r="C318" s="290">
        <f>C11</f>
        <v>40</v>
      </c>
      <c r="D318" s="290">
        <f t="shared" ref="D318:F318" si="254">D11</f>
        <v>-0.3</v>
      </c>
      <c r="E318" s="290">
        <f t="shared" si="254"/>
        <v>-0.8</v>
      </c>
      <c r="F318" s="290">
        <f t="shared" si="254"/>
        <v>0.25</v>
      </c>
      <c r="G318" s="229"/>
      <c r="H318" s="1204" t="s">
        <v>126</v>
      </c>
      <c r="I318" s="289">
        <v>1</v>
      </c>
      <c r="J318" s="290">
        <f>I11</f>
        <v>90</v>
      </c>
      <c r="K318" s="290">
        <f t="shared" ref="K318:M318" si="255">J11</f>
        <v>0.3</v>
      </c>
      <c r="L318" s="290">
        <f t="shared" si="255"/>
        <v>4.5</v>
      </c>
      <c r="M318" s="290">
        <f t="shared" si="255"/>
        <v>2.1</v>
      </c>
      <c r="N318" s="229"/>
      <c r="O318" s="229"/>
      <c r="P318" s="229"/>
    </row>
    <row r="319" spans="1:16" ht="13">
      <c r="A319" s="1203"/>
      <c r="B319" s="289">
        <v>2</v>
      </c>
      <c r="C319" s="290">
        <f>C22</f>
        <v>40</v>
      </c>
      <c r="D319" s="290">
        <f t="shared" ref="D319:F319" si="256">D22</f>
        <v>-0.3</v>
      </c>
      <c r="E319" s="290">
        <f t="shared" si="256"/>
        <v>-2.1</v>
      </c>
      <c r="F319" s="290">
        <f t="shared" si="256"/>
        <v>0.9</v>
      </c>
      <c r="G319" s="229"/>
      <c r="H319" s="1204"/>
      <c r="I319" s="289">
        <v>2</v>
      </c>
      <c r="J319" s="290">
        <f>I22</f>
        <v>90</v>
      </c>
      <c r="K319" s="290">
        <f t="shared" ref="K319:M319" si="257">J22</f>
        <v>-0.3</v>
      </c>
      <c r="L319" s="290">
        <f t="shared" si="257"/>
        <v>0.6</v>
      </c>
      <c r="M319" s="290">
        <f t="shared" si="257"/>
        <v>0.44999999999999996</v>
      </c>
      <c r="N319" s="229"/>
      <c r="O319" s="229"/>
      <c r="P319" s="229"/>
    </row>
    <row r="320" spans="1:16" ht="13">
      <c r="A320" s="1203"/>
      <c r="B320" s="289">
        <v>3</v>
      </c>
      <c r="C320" s="290">
        <f>C33</f>
        <v>40</v>
      </c>
      <c r="D320" s="290">
        <f t="shared" ref="D320:F320" si="258">D33</f>
        <v>-0.7</v>
      </c>
      <c r="E320" s="290">
        <f t="shared" si="258"/>
        <v>-0.5</v>
      </c>
      <c r="F320" s="290">
        <f t="shared" si="258"/>
        <v>9.9999999999999978E-2</v>
      </c>
      <c r="G320" s="229"/>
      <c r="H320" s="1204"/>
      <c r="I320" s="289">
        <v>3</v>
      </c>
      <c r="J320" s="290">
        <f>I33</f>
        <v>90</v>
      </c>
      <c r="K320" s="290">
        <f t="shared" ref="K320:M320" si="259">J33</f>
        <v>-2</v>
      </c>
      <c r="L320" s="290">
        <f t="shared" si="259"/>
        <v>0.9</v>
      </c>
      <c r="M320" s="290">
        <f t="shared" si="259"/>
        <v>1.45</v>
      </c>
      <c r="N320" s="229"/>
      <c r="O320" s="229"/>
      <c r="P320" s="229"/>
    </row>
    <row r="321" spans="1:16" ht="13">
      <c r="A321" s="1203"/>
      <c r="B321" s="289">
        <v>4</v>
      </c>
      <c r="C321" s="290">
        <f>C44</f>
        <v>40</v>
      </c>
      <c r="D321" s="290">
        <f t="shared" ref="D321:F321" si="260">D44</f>
        <v>-0.6</v>
      </c>
      <c r="E321" s="290">
        <f t="shared" si="260"/>
        <v>-2.1</v>
      </c>
      <c r="F321" s="290">
        <f t="shared" si="260"/>
        <v>0.75</v>
      </c>
      <c r="G321" s="229"/>
      <c r="H321" s="1204"/>
      <c r="I321" s="289">
        <v>4</v>
      </c>
      <c r="J321" s="290">
        <f>I44</f>
        <v>90</v>
      </c>
      <c r="K321" s="290">
        <f t="shared" ref="K321:M321" si="261">J44</f>
        <v>3.3</v>
      </c>
      <c r="L321" s="290">
        <f t="shared" si="261"/>
        <v>0.2</v>
      </c>
      <c r="M321" s="290">
        <f t="shared" si="261"/>
        <v>1.5499999999999998</v>
      </c>
      <c r="N321" s="229"/>
      <c r="O321" s="229"/>
      <c r="P321" s="229"/>
    </row>
    <row r="322" spans="1:16" ht="13">
      <c r="A322" s="1203"/>
      <c r="B322" s="289">
        <v>5</v>
      </c>
      <c r="C322" s="290">
        <f>C55</f>
        <v>40</v>
      </c>
      <c r="D322" s="290">
        <f t="shared" ref="D322:F322" si="262">D55</f>
        <v>0.7</v>
      </c>
      <c r="E322" s="290">
        <f t="shared" si="262"/>
        <v>-0.1</v>
      </c>
      <c r="F322" s="290">
        <f t="shared" si="262"/>
        <v>0.39999999999999997</v>
      </c>
      <c r="G322" s="229"/>
      <c r="H322" s="1204"/>
      <c r="I322" s="289">
        <v>5</v>
      </c>
      <c r="J322" s="290">
        <f>I55</f>
        <v>90</v>
      </c>
      <c r="K322" s="290">
        <f t="shared" ref="K322:M322" si="263">J55</f>
        <v>-1.8</v>
      </c>
      <c r="L322" s="290">
        <f t="shared" si="263"/>
        <v>2.7</v>
      </c>
      <c r="M322" s="290">
        <f t="shared" si="263"/>
        <v>2.25</v>
      </c>
      <c r="N322" s="229"/>
      <c r="O322" s="229"/>
      <c r="P322" s="229"/>
    </row>
    <row r="323" spans="1:16" ht="13">
      <c r="A323" s="1203"/>
      <c r="B323" s="289">
        <v>6</v>
      </c>
      <c r="C323" s="290">
        <f>C66</f>
        <v>40</v>
      </c>
      <c r="D323" s="290">
        <f t="shared" ref="D323:F323" si="264">D66</f>
        <v>0.1</v>
      </c>
      <c r="E323" s="290">
        <f t="shared" si="264"/>
        <v>-1.4</v>
      </c>
      <c r="F323" s="290">
        <f t="shared" si="264"/>
        <v>0.75</v>
      </c>
      <c r="G323" s="229"/>
      <c r="H323" s="1204"/>
      <c r="I323" s="289">
        <v>6</v>
      </c>
      <c r="J323" s="290">
        <f>I66</f>
        <v>90</v>
      </c>
      <c r="K323" s="290">
        <f t="shared" ref="K323:M323" si="265">J66</f>
        <v>-5.2</v>
      </c>
      <c r="L323" s="290">
        <f t="shared" si="265"/>
        <v>-2.6</v>
      </c>
      <c r="M323" s="290">
        <f t="shared" si="265"/>
        <v>1.3</v>
      </c>
      <c r="N323" s="229"/>
      <c r="O323" s="229"/>
      <c r="P323" s="229"/>
    </row>
    <row r="324" spans="1:16" ht="13">
      <c r="A324" s="1203"/>
      <c r="B324" s="289">
        <v>7</v>
      </c>
      <c r="C324" s="290">
        <f>C77</f>
        <v>40</v>
      </c>
      <c r="D324" s="290">
        <f t="shared" ref="D324:F324" si="266">D77</f>
        <v>-1.7</v>
      </c>
      <c r="E324" s="290">
        <f t="shared" si="266"/>
        <v>-0.1</v>
      </c>
      <c r="F324" s="290">
        <f t="shared" si="266"/>
        <v>0.79999999999999993</v>
      </c>
      <c r="G324" s="229"/>
      <c r="H324" s="1204"/>
      <c r="I324" s="289">
        <v>7</v>
      </c>
      <c r="J324" s="290">
        <f>I77</f>
        <v>90</v>
      </c>
      <c r="K324" s="290">
        <f t="shared" ref="K324:M324" si="267">J77</f>
        <v>1.8</v>
      </c>
      <c r="L324" s="290">
        <f t="shared" si="267"/>
        <v>4.4000000000000004</v>
      </c>
      <c r="M324" s="290">
        <f t="shared" si="267"/>
        <v>1.3000000000000003</v>
      </c>
      <c r="N324" s="229"/>
      <c r="O324" s="229"/>
      <c r="P324" s="229"/>
    </row>
    <row r="325" spans="1:16" ht="13">
      <c r="A325" s="1203"/>
      <c r="B325" s="289">
        <v>8</v>
      </c>
      <c r="C325" s="290">
        <f>C88</f>
        <v>40</v>
      </c>
      <c r="D325" s="290">
        <f t="shared" ref="D325:F325" si="268">D88</f>
        <v>-0.4</v>
      </c>
      <c r="E325" s="290">
        <f t="shared" si="268"/>
        <v>-0.4</v>
      </c>
      <c r="F325" s="290">
        <f t="shared" si="268"/>
        <v>0</v>
      </c>
      <c r="G325" s="229"/>
      <c r="H325" s="1204"/>
      <c r="I325" s="289">
        <v>8</v>
      </c>
      <c r="J325" s="290">
        <f>I88</f>
        <v>90</v>
      </c>
      <c r="K325" s="290">
        <f t="shared" ref="K325:M325" si="269">J88</f>
        <v>-1.3</v>
      </c>
      <c r="L325" s="290">
        <f t="shared" si="269"/>
        <v>2.6</v>
      </c>
      <c r="M325" s="290">
        <f t="shared" si="269"/>
        <v>1.9500000000000002</v>
      </c>
      <c r="N325" s="229"/>
      <c r="O325" s="229"/>
      <c r="P325" s="229"/>
    </row>
    <row r="326" spans="1:16" ht="13">
      <c r="A326" s="1203"/>
      <c r="B326" s="289">
        <v>9</v>
      </c>
      <c r="C326" s="290">
        <f>C99</f>
        <v>40</v>
      </c>
      <c r="D326" s="290">
        <f t="shared" ref="D326:F326" si="270">D99</f>
        <v>-0.4</v>
      </c>
      <c r="E326" s="290" t="str">
        <f t="shared" si="270"/>
        <v>-</v>
      </c>
      <c r="F326" s="290">
        <f t="shared" si="270"/>
        <v>0</v>
      </c>
      <c r="G326" s="229"/>
      <c r="H326" s="1204"/>
      <c r="I326" s="289">
        <v>9</v>
      </c>
      <c r="J326" s="290">
        <f>I99</f>
        <v>90</v>
      </c>
      <c r="K326" s="290">
        <f t="shared" ref="K326:M326" si="271">J99</f>
        <v>-0.2</v>
      </c>
      <c r="L326" s="290" t="str">
        <f t="shared" si="271"/>
        <v>-</v>
      </c>
      <c r="M326" s="290">
        <f t="shared" si="271"/>
        <v>0</v>
      </c>
      <c r="N326" s="229"/>
      <c r="O326" s="229"/>
      <c r="P326" s="229"/>
    </row>
    <row r="327" spans="1:16" ht="13">
      <c r="A327" s="1203"/>
      <c r="B327" s="289">
        <v>10</v>
      </c>
      <c r="C327" s="290">
        <f>C110</f>
        <v>40</v>
      </c>
      <c r="D327" s="290">
        <f t="shared" ref="D327:F327" si="272">D110</f>
        <v>0.2</v>
      </c>
      <c r="E327" s="290">
        <f t="shared" si="272"/>
        <v>0</v>
      </c>
      <c r="F327" s="290">
        <f t="shared" si="272"/>
        <v>0.1</v>
      </c>
      <c r="G327" s="229"/>
      <c r="H327" s="1204"/>
      <c r="I327" s="289">
        <v>10</v>
      </c>
      <c r="J327" s="290">
        <f>I110</f>
        <v>90</v>
      </c>
      <c r="K327" s="290">
        <f t="shared" ref="K327:M327" si="273">J110</f>
        <v>5.4</v>
      </c>
      <c r="L327" s="290">
        <f t="shared" si="273"/>
        <v>0</v>
      </c>
      <c r="M327" s="290">
        <f t="shared" si="273"/>
        <v>2.7</v>
      </c>
      <c r="N327" s="229"/>
      <c r="O327" s="229"/>
      <c r="P327" s="229"/>
    </row>
    <row r="328" spans="1:16" ht="13">
      <c r="A328" s="1203"/>
      <c r="B328" s="289">
        <v>11</v>
      </c>
      <c r="C328" s="290">
        <f>C121</f>
        <v>40</v>
      </c>
      <c r="D328" s="290">
        <f t="shared" ref="D328:F328" si="274">D121</f>
        <v>0.5</v>
      </c>
      <c r="E328" s="290" t="str">
        <f t="shared" si="274"/>
        <v>-</v>
      </c>
      <c r="F328" s="290">
        <f t="shared" si="274"/>
        <v>0</v>
      </c>
      <c r="G328" s="229"/>
      <c r="H328" s="1204"/>
      <c r="I328" s="289">
        <v>11</v>
      </c>
      <c r="J328" s="290">
        <f>I121</f>
        <v>90</v>
      </c>
      <c r="K328" s="290">
        <f t="shared" ref="K328:M328" si="275">J121</f>
        <v>1.3</v>
      </c>
      <c r="L328" s="290" t="str">
        <f t="shared" si="275"/>
        <v>-</v>
      </c>
      <c r="M328" s="290">
        <f t="shared" si="275"/>
        <v>0</v>
      </c>
      <c r="N328" s="229"/>
      <c r="O328" s="229"/>
      <c r="P328" s="229"/>
    </row>
    <row r="329" spans="1:16" ht="13">
      <c r="A329" s="1203"/>
      <c r="B329" s="289">
        <v>12</v>
      </c>
      <c r="C329" s="290">
        <f>C132</f>
        <v>40</v>
      </c>
      <c r="D329" s="290">
        <f t="shared" ref="D329:F329" si="276">D132</f>
        <v>0</v>
      </c>
      <c r="E329" s="290" t="str">
        <f t="shared" si="276"/>
        <v>-</v>
      </c>
      <c r="F329" s="290">
        <f t="shared" si="276"/>
        <v>0</v>
      </c>
      <c r="G329" s="229"/>
      <c r="H329" s="1204"/>
      <c r="I329" s="289">
        <v>12</v>
      </c>
      <c r="J329" s="290">
        <f>I132</f>
        <v>90</v>
      </c>
      <c r="K329" s="290">
        <f t="shared" ref="K329:M329" si="277">J132</f>
        <v>-2</v>
      </c>
      <c r="L329" s="290" t="str">
        <f t="shared" si="277"/>
        <v>-</v>
      </c>
      <c r="M329" s="290">
        <f t="shared" si="277"/>
        <v>0</v>
      </c>
      <c r="N329" s="229"/>
      <c r="O329" s="229"/>
      <c r="P329" s="229"/>
    </row>
    <row r="330" spans="1:16" ht="13">
      <c r="A330" s="1203"/>
      <c r="B330" s="289">
        <v>13</v>
      </c>
      <c r="C330" s="290">
        <f>C143</f>
        <v>40</v>
      </c>
      <c r="D330" s="290">
        <f t="shared" ref="D330:F330" si="278">D143</f>
        <v>-1.1000000000000001</v>
      </c>
      <c r="E330" s="290" t="str">
        <f t="shared" si="278"/>
        <v>-</v>
      </c>
      <c r="F330" s="290">
        <f t="shared" si="278"/>
        <v>0</v>
      </c>
      <c r="G330" s="229"/>
      <c r="H330" s="1204"/>
      <c r="I330" s="289">
        <v>13</v>
      </c>
      <c r="J330" s="290">
        <f>I143</f>
        <v>90</v>
      </c>
      <c r="K330" s="290">
        <f t="shared" ref="K330:M330" si="279">J143</f>
        <v>-0.8</v>
      </c>
      <c r="L330" s="290" t="str">
        <f t="shared" si="279"/>
        <v>-</v>
      </c>
      <c r="M330" s="290">
        <f t="shared" si="279"/>
        <v>0</v>
      </c>
      <c r="N330" s="229"/>
      <c r="O330" s="229"/>
      <c r="P330" s="229"/>
    </row>
    <row r="331" spans="1:16" ht="13">
      <c r="A331" s="1203"/>
      <c r="B331" s="289">
        <v>14</v>
      </c>
      <c r="C331" s="290">
        <f>C154</f>
        <v>40</v>
      </c>
      <c r="D331" s="290">
        <f t="shared" ref="D331:F331" si="280">D154</f>
        <v>0.5</v>
      </c>
      <c r="E331" s="290" t="str">
        <f t="shared" si="280"/>
        <v>-</v>
      </c>
      <c r="F331" s="290">
        <f t="shared" si="280"/>
        <v>0</v>
      </c>
      <c r="G331" s="229"/>
      <c r="H331" s="1204"/>
      <c r="I331" s="289">
        <v>14</v>
      </c>
      <c r="J331" s="290">
        <f>I154</f>
        <v>90</v>
      </c>
      <c r="K331" s="290">
        <f t="shared" ref="K331:M331" si="281">J154</f>
        <v>-3.2</v>
      </c>
      <c r="L331" s="290" t="str">
        <f t="shared" si="281"/>
        <v>-</v>
      </c>
      <c r="M331" s="290">
        <f t="shared" si="281"/>
        <v>0</v>
      </c>
      <c r="N331" s="229"/>
      <c r="O331" s="229"/>
      <c r="P331" s="229"/>
    </row>
    <row r="332" spans="1:16" ht="13">
      <c r="A332" s="1203"/>
      <c r="B332" s="289">
        <v>15</v>
      </c>
      <c r="C332" s="290">
        <f>C165</f>
        <v>40</v>
      </c>
      <c r="D332" s="290">
        <f t="shared" ref="D332:F332" si="282">D165</f>
        <v>-0.8</v>
      </c>
      <c r="E332" s="290" t="str">
        <f t="shared" si="282"/>
        <v>-</v>
      </c>
      <c r="F332" s="290">
        <f t="shared" si="282"/>
        <v>0</v>
      </c>
      <c r="G332" s="229"/>
      <c r="H332" s="1204"/>
      <c r="I332" s="289">
        <v>15</v>
      </c>
      <c r="J332" s="290">
        <f>I165</f>
        <v>90</v>
      </c>
      <c r="K332" s="290">
        <f t="shared" ref="K332:M332" si="283">J165</f>
        <v>-1.4</v>
      </c>
      <c r="L332" s="290" t="str">
        <f t="shared" si="283"/>
        <v>-</v>
      </c>
      <c r="M332" s="290">
        <f t="shared" si="283"/>
        <v>0</v>
      </c>
      <c r="N332" s="229"/>
      <c r="O332" s="229"/>
      <c r="P332" s="229"/>
    </row>
    <row r="333" spans="1:16" ht="13">
      <c r="A333" s="1203"/>
      <c r="B333" s="289">
        <v>16</v>
      </c>
      <c r="C333" s="290">
        <f>C176</f>
        <v>40</v>
      </c>
      <c r="D333" s="290">
        <f t="shared" ref="D333:F333" si="284">D176</f>
        <v>0</v>
      </c>
      <c r="E333" s="290" t="str">
        <f t="shared" si="284"/>
        <v>-</v>
      </c>
      <c r="F333" s="290">
        <f t="shared" si="284"/>
        <v>0</v>
      </c>
      <c r="G333" s="229"/>
      <c r="H333" s="1204"/>
      <c r="I333" s="289">
        <v>16</v>
      </c>
      <c r="J333" s="290">
        <f>I176</f>
        <v>90</v>
      </c>
      <c r="K333" s="290">
        <f t="shared" ref="K333:M333" si="285">J176</f>
        <v>-3</v>
      </c>
      <c r="L333" s="290" t="str">
        <f t="shared" si="285"/>
        <v>-</v>
      </c>
      <c r="M333" s="290">
        <f t="shared" si="285"/>
        <v>0</v>
      </c>
      <c r="N333" s="229"/>
      <c r="O333" s="229"/>
      <c r="P333" s="229"/>
    </row>
    <row r="334" spans="1:16" ht="13">
      <c r="A334" s="1203"/>
      <c r="B334" s="289">
        <v>17</v>
      </c>
      <c r="C334" s="290">
        <f>C187</f>
        <v>40</v>
      </c>
      <c r="D334" s="290">
        <f t="shared" ref="D334:F334" si="286">D187</f>
        <v>-0.4</v>
      </c>
      <c r="E334" s="290" t="str">
        <f t="shared" si="286"/>
        <v>-</v>
      </c>
      <c r="F334" s="290">
        <f t="shared" si="286"/>
        <v>0</v>
      </c>
      <c r="G334" s="229"/>
      <c r="H334" s="1204"/>
      <c r="I334" s="289">
        <v>17</v>
      </c>
      <c r="J334" s="290">
        <f>I187</f>
        <v>90</v>
      </c>
      <c r="K334" s="290">
        <f t="shared" ref="K334:M334" si="287">J187</f>
        <v>-0.8</v>
      </c>
      <c r="L334" s="290" t="str">
        <f t="shared" si="287"/>
        <v>-</v>
      </c>
      <c r="M334" s="290">
        <f t="shared" si="287"/>
        <v>0</v>
      </c>
      <c r="N334" s="229"/>
      <c r="O334" s="229"/>
      <c r="P334" s="229"/>
    </row>
    <row r="335" spans="1:16" ht="13">
      <c r="A335" s="1203"/>
      <c r="B335" s="289">
        <v>18</v>
      </c>
      <c r="C335" s="290">
        <f>C198</f>
        <v>40</v>
      </c>
      <c r="D335" s="290">
        <f t="shared" ref="D335:F335" si="288">D198</f>
        <v>-0.4</v>
      </c>
      <c r="E335" s="290" t="str">
        <f t="shared" si="288"/>
        <v>-</v>
      </c>
      <c r="F335" s="290">
        <f t="shared" si="288"/>
        <v>0</v>
      </c>
      <c r="G335" s="229"/>
      <c r="H335" s="1204"/>
      <c r="I335" s="289">
        <v>18</v>
      </c>
      <c r="J335" s="290">
        <f>I198</f>
        <v>90</v>
      </c>
      <c r="K335" s="290">
        <f t="shared" ref="K335:M335" si="289">J198</f>
        <v>-0.9</v>
      </c>
      <c r="L335" s="290" t="str">
        <f t="shared" si="289"/>
        <v>-</v>
      </c>
      <c r="M335" s="290">
        <f t="shared" si="289"/>
        <v>0</v>
      </c>
      <c r="N335" s="229"/>
      <c r="O335" s="229"/>
      <c r="P335" s="229"/>
    </row>
    <row r="336" spans="1:16" ht="13.5" thickBot="1">
      <c r="A336" s="313"/>
      <c r="B336" s="314"/>
      <c r="C336" s="302"/>
      <c r="D336" s="302"/>
      <c r="E336" s="302"/>
      <c r="F336" s="302"/>
      <c r="G336" s="302"/>
      <c r="H336" s="229"/>
      <c r="I336" s="315"/>
      <c r="J336" s="314"/>
      <c r="K336" s="302"/>
      <c r="L336" s="302"/>
      <c r="M336" s="302"/>
      <c r="N336" s="302"/>
      <c r="O336" s="302"/>
      <c r="P336" s="229"/>
    </row>
    <row r="337" spans="1:16" ht="29.25" customHeight="1">
      <c r="A337" s="162">
        <f>A375</f>
        <v>8</v>
      </c>
      <c r="B337" s="1205" t="str">
        <f>A356</f>
        <v>Thermohygrolight, Merek : Greisinger, Model : GFTB 200, SN : 34903051</v>
      </c>
      <c r="C337" s="1205"/>
      <c r="D337" s="1206"/>
      <c r="E337" s="163"/>
      <c r="F337" s="162">
        <f>A337</f>
        <v>8</v>
      </c>
      <c r="G337" s="1205" t="str">
        <f>B337</f>
        <v>Thermohygrolight, Merek : Greisinger, Model : GFTB 200, SN : 34903051</v>
      </c>
      <c r="H337" s="1205"/>
      <c r="I337" s="1206"/>
      <c r="J337" s="163"/>
      <c r="K337" s="162">
        <f>A337</f>
        <v>8</v>
      </c>
      <c r="L337" s="1193" t="str">
        <f>G337</f>
        <v>Thermohygrolight, Merek : Greisinger, Model : GFTB 200, SN : 34903051</v>
      </c>
      <c r="M337" s="1194"/>
      <c r="N337" s="1194"/>
      <c r="O337" s="1195"/>
      <c r="P337" s="229"/>
    </row>
    <row r="338" spans="1:16" ht="13.5">
      <c r="A338" s="316" t="s">
        <v>244</v>
      </c>
      <c r="B338" s="1196" t="s">
        <v>245</v>
      </c>
      <c r="C338" s="1196"/>
      <c r="D338" s="1197" t="s">
        <v>246</v>
      </c>
      <c r="E338" s="302"/>
      <c r="F338" s="316" t="s">
        <v>247</v>
      </c>
      <c r="G338" s="1196" t="s">
        <v>245</v>
      </c>
      <c r="H338" s="1196"/>
      <c r="I338" s="1197" t="s">
        <v>246</v>
      </c>
      <c r="J338" s="302"/>
      <c r="K338" s="1198"/>
      <c r="L338" s="1201" t="s">
        <v>276</v>
      </c>
      <c r="M338" s="1201" t="s">
        <v>145</v>
      </c>
      <c r="N338" s="1201" t="s">
        <v>146</v>
      </c>
      <c r="O338" s="1202" t="s">
        <v>243</v>
      </c>
      <c r="P338" s="229"/>
    </row>
    <row r="339" spans="1:16" ht="14">
      <c r="A339" s="164" t="s">
        <v>269</v>
      </c>
      <c r="B339" s="317">
        <f>VLOOKUP(B337,A357:K374,9,FALSE)</f>
        <v>2019</v>
      </c>
      <c r="C339" s="317">
        <f>VLOOKUP(B337,A357:K374,10,FALSE)</f>
        <v>2017</v>
      </c>
      <c r="D339" s="1197"/>
      <c r="E339" s="302"/>
      <c r="F339" s="165" t="s">
        <v>118</v>
      </c>
      <c r="G339" s="317">
        <f>B339</f>
        <v>2019</v>
      </c>
      <c r="H339" s="317">
        <f>C339</f>
        <v>2017</v>
      </c>
      <c r="I339" s="1197"/>
      <c r="J339" s="302"/>
      <c r="K339" s="1199"/>
      <c r="L339" s="1201"/>
      <c r="M339" s="1201"/>
      <c r="N339" s="1201"/>
      <c r="O339" s="1202"/>
      <c r="P339" s="229"/>
    </row>
    <row r="340" spans="1:16" ht="13">
      <c r="A340" s="318">
        <f>VLOOKUP($A$337,$B$204:$F$221,2,FALSE)</f>
        <v>15</v>
      </c>
      <c r="B340" s="319">
        <f>VLOOKUP($A$337,$B$204:$F$221,3,FALSE)</f>
        <v>0</v>
      </c>
      <c r="C340" s="319">
        <f>VLOOKUP($A$337,$B$204:$F$221,4,FALSE)</f>
        <v>-0.2</v>
      </c>
      <c r="D340" s="320">
        <f>VLOOKUP($A$337,$B$204:$F$221,5,FALSE)</f>
        <v>0.1</v>
      </c>
      <c r="E340" s="302"/>
      <c r="F340" s="318">
        <f>VLOOKUP($F$337,$I$204:$M$221,2,FALSE)</f>
        <v>30</v>
      </c>
      <c r="G340" s="319">
        <f>VLOOKUP($F$337,$I$204:$M$221,3,FALSE)</f>
        <v>-1.4</v>
      </c>
      <c r="H340" s="319">
        <f>VLOOKUP($F$337,$I$204:$M$221,4,FALSE)</f>
        <v>1</v>
      </c>
      <c r="I340" s="320">
        <f>VLOOKUP($F$337,$I$204:$M$221,5,FALSE)</f>
        <v>1.2</v>
      </c>
      <c r="J340" s="302"/>
      <c r="K340" s="1200"/>
      <c r="L340" s="1201"/>
      <c r="M340" s="1201"/>
      <c r="N340" s="1201"/>
      <c r="O340" s="1202"/>
      <c r="P340" s="229"/>
    </row>
    <row r="341" spans="1:16" ht="13">
      <c r="A341" s="318">
        <f>VLOOKUP($A$337,$B$223:$F$240,2,FALSE)</f>
        <v>20</v>
      </c>
      <c r="B341" s="319">
        <f>VLOOKUP($A$337,$B$223:$F$240,3,FALSE)</f>
        <v>-0.2</v>
      </c>
      <c r="C341" s="319">
        <f>VLOOKUP($A$337,$B$223:$F$240,4,FALSE)</f>
        <v>-0.2</v>
      </c>
      <c r="D341" s="320">
        <f>VLOOKUP($A$337,$B$223:$F$240,5,FALSE)</f>
        <v>0</v>
      </c>
      <c r="E341" s="302"/>
      <c r="F341" s="318">
        <f>VLOOKUP($F$337,$I$223:$M$240,2,FALSE)</f>
        <v>40</v>
      </c>
      <c r="G341" s="319">
        <f>VLOOKUP($F$337,$I$223:$M$240,3,FALSE)</f>
        <v>-1.2</v>
      </c>
      <c r="H341" s="319">
        <f>VLOOKUP($F$337,$I$223:$M$240,4,FALSE)</f>
        <v>1.1000000000000001</v>
      </c>
      <c r="I341" s="320">
        <f>VLOOKUP($F$337,$I$223:$M$240,5,FALSE)</f>
        <v>1.1499999999999999</v>
      </c>
      <c r="J341" s="302"/>
      <c r="K341" s="321" t="s">
        <v>244</v>
      </c>
      <c r="L341" s="322">
        <f>AVERAGE(ID!F15:G15)</f>
        <v>23.2</v>
      </c>
      <c r="M341" s="323">
        <f>L341+C350</f>
        <v>22.872</v>
      </c>
      <c r="N341" s="324">
        <f>STDEV(ID!F15:G15)</f>
        <v>0</v>
      </c>
      <c r="O341" s="325">
        <f>VLOOKUP(K337,O203:P221,2,(FALSE))</f>
        <v>0.3</v>
      </c>
      <c r="P341" s="326"/>
    </row>
    <row r="342" spans="1:16" ht="13.5" thickBot="1">
      <c r="A342" s="318">
        <f>VLOOKUP($A$337,$B$242:$F$259,2,FALSE)</f>
        <v>25</v>
      </c>
      <c r="B342" s="319">
        <f>VLOOKUP($A$337,$B$242:$F$259,3,FALSE)</f>
        <v>-0.4</v>
      </c>
      <c r="C342" s="319">
        <f>VLOOKUP($A$337,$B$242:$F$259,4,FALSE)</f>
        <v>-0.2</v>
      </c>
      <c r="D342" s="320">
        <f>VLOOKUP($A$337,$B$242:$F$259,5,FALSE)</f>
        <v>0.1</v>
      </c>
      <c r="E342" s="302"/>
      <c r="F342" s="318">
        <f>VLOOKUP($F$337,$I$242:$M$259,2,FALSE)</f>
        <v>50</v>
      </c>
      <c r="G342" s="319">
        <f>VLOOKUP($F$337,$I$242:$M$259,3,FALSE)</f>
        <v>-1.2</v>
      </c>
      <c r="H342" s="319">
        <f>VLOOKUP($F$337,$I$242:$M$259,4,FALSE)</f>
        <v>1.3</v>
      </c>
      <c r="I342" s="320">
        <f>VLOOKUP($F$337,$I$242:$M$259,5,FALSE)</f>
        <v>1.25</v>
      </c>
      <c r="J342" s="302"/>
      <c r="K342" s="327" t="s">
        <v>118</v>
      </c>
      <c r="L342" s="322">
        <f>AVERAGE(ID!F16:G16)</f>
        <v>67.599999999999994</v>
      </c>
      <c r="M342" s="328">
        <f>L342+H350</f>
        <v>66.423999999999992</v>
      </c>
      <c r="N342" s="324">
        <f>STDEV(ID!F16:G16)</f>
        <v>0</v>
      </c>
      <c r="O342" s="329">
        <f>VLOOKUP(K337,O225:P243,2,(FALSE))</f>
        <v>2.6</v>
      </c>
      <c r="P342" s="326"/>
    </row>
    <row r="343" spans="1:16" ht="13">
      <c r="A343" s="318">
        <f>VLOOKUP($A$337,$B$261:$F$278,2,FALSE)</f>
        <v>30</v>
      </c>
      <c r="B343" s="319">
        <f>VLOOKUP($A$337,$B$261:$F$278,3,FALSE)</f>
        <v>-0.4</v>
      </c>
      <c r="C343" s="319">
        <f>VLOOKUP($A$337,$B$261:$F$278,4,FALSE)</f>
        <v>-0.2</v>
      </c>
      <c r="D343" s="320">
        <f>VLOOKUP($A$337,$B$261:$F$278,5,FALSE)</f>
        <v>0.1</v>
      </c>
      <c r="E343" s="302"/>
      <c r="F343" s="318">
        <f>VLOOKUP($F$337,$I$261:$M$278,2,FALSE)</f>
        <v>60</v>
      </c>
      <c r="G343" s="319">
        <f>VLOOKUP($F$337,$I$261:$M$278,3,FALSE)</f>
        <v>-1.1000000000000001</v>
      </c>
      <c r="H343" s="319">
        <f>VLOOKUP($F$337,$I$261:$M$278,4,FALSE)</f>
        <v>1.7</v>
      </c>
      <c r="I343" s="320">
        <f>VLOOKUP($F$337,$I$261:$M$278,5,FALSE)</f>
        <v>1.4</v>
      </c>
      <c r="J343" s="302"/>
      <c r="K343" s="302"/>
      <c r="L343" s="166"/>
      <c r="M343" s="167"/>
      <c r="N343" s="166"/>
      <c r="O343" s="168"/>
      <c r="P343" s="326"/>
    </row>
    <row r="344" spans="1:16" ht="13.5" thickBot="1">
      <c r="A344" s="318">
        <f>VLOOKUP($A$337,$B$280:$F$297,2,FALSE)</f>
        <v>35</v>
      </c>
      <c r="B344" s="319">
        <f>VLOOKUP($A$337,$B$280:$F$297,3,FALSE)</f>
        <v>-0.5</v>
      </c>
      <c r="C344" s="319">
        <f>VLOOKUP($A$337,$B$280:$F$297,4,FALSE)</f>
        <v>-0.3</v>
      </c>
      <c r="D344" s="320">
        <f>VLOOKUP($A$337,$B$280:$F$297,5,FALSE)</f>
        <v>0.1</v>
      </c>
      <c r="E344" s="302"/>
      <c r="F344" s="318">
        <f>VLOOKUP($F$337,$I$280:$M$297,2,FALSE)</f>
        <v>70</v>
      </c>
      <c r="G344" s="319">
        <f>VLOOKUP($F$337,$I$280:$M$297,3,FALSE)</f>
        <v>-1.2</v>
      </c>
      <c r="H344" s="319">
        <f>VLOOKUP($F$337,$I$280:$M$297,4,FALSE)</f>
        <v>2.1</v>
      </c>
      <c r="I344" s="320">
        <f>VLOOKUP($F$337,$I$280:$M$297,5,FALSE)</f>
        <v>1.65</v>
      </c>
      <c r="J344" s="302"/>
      <c r="K344" s="302"/>
      <c r="O344" s="169"/>
      <c r="P344" s="326"/>
    </row>
    <row r="345" spans="1:16" ht="14">
      <c r="A345" s="318">
        <f>VLOOKUP($A$337,$B$299:$F$316,2,FALSE)</f>
        <v>37</v>
      </c>
      <c r="B345" s="319">
        <f>VLOOKUP($A$337,$B$299:$F$316,3,FALSE)</f>
        <v>-0.5</v>
      </c>
      <c r="C345" s="319">
        <f>VLOOKUP($A$337,$B$299:$F$316,4,FALSE)</f>
        <v>-0.3</v>
      </c>
      <c r="D345" s="320">
        <f>VLOOKUP($A$337,$B$299:$F$316,5,FALSE)</f>
        <v>0.1</v>
      </c>
      <c r="E345" s="302"/>
      <c r="F345" s="318">
        <f>VLOOKUP($F$337,$I$299:$M$316,2,FALSE)</f>
        <v>80</v>
      </c>
      <c r="G345" s="319">
        <f>VLOOKUP($F$337,$I$299:$M$316,3,FALSE)</f>
        <v>-1.2</v>
      </c>
      <c r="H345" s="319">
        <f>VLOOKUP($F$337,$I$299:$M$316,4,FALSE)</f>
        <v>2.6</v>
      </c>
      <c r="I345" s="320">
        <f>VLOOKUP($F$337,$I$299:$M$316,5,FALSE)</f>
        <v>1.9</v>
      </c>
      <c r="J345" s="302"/>
      <c r="K345" s="1179" t="s">
        <v>277</v>
      </c>
      <c r="L345" s="231" t="str">
        <f>M359&amp;M357&amp;N359&amp;N357&amp;O359&amp;O357</f>
        <v>( 22.9 ± 0.3 ) °C</v>
      </c>
      <c r="M345" s="330"/>
      <c r="O345" s="171"/>
      <c r="P345" s="331"/>
    </row>
    <row r="346" spans="1:16" ht="14.5" thickBot="1">
      <c r="A346" s="332">
        <f>VLOOKUP($A$337,$B$318:$F$335,2,FALSE)</f>
        <v>40</v>
      </c>
      <c r="B346" s="333">
        <f>VLOOKUP($A$337,$B$318:$F$335,3,FALSE)</f>
        <v>-0.4</v>
      </c>
      <c r="C346" s="333">
        <f>VLOOKUP($A$337,$B$318:$F$335,4,FALSE)</f>
        <v>-0.4</v>
      </c>
      <c r="D346" s="334">
        <f>VLOOKUP($A$337,$B$318:$F$335,5,FALSE)</f>
        <v>0</v>
      </c>
      <c r="E346" s="302"/>
      <c r="F346" s="332">
        <f>VLOOKUP($F$337,$I$318:$M$335,2,FALSE)</f>
        <v>90</v>
      </c>
      <c r="G346" s="333">
        <f>VLOOKUP($F$337,$I$318:$M$335,3,FALSE)</f>
        <v>-1.3</v>
      </c>
      <c r="H346" s="333">
        <f>VLOOKUP($F$337,$I$318:$M$335,4,FALSE)</f>
        <v>2.6</v>
      </c>
      <c r="I346" s="334">
        <f>VLOOKUP($F$337,$I$318:$M$335,5,FALSE)</f>
        <v>1.9500000000000002</v>
      </c>
      <c r="J346" s="302"/>
      <c r="K346" s="1180"/>
      <c r="L346" s="242" t="str">
        <f>M359&amp;M358&amp;N359&amp;N358&amp;O359&amp;O358</f>
        <v>( 66.4 ± 2.6 ) %RH</v>
      </c>
      <c r="M346" s="243"/>
      <c r="O346" s="171"/>
      <c r="P346" s="326"/>
    </row>
    <row r="347" spans="1:16" ht="16" thickBot="1">
      <c r="A347" s="335"/>
      <c r="B347" s="302"/>
      <c r="C347" s="302"/>
      <c r="D347" s="302"/>
      <c r="E347" s="302"/>
      <c r="F347" s="302"/>
      <c r="G347" s="302"/>
      <c r="H347" s="302"/>
      <c r="I347" s="302"/>
      <c r="J347" s="302"/>
      <c r="K347" s="302"/>
      <c r="O347" s="171"/>
      <c r="P347" s="336"/>
    </row>
    <row r="348" spans="1:16" ht="14.5" thickBot="1">
      <c r="A348" s="1181" t="s">
        <v>278</v>
      </c>
      <c r="B348" s="1182"/>
      <c r="C348" s="1182"/>
      <c r="D348" s="1183"/>
      <c r="E348" s="172"/>
      <c r="F348" s="1181" t="s">
        <v>279</v>
      </c>
      <c r="G348" s="1182"/>
      <c r="H348" s="1182"/>
      <c r="I348" s="1183"/>
      <c r="J348" s="302"/>
      <c r="K348" s="302"/>
      <c r="L348" s="302"/>
      <c r="M348" s="173"/>
      <c r="N348" s="174"/>
      <c r="O348" s="171"/>
      <c r="P348" s="337"/>
    </row>
    <row r="349" spans="1:16" ht="13.5">
      <c r="A349" s="338"/>
      <c r="B349" s="339">
        <f>IF(A350&lt;=A341,A340,IF(A350&lt;=A342,A341,IF(A350&lt;=A343,A342,IF(A350&lt;=A344,A343,IF(A350&lt;=A345,A344,IF(A350&lt;=A346,A345))))))</f>
        <v>20</v>
      </c>
      <c r="C349" s="339"/>
      <c r="D349" s="340">
        <f>IF(A350&lt;=A341,B340,IF(A350&lt;=A342,B341,IF(A350&lt;=A343,B342,IF(A350&lt;=A344,B343,IF(A350&lt;=A345,B344,IF(A350&lt;=A346,B345))))))</f>
        <v>-0.2</v>
      </c>
      <c r="E349" s="341"/>
      <c r="F349" s="342"/>
      <c r="G349" s="339">
        <f>IF(F350&lt;=F341,F340,IF(F350&lt;=F342,F341,IF(F350&lt;=F343,F342,IF(F350&lt;=F344,F343,IF(F350&lt;=F345,F344,IF(F350&lt;=F346,F345))))))</f>
        <v>60</v>
      </c>
      <c r="H349" s="339"/>
      <c r="I349" s="340">
        <f>IF(F350&lt;=F341,G340,IF(F350&lt;=F342,G341,IF(F350&lt;=F343,G342,IF(F350&lt;=F344,G343,IF(F350&lt;=F345,G344,IF(F350&lt;=F346,G345))))))</f>
        <v>-1.1000000000000001</v>
      </c>
      <c r="J349" s="302"/>
      <c r="K349" s="302"/>
      <c r="L349" s="302"/>
      <c r="M349" s="302"/>
      <c r="N349" s="302"/>
      <c r="O349" s="343"/>
      <c r="P349" s="344"/>
    </row>
    <row r="350" spans="1:16" ht="14">
      <c r="A350" s="345">
        <f>L341</f>
        <v>23.2</v>
      </c>
      <c r="B350" s="346"/>
      <c r="C350" s="346">
        <f>((A350-B349)/(B351-B349)*(D351-D349)+D349)</f>
        <v>-0.32799999999999996</v>
      </c>
      <c r="D350" s="347"/>
      <c r="E350" s="341"/>
      <c r="F350" s="345">
        <f>L342</f>
        <v>67.599999999999994</v>
      </c>
      <c r="G350" s="346"/>
      <c r="H350" s="346">
        <f>((F350-G349)/(G351-G349)*(I351-I349)+I349)</f>
        <v>-1.1759999999999999</v>
      </c>
      <c r="I350" s="347"/>
      <c r="J350" s="302"/>
      <c r="K350" s="302"/>
      <c r="L350" s="302"/>
      <c r="M350" s="302"/>
      <c r="N350" s="302"/>
      <c r="O350" s="343"/>
      <c r="P350" s="348"/>
    </row>
    <row r="351" spans="1:16" ht="13.5" thickBot="1">
      <c r="A351" s="349"/>
      <c r="B351" s="350">
        <f>IF(A350&lt;=A341,A341,IF(A350&lt;=A342,A342,IF(A350&lt;=A343,A343,IF(A350&lt;=A344,A344,IF(A350&lt;=A345,A345,IF(A350&lt;=A346,A346))))))</f>
        <v>25</v>
      </c>
      <c r="C351" s="351"/>
      <c r="D351" s="352">
        <f>IF(A350&lt;=A341,B341,IF(A350&lt;=A342,B342,IF(A350&lt;=A343,B343,IF(A350&lt;=A344,B344,IF(A350&lt;=A345,B345,IF(A350&lt;=A346,B346))))))</f>
        <v>-0.4</v>
      </c>
      <c r="E351" s="353"/>
      <c r="F351" s="349"/>
      <c r="G351" s="350">
        <f>IF(F350&lt;=F341,F341,IF(F350&lt;=F342,F342,IF(F350&lt;=F343,F343,IF(F350&lt;=F344,F344,IF(F350&lt;=F345,F345,IF(F350&lt;=F346,F346))))))</f>
        <v>70</v>
      </c>
      <c r="H351" s="351"/>
      <c r="I351" s="352">
        <f>IF(F350&lt;=F341,G341,IF(F350&lt;=F342,G342,IF(F350&lt;=F343,G343,IF(F350&lt;=F344,G344,IF(F350&lt;=F345,G345,IF(F350&lt;=F346,G346))))))</f>
        <v>-1.2</v>
      </c>
      <c r="J351" s="354"/>
      <c r="K351" s="354"/>
      <c r="L351" s="354"/>
      <c r="M351" s="354"/>
      <c r="N351" s="354"/>
      <c r="O351" s="355"/>
      <c r="P351" s="356"/>
    </row>
    <row r="355" spans="1:15" ht="13" thickBot="1"/>
    <row r="356" spans="1:15" s="357" customFormat="1" ht="13.5" thickBot="1">
      <c r="A356" s="1184" t="str">
        <f>ID!B76</f>
        <v>Thermohygrolight, Merek : Greisinger, Model : GFTB 200, SN : 34903051</v>
      </c>
      <c r="B356" s="1185"/>
      <c r="C356" s="1185"/>
      <c r="D356" s="1185"/>
      <c r="E356" s="1185"/>
      <c r="F356" s="1185"/>
      <c r="G356" s="1185"/>
      <c r="H356" s="1185"/>
      <c r="I356" s="1186"/>
      <c r="J356" s="1186"/>
      <c r="K356" s="1187"/>
      <c r="M356" s="1188" t="s">
        <v>280</v>
      </c>
      <c r="N356" s="1188"/>
      <c r="O356" s="1188"/>
    </row>
    <row r="357" spans="1:15" s="357" customFormat="1" ht="15.5">
      <c r="A357" s="358" t="s">
        <v>281</v>
      </c>
      <c r="B357" s="359"/>
      <c r="C357" s="359"/>
      <c r="D357" s="360"/>
      <c r="E357" s="360"/>
      <c r="F357" s="360"/>
      <c r="G357" s="361"/>
      <c r="H357" s="362"/>
      <c r="I357" s="363">
        <f>D4</f>
        <v>2020</v>
      </c>
      <c r="J357" s="364">
        <f>E4</f>
        <v>2017</v>
      </c>
      <c r="K357" s="365">
        <v>1</v>
      </c>
      <c r="M357" s="170" t="str">
        <f>TEXT(M341,"0.0")</f>
        <v>22.9</v>
      </c>
      <c r="N357" s="170" t="str">
        <f>TEXT(O341,"0.0")</f>
        <v>0.3</v>
      </c>
      <c r="O357" s="366" t="s">
        <v>282</v>
      </c>
    </row>
    <row r="358" spans="1:15" s="357" customFormat="1" ht="15.5">
      <c r="A358" s="358" t="s">
        <v>283</v>
      </c>
      <c r="B358" s="359"/>
      <c r="C358" s="359"/>
      <c r="D358" s="360"/>
      <c r="E358" s="360"/>
      <c r="F358" s="360"/>
      <c r="G358" s="361"/>
      <c r="H358" s="362"/>
      <c r="I358" s="367">
        <f>D15</f>
        <v>2018</v>
      </c>
      <c r="J358" s="368">
        <f>E15</f>
        <v>2017</v>
      </c>
      <c r="K358" s="365">
        <v>2</v>
      </c>
      <c r="M358" s="170" t="str">
        <f>TEXT(M342,"0.0")</f>
        <v>66.4</v>
      </c>
      <c r="N358" s="170" t="str">
        <f>TEXT(O342,"0.0")</f>
        <v>2.6</v>
      </c>
      <c r="O358" s="366" t="s">
        <v>284</v>
      </c>
    </row>
    <row r="359" spans="1:15" s="357" customFormat="1" ht="15.5">
      <c r="A359" s="358" t="s">
        <v>285</v>
      </c>
      <c r="B359" s="359"/>
      <c r="C359" s="359"/>
      <c r="D359" s="360"/>
      <c r="E359" s="360"/>
      <c r="F359" s="360"/>
      <c r="G359" s="361"/>
      <c r="H359" s="362"/>
      <c r="I359" s="367">
        <f>D26</f>
        <v>2018</v>
      </c>
      <c r="J359" s="368">
        <f>E26</f>
        <v>2017</v>
      </c>
      <c r="K359" s="365">
        <v>3</v>
      </c>
      <c r="M359" s="369" t="s">
        <v>286</v>
      </c>
      <c r="N359" s="370" t="s">
        <v>287</v>
      </c>
      <c r="O359" s="370" t="s">
        <v>288</v>
      </c>
    </row>
    <row r="360" spans="1:15" s="357" customFormat="1" ht="13">
      <c r="A360" s="358" t="s">
        <v>289</v>
      </c>
      <c r="B360" s="359"/>
      <c r="C360" s="359"/>
      <c r="D360" s="360"/>
      <c r="E360" s="360"/>
      <c r="F360" s="360"/>
      <c r="G360" s="361"/>
      <c r="H360" s="362"/>
      <c r="I360" s="367">
        <f>D37</f>
        <v>2017</v>
      </c>
      <c r="J360" s="368">
        <f>E37</f>
        <v>2015</v>
      </c>
      <c r="K360" s="365">
        <v>4</v>
      </c>
    </row>
    <row r="361" spans="1:15" s="357" customFormat="1" ht="13">
      <c r="A361" s="358" t="s">
        <v>290</v>
      </c>
      <c r="B361" s="359"/>
      <c r="C361" s="359"/>
      <c r="D361" s="360"/>
      <c r="E361" s="360"/>
      <c r="F361" s="360"/>
      <c r="G361" s="361"/>
      <c r="H361" s="362"/>
      <c r="I361" s="367">
        <f>D48</f>
        <v>2020</v>
      </c>
      <c r="J361" s="368">
        <f>E48</f>
        <v>2017</v>
      </c>
      <c r="K361" s="365">
        <v>5</v>
      </c>
    </row>
    <row r="362" spans="1:15" s="357" customFormat="1" ht="13">
      <c r="A362" s="358" t="s">
        <v>291</v>
      </c>
      <c r="B362" s="359"/>
      <c r="C362" s="359"/>
      <c r="D362" s="360"/>
      <c r="E362" s="360"/>
      <c r="F362" s="360"/>
      <c r="G362" s="361"/>
      <c r="H362" s="362"/>
      <c r="I362" s="367">
        <f>D59</f>
        <v>2019</v>
      </c>
      <c r="J362" s="368">
        <f>E59</f>
        <v>2018</v>
      </c>
      <c r="K362" s="365">
        <v>6</v>
      </c>
    </row>
    <row r="363" spans="1:15" s="357" customFormat="1" ht="13">
      <c r="A363" s="358" t="s">
        <v>292</v>
      </c>
      <c r="B363" s="359"/>
      <c r="C363" s="359"/>
      <c r="D363" s="360"/>
      <c r="E363" s="360"/>
      <c r="F363" s="360"/>
      <c r="G363" s="361"/>
      <c r="H363" s="362"/>
      <c r="I363" s="367">
        <f>D70</f>
        <v>2018</v>
      </c>
      <c r="J363" s="368">
        <f>E70</f>
        <v>2017</v>
      </c>
      <c r="K363" s="365">
        <v>7</v>
      </c>
    </row>
    <row r="364" spans="1:15" s="357" customFormat="1" ht="13">
      <c r="A364" s="358" t="s">
        <v>154</v>
      </c>
      <c r="B364" s="359"/>
      <c r="C364" s="359"/>
      <c r="D364" s="360"/>
      <c r="E364" s="360"/>
      <c r="F364" s="360"/>
      <c r="G364" s="361"/>
      <c r="H364" s="362"/>
      <c r="I364" s="367">
        <f>D81</f>
        <v>2019</v>
      </c>
      <c r="J364" s="368">
        <f>E81</f>
        <v>2017</v>
      </c>
      <c r="K364" s="365">
        <v>8</v>
      </c>
    </row>
    <row r="365" spans="1:15" s="357" customFormat="1" ht="13">
      <c r="A365" s="358" t="s">
        <v>293</v>
      </c>
      <c r="B365" s="359"/>
      <c r="C365" s="359"/>
      <c r="D365" s="360"/>
      <c r="E365" s="360"/>
      <c r="F365" s="360"/>
      <c r="G365" s="361"/>
      <c r="H365" s="362"/>
      <c r="I365" s="367">
        <f>D92</f>
        <v>2019</v>
      </c>
      <c r="J365" s="368" t="str">
        <f>E92</f>
        <v>-</v>
      </c>
      <c r="K365" s="365">
        <v>9</v>
      </c>
    </row>
    <row r="366" spans="1:15" s="357" customFormat="1" ht="13">
      <c r="A366" s="358" t="s">
        <v>294</v>
      </c>
      <c r="B366" s="359"/>
      <c r="C366" s="359"/>
      <c r="D366" s="360"/>
      <c r="E366" s="360"/>
      <c r="F366" s="360"/>
      <c r="G366" s="361"/>
      <c r="H366" s="362"/>
      <c r="I366" s="367">
        <f>D103</f>
        <v>2019</v>
      </c>
      <c r="J366" s="368">
        <f>E103</f>
        <v>2016</v>
      </c>
      <c r="K366" s="365">
        <v>10</v>
      </c>
    </row>
    <row r="367" spans="1:15" s="357" customFormat="1" ht="13">
      <c r="A367" s="358" t="s">
        <v>295</v>
      </c>
      <c r="B367" s="359"/>
      <c r="C367" s="359"/>
      <c r="D367" s="360"/>
      <c r="E367" s="360"/>
      <c r="F367" s="360"/>
      <c r="G367" s="361"/>
      <c r="H367" s="362"/>
      <c r="I367" s="367">
        <f>D114</f>
        <v>2020</v>
      </c>
      <c r="J367" s="368" t="str">
        <f>E114</f>
        <v>-</v>
      </c>
      <c r="K367" s="365">
        <v>11</v>
      </c>
    </row>
    <row r="368" spans="1:15" s="357" customFormat="1" ht="13">
      <c r="A368" s="358" t="s">
        <v>296</v>
      </c>
      <c r="B368" s="359"/>
      <c r="C368" s="359"/>
      <c r="D368" s="360"/>
      <c r="E368" s="360"/>
      <c r="F368" s="360"/>
      <c r="G368" s="361"/>
      <c r="H368" s="362"/>
      <c r="I368" s="371">
        <f>D125</f>
        <v>2020</v>
      </c>
      <c r="J368" s="371" t="str">
        <f>E125</f>
        <v>-</v>
      </c>
      <c r="K368" s="365">
        <v>12</v>
      </c>
    </row>
    <row r="369" spans="1:11" s="357" customFormat="1" ht="13">
      <c r="A369" s="358" t="s">
        <v>297</v>
      </c>
      <c r="B369" s="359"/>
      <c r="C369" s="359"/>
      <c r="D369" s="360"/>
      <c r="E369" s="360"/>
      <c r="F369" s="360"/>
      <c r="G369" s="361"/>
      <c r="H369" s="362"/>
      <c r="I369" s="371">
        <f>D136</f>
        <v>2020</v>
      </c>
      <c r="J369" s="371" t="str">
        <f>E136</f>
        <v>-</v>
      </c>
      <c r="K369" s="365">
        <v>13</v>
      </c>
    </row>
    <row r="370" spans="1:11" s="357" customFormat="1" ht="13">
      <c r="A370" s="358" t="s">
        <v>298</v>
      </c>
      <c r="B370" s="359"/>
      <c r="C370" s="359"/>
      <c r="D370" s="360"/>
      <c r="E370" s="360"/>
      <c r="F370" s="360"/>
      <c r="G370" s="361"/>
      <c r="H370" s="362"/>
      <c r="I370" s="371">
        <f>D147</f>
        <v>2020</v>
      </c>
      <c r="J370" s="371" t="str">
        <f>E147</f>
        <v>-</v>
      </c>
      <c r="K370" s="365">
        <v>14</v>
      </c>
    </row>
    <row r="371" spans="1:11" s="357" customFormat="1" ht="13">
      <c r="A371" s="358" t="s">
        <v>299</v>
      </c>
      <c r="B371" s="359"/>
      <c r="C371" s="359"/>
      <c r="D371" s="360"/>
      <c r="E371" s="360"/>
      <c r="F371" s="360"/>
      <c r="G371" s="361"/>
      <c r="H371" s="362"/>
      <c r="I371" s="371">
        <f>D158</f>
        <v>2020</v>
      </c>
      <c r="J371" s="371" t="str">
        <f>E158</f>
        <v>-</v>
      </c>
      <c r="K371" s="365">
        <v>15</v>
      </c>
    </row>
    <row r="372" spans="1:11" s="357" customFormat="1" ht="13">
      <c r="A372" s="358" t="s">
        <v>300</v>
      </c>
      <c r="B372" s="359"/>
      <c r="C372" s="359"/>
      <c r="D372" s="360"/>
      <c r="E372" s="360"/>
      <c r="F372" s="360"/>
      <c r="G372" s="361"/>
      <c r="H372" s="362"/>
      <c r="I372" s="371">
        <f>D169</f>
        <v>2020</v>
      </c>
      <c r="J372" s="371" t="str">
        <f>E169</f>
        <v>-</v>
      </c>
      <c r="K372" s="365">
        <v>16</v>
      </c>
    </row>
    <row r="373" spans="1:11" s="357" customFormat="1" ht="13">
      <c r="A373" s="358" t="s">
        <v>301</v>
      </c>
      <c r="B373" s="359"/>
      <c r="C373" s="359"/>
      <c r="D373" s="360"/>
      <c r="E373" s="360"/>
      <c r="F373" s="360"/>
      <c r="G373" s="361"/>
      <c r="H373" s="362"/>
      <c r="I373" s="371">
        <f>D180</f>
        <v>2020</v>
      </c>
      <c r="J373" s="371" t="str">
        <f>E180</f>
        <v>-</v>
      </c>
      <c r="K373" s="365">
        <v>17</v>
      </c>
    </row>
    <row r="374" spans="1:11" s="357" customFormat="1" ht="13.5" thickBot="1">
      <c r="A374" s="358" t="s">
        <v>302</v>
      </c>
      <c r="B374" s="359"/>
      <c r="C374" s="359"/>
      <c r="D374" s="360"/>
      <c r="E374" s="360"/>
      <c r="F374" s="360"/>
      <c r="G374" s="361"/>
      <c r="H374" s="362"/>
      <c r="I374" s="372">
        <f>D191</f>
        <v>2017</v>
      </c>
      <c r="J374" s="373" t="str">
        <f>E191</f>
        <v>-</v>
      </c>
      <c r="K374" s="365">
        <v>18</v>
      </c>
    </row>
    <row r="375" spans="1:11" s="357" customFormat="1" ht="13.5" thickBot="1">
      <c r="A375" s="1189">
        <f>VLOOKUP(A356,A357:K374,11,(FALSE))</f>
        <v>8</v>
      </c>
      <c r="B375" s="1190"/>
      <c r="C375" s="1190"/>
      <c r="D375" s="1190"/>
      <c r="E375" s="1190"/>
      <c r="F375" s="1190"/>
      <c r="G375" s="1190"/>
      <c r="H375" s="1190"/>
      <c r="I375" s="1191"/>
      <c r="J375" s="1191"/>
      <c r="K375" s="1192"/>
    </row>
  </sheetData>
  <mergeCells count="263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138"/>
  <sheetViews>
    <sheetView topLeftCell="A10" zoomScale="80" zoomScaleNormal="80" workbookViewId="0">
      <selection activeCell="I30" sqref="I30"/>
    </sheetView>
  </sheetViews>
  <sheetFormatPr defaultRowHeight="12.5"/>
  <cols>
    <col min="1" max="1" width="17.453125" customWidth="1"/>
    <col min="2" max="2" width="10.7265625" customWidth="1"/>
    <col min="7" max="7" width="5.453125" style="577" customWidth="1"/>
    <col min="8" max="8" width="17.54296875" customWidth="1"/>
    <col min="14" max="14" width="4.7265625" style="577" customWidth="1"/>
    <col min="15" max="15" width="18.1796875" customWidth="1"/>
    <col min="21" max="21" width="15.54296875" style="577" customWidth="1"/>
    <col min="22" max="22" width="13.54296875" customWidth="1"/>
    <col min="28" max="28" width="4" style="577" customWidth="1"/>
    <col min="29" max="29" width="16.81640625" customWidth="1"/>
    <col min="35" max="35" width="5" style="577" customWidth="1"/>
    <col min="36" max="36" width="14.1796875" customWidth="1"/>
    <col min="37" max="37" width="10.54296875" customWidth="1"/>
    <col min="39" max="41" width="10.54296875" customWidth="1"/>
    <col min="44" max="44" width="19" customWidth="1"/>
  </cols>
  <sheetData>
    <row r="1" spans="1:21" ht="13" thickBot="1"/>
    <row r="2" spans="1:21" s="444" customFormat="1" ht="33" customHeight="1" thickBot="1">
      <c r="A2" s="1278" t="s">
        <v>327</v>
      </c>
      <c r="B2" s="1279"/>
      <c r="C2" s="1279"/>
      <c r="D2" s="1279"/>
      <c r="E2" s="1279"/>
      <c r="F2" s="1280"/>
      <c r="G2" s="578"/>
      <c r="H2" s="1275" t="s">
        <v>328</v>
      </c>
      <c r="I2" s="1276"/>
      <c r="J2" s="1276"/>
      <c r="K2" s="1276"/>
      <c r="L2" s="1276"/>
      <c r="M2" s="1277"/>
      <c r="N2" s="578"/>
      <c r="O2" s="1275" t="s">
        <v>329</v>
      </c>
      <c r="P2" s="1276"/>
      <c r="Q2" s="1276"/>
      <c r="R2" s="1276"/>
      <c r="S2" s="1276"/>
      <c r="T2" s="1277"/>
      <c r="U2" s="578"/>
    </row>
    <row r="3" spans="1:21" ht="14.5" thickBot="1">
      <c r="A3" s="1281" t="s">
        <v>330</v>
      </c>
      <c r="B3" s="1282"/>
      <c r="C3" s="1282"/>
      <c r="D3" s="1283"/>
      <c r="E3" s="581" t="s">
        <v>246</v>
      </c>
      <c r="F3" s="582" t="s">
        <v>243</v>
      </c>
      <c r="H3" s="1281" t="s">
        <v>330</v>
      </c>
      <c r="I3" s="1282"/>
      <c r="J3" s="1282"/>
      <c r="K3" s="1283"/>
      <c r="L3" s="581" t="s">
        <v>246</v>
      </c>
      <c r="M3" s="582" t="s">
        <v>243</v>
      </c>
      <c r="O3" s="1281" t="s">
        <v>330</v>
      </c>
      <c r="P3" s="1282"/>
      <c r="Q3" s="1282"/>
      <c r="R3" s="1283"/>
      <c r="S3" s="581" t="s">
        <v>246</v>
      </c>
      <c r="T3" s="582" t="s">
        <v>243</v>
      </c>
      <c r="U3" s="579"/>
    </row>
    <row r="4" spans="1:21" ht="13.5" thickBot="1">
      <c r="A4" s="587" t="s">
        <v>331</v>
      </c>
      <c r="B4" s="1272" t="s">
        <v>245</v>
      </c>
      <c r="C4" s="1273"/>
      <c r="D4" s="1274"/>
      <c r="E4" s="583"/>
      <c r="F4" s="584"/>
      <c r="H4" s="587" t="s">
        <v>331</v>
      </c>
      <c r="I4" s="1284" t="s">
        <v>245</v>
      </c>
      <c r="J4" s="1285"/>
      <c r="K4" s="1286"/>
      <c r="L4" s="583"/>
      <c r="M4" s="584"/>
      <c r="O4" s="587" t="s">
        <v>331</v>
      </c>
      <c r="P4" s="1284" t="s">
        <v>245</v>
      </c>
      <c r="Q4" s="1285"/>
      <c r="R4" s="1286"/>
      <c r="S4" s="583"/>
      <c r="T4" s="584"/>
      <c r="U4" s="579"/>
    </row>
    <row r="5" spans="1:21" ht="14.5">
      <c r="A5" s="565" t="s">
        <v>57</v>
      </c>
      <c r="B5" s="566">
        <v>2010</v>
      </c>
      <c r="C5" s="566">
        <v>2010</v>
      </c>
      <c r="D5" s="567">
        <v>2011</v>
      </c>
      <c r="E5" s="585"/>
      <c r="F5" s="586"/>
      <c r="H5" s="565" t="s">
        <v>57</v>
      </c>
      <c r="I5" s="566">
        <v>2010</v>
      </c>
      <c r="J5" s="566">
        <v>2010</v>
      </c>
      <c r="K5" s="567">
        <v>2011</v>
      </c>
      <c r="L5" s="585"/>
      <c r="M5" s="586"/>
      <c r="O5" s="565" t="s">
        <v>57</v>
      </c>
      <c r="P5" s="566">
        <v>2017</v>
      </c>
      <c r="Q5" s="566">
        <v>2017</v>
      </c>
      <c r="R5" s="567">
        <v>2018</v>
      </c>
      <c r="S5" s="585"/>
      <c r="T5" s="586"/>
      <c r="U5" s="579"/>
    </row>
    <row r="6" spans="1:21">
      <c r="A6" s="571">
        <v>0</v>
      </c>
      <c r="B6" s="568">
        <v>0</v>
      </c>
      <c r="C6" s="568">
        <v>0</v>
      </c>
      <c r="D6" s="569">
        <v>9.9999999999999995E-7</v>
      </c>
      <c r="E6" s="568">
        <f>IF(B6=0,0,0.5*(MAX(B6:D6)-MIN(B6:D6)))</f>
        <v>0</v>
      </c>
      <c r="F6" s="572">
        <v>9.9999999999999995E-8</v>
      </c>
      <c r="H6" s="571">
        <v>0</v>
      </c>
      <c r="I6" s="568">
        <v>0</v>
      </c>
      <c r="J6" s="568">
        <v>0</v>
      </c>
      <c r="K6" s="569">
        <f>10.042-9.8</f>
        <v>0.2419999999999991</v>
      </c>
      <c r="L6" s="568">
        <f>IF(I6=0,0,0.5*(MAX(I6:K6)-MIN(I6:K6)))</f>
        <v>0</v>
      </c>
      <c r="M6" s="572">
        <v>9.9999999999999995E-8</v>
      </c>
      <c r="O6" s="571">
        <v>0</v>
      </c>
      <c r="P6" s="568">
        <v>0</v>
      </c>
      <c r="Q6" s="568">
        <v>0</v>
      </c>
      <c r="R6" s="569">
        <v>1.0000000000000001E-5</v>
      </c>
      <c r="S6" s="568">
        <f>IF(P6=0,0,0.5*(MAX(P6:R6)-MIN(P6:R6)))</f>
        <v>0</v>
      </c>
      <c r="T6" s="572">
        <v>9.9999999999999995E-8</v>
      </c>
      <c r="U6" s="580"/>
    </row>
    <row r="7" spans="1:21">
      <c r="A7" s="571">
        <v>9.8000000000000007</v>
      </c>
      <c r="B7" s="568">
        <v>0</v>
      </c>
      <c r="C7" s="568">
        <v>0</v>
      </c>
      <c r="D7" s="569">
        <v>0.22</v>
      </c>
      <c r="E7" s="568">
        <f t="shared" ref="E7:E11" si="0">IF(B7=0,0,0.5*(MAX(B7:D7)-MIN(B7:D7)))</f>
        <v>0</v>
      </c>
      <c r="F7" s="572">
        <v>9.9999999999999995E-8</v>
      </c>
      <c r="H7" s="571">
        <v>9.8000000000000007</v>
      </c>
      <c r="I7" s="568">
        <v>0</v>
      </c>
      <c r="J7" s="568">
        <v>0</v>
      </c>
      <c r="K7" s="569">
        <f>25.058-24.8</f>
        <v>0.25799999999999912</v>
      </c>
      <c r="L7" s="568">
        <f t="shared" ref="L7:L11" si="1">IF(I7=0,0,0.5*(MAX(I7:K7)-MIN(I7:K7)))</f>
        <v>0</v>
      </c>
      <c r="M7" s="572">
        <v>9.9999999999999995E-8</v>
      </c>
      <c r="O7" s="571">
        <v>10.11</v>
      </c>
      <c r="P7" s="568">
        <v>0</v>
      </c>
      <c r="Q7" s="568">
        <v>0</v>
      </c>
      <c r="R7" s="569">
        <v>1.0000000000000001E-5</v>
      </c>
      <c r="S7" s="568">
        <f t="shared" ref="S7:S11" si="2">IF(P7=0,0,0.5*(MAX(P7:R7)-MIN(P7:R7)))</f>
        <v>0</v>
      </c>
      <c r="T7" s="572">
        <v>9.9999999999999995E-8</v>
      </c>
      <c r="U7" s="580"/>
    </row>
    <row r="8" spans="1:21">
      <c r="A8" s="571">
        <v>49</v>
      </c>
      <c r="B8" s="568">
        <v>0</v>
      </c>
      <c r="C8" s="568">
        <v>0</v>
      </c>
      <c r="D8" s="569">
        <v>0.13</v>
      </c>
      <c r="E8" s="568">
        <f t="shared" si="0"/>
        <v>0</v>
      </c>
      <c r="F8" s="572">
        <v>9.9999999999999995E-8</v>
      </c>
      <c r="H8" s="571">
        <v>49</v>
      </c>
      <c r="I8" s="568">
        <v>0</v>
      </c>
      <c r="J8" s="568">
        <v>0</v>
      </c>
      <c r="K8" s="569">
        <f>49.34-49</f>
        <v>0.34000000000000341</v>
      </c>
      <c r="L8" s="568">
        <f t="shared" si="1"/>
        <v>0</v>
      </c>
      <c r="M8" s="572">
        <v>9.9999999999999995E-8</v>
      </c>
      <c r="O8" s="571">
        <v>50.28</v>
      </c>
      <c r="P8" s="568">
        <v>0</v>
      </c>
      <c r="Q8" s="568">
        <v>0</v>
      </c>
      <c r="R8" s="569">
        <v>1.0000000000000001E-5</v>
      </c>
      <c r="S8" s="568">
        <f t="shared" si="2"/>
        <v>0</v>
      </c>
      <c r="T8" s="572">
        <v>9.9999999999999995E-8</v>
      </c>
      <c r="U8" s="580"/>
    </row>
    <row r="9" spans="1:21">
      <c r="A9" s="571">
        <v>102</v>
      </c>
      <c r="B9" s="569">
        <v>0</v>
      </c>
      <c r="C9" s="569">
        <v>0</v>
      </c>
      <c r="D9" s="569">
        <v>2.86</v>
      </c>
      <c r="E9" s="568">
        <f t="shared" si="0"/>
        <v>0</v>
      </c>
      <c r="F9" s="572">
        <v>9.9999999999999995E-8</v>
      </c>
      <c r="H9" s="571">
        <v>102</v>
      </c>
      <c r="I9" s="569">
        <v>0</v>
      </c>
      <c r="J9" s="569">
        <v>0</v>
      </c>
      <c r="K9" s="569">
        <v>2.86</v>
      </c>
      <c r="L9" s="568">
        <f t="shared" si="1"/>
        <v>0</v>
      </c>
      <c r="M9" s="572">
        <v>9.9999999999999995E-8</v>
      </c>
      <c r="O9" s="571">
        <v>100.24</v>
      </c>
      <c r="P9" s="569">
        <v>0</v>
      </c>
      <c r="Q9" s="569">
        <v>0</v>
      </c>
      <c r="R9" s="569">
        <v>1.0000000000000001E-5</v>
      </c>
      <c r="S9" s="568">
        <f t="shared" si="2"/>
        <v>0</v>
      </c>
      <c r="T9" s="572">
        <v>9.9999999999999995E-8</v>
      </c>
      <c r="U9" s="580"/>
    </row>
    <row r="10" spans="1:21">
      <c r="A10" s="571">
        <v>202</v>
      </c>
      <c r="B10" s="569">
        <v>0</v>
      </c>
      <c r="C10" s="569">
        <v>0</v>
      </c>
      <c r="D10" s="569">
        <v>2.76</v>
      </c>
      <c r="E10" s="568">
        <f t="shared" si="0"/>
        <v>0</v>
      </c>
      <c r="F10" s="572">
        <v>9.9999999999999995E-8</v>
      </c>
      <c r="H10" s="571">
        <v>202</v>
      </c>
      <c r="I10" s="569">
        <v>0</v>
      </c>
      <c r="J10" s="569">
        <v>0</v>
      </c>
      <c r="K10" s="569">
        <v>2.23</v>
      </c>
      <c r="L10" s="568">
        <f t="shared" si="1"/>
        <v>0</v>
      </c>
      <c r="M10" s="572">
        <v>9.9999999999999995E-8</v>
      </c>
      <c r="O10" s="571">
        <v>200.21</v>
      </c>
      <c r="P10" s="569">
        <v>0</v>
      </c>
      <c r="Q10" s="569">
        <v>0</v>
      </c>
      <c r="R10" s="569">
        <v>1.0000000000000001E-5</v>
      </c>
      <c r="S10" s="568">
        <f t="shared" si="2"/>
        <v>0</v>
      </c>
      <c r="T10" s="572">
        <v>9.9999999999999995E-8</v>
      </c>
      <c r="U10" s="580"/>
    </row>
    <row r="11" spans="1:21" ht="13" thickBot="1">
      <c r="A11" s="571">
        <v>502</v>
      </c>
      <c r="B11" s="569">
        <v>0</v>
      </c>
      <c r="C11" s="569">
        <v>0</v>
      </c>
      <c r="D11" s="569">
        <v>2.9</v>
      </c>
      <c r="E11" s="568">
        <f t="shared" si="0"/>
        <v>0</v>
      </c>
      <c r="F11" s="572">
        <v>9.9999999999999995E-8</v>
      </c>
      <c r="H11" s="571">
        <v>502</v>
      </c>
      <c r="I11" s="569">
        <v>0</v>
      </c>
      <c r="J11" s="569">
        <v>0</v>
      </c>
      <c r="K11" s="569">
        <v>2.68</v>
      </c>
      <c r="L11" s="568">
        <f t="shared" si="1"/>
        <v>0</v>
      </c>
      <c r="M11" s="572">
        <v>9.9999999999999995E-8</v>
      </c>
      <c r="O11" s="571">
        <v>470.96</v>
      </c>
      <c r="P11" s="569">
        <v>0</v>
      </c>
      <c r="Q11" s="569">
        <v>0</v>
      </c>
      <c r="R11" s="569">
        <v>1.0000000000000001E-5</v>
      </c>
      <c r="S11" s="568">
        <f t="shared" si="2"/>
        <v>0</v>
      </c>
      <c r="T11" s="572">
        <v>9.9999999999999995E-8</v>
      </c>
      <c r="U11" s="580"/>
    </row>
    <row r="12" spans="1:21" ht="14.5" thickBot="1">
      <c r="A12" s="1281" t="s">
        <v>332</v>
      </c>
      <c r="B12" s="1282"/>
      <c r="C12" s="1282"/>
      <c r="D12" s="1283"/>
      <c r="E12" s="581" t="s">
        <v>246</v>
      </c>
      <c r="F12" s="582" t="s">
        <v>243</v>
      </c>
      <c r="H12" s="1281" t="s">
        <v>332</v>
      </c>
      <c r="I12" s="1282"/>
      <c r="J12" s="1282"/>
      <c r="K12" s="1283"/>
      <c r="L12" s="581" t="s">
        <v>246</v>
      </c>
      <c r="M12" s="582" t="s">
        <v>243</v>
      </c>
      <c r="O12" s="1281" t="s">
        <v>332</v>
      </c>
      <c r="P12" s="1282"/>
      <c r="Q12" s="1282"/>
      <c r="R12" s="1283"/>
      <c r="S12" s="581" t="s">
        <v>246</v>
      </c>
      <c r="T12" s="582" t="s">
        <v>243</v>
      </c>
      <c r="U12" s="579"/>
    </row>
    <row r="13" spans="1:21" ht="13.5" thickBot="1">
      <c r="A13" s="564" t="s">
        <v>333</v>
      </c>
      <c r="B13" s="1272" t="s">
        <v>245</v>
      </c>
      <c r="C13" s="1273"/>
      <c r="D13" s="1274"/>
      <c r="E13" s="583"/>
      <c r="F13" s="584"/>
      <c r="H13" s="564" t="s">
        <v>333</v>
      </c>
      <c r="I13" s="1272" t="s">
        <v>245</v>
      </c>
      <c r="J13" s="1273"/>
      <c r="K13" s="1274"/>
      <c r="L13" s="583"/>
      <c r="M13" s="584"/>
      <c r="O13" s="564" t="s">
        <v>333</v>
      </c>
      <c r="P13" s="1272" t="s">
        <v>245</v>
      </c>
      <c r="Q13" s="1273"/>
      <c r="R13" s="1274"/>
      <c r="S13" s="583"/>
      <c r="T13" s="584"/>
      <c r="U13" s="579"/>
    </row>
    <row r="14" spans="1:21" ht="14">
      <c r="A14" s="570" t="s">
        <v>334</v>
      </c>
      <c r="B14" s="566">
        <v>2010</v>
      </c>
      <c r="C14" s="566">
        <v>2010</v>
      </c>
      <c r="D14" s="567">
        <v>2011</v>
      </c>
      <c r="E14" s="585"/>
      <c r="F14" s="586"/>
      <c r="H14" s="570" t="s">
        <v>334</v>
      </c>
      <c r="I14" s="566">
        <v>2010</v>
      </c>
      <c r="J14" s="566">
        <v>2010</v>
      </c>
      <c r="K14" s="567">
        <v>2011</v>
      </c>
      <c r="L14" s="585"/>
      <c r="M14" s="586"/>
      <c r="O14" s="570" t="s">
        <v>334</v>
      </c>
      <c r="P14" s="566">
        <v>2017</v>
      </c>
      <c r="Q14" s="566">
        <v>2017</v>
      </c>
      <c r="R14" s="567">
        <v>2018</v>
      </c>
      <c r="S14" s="585"/>
      <c r="T14" s="586"/>
      <c r="U14" s="579"/>
    </row>
    <row r="15" spans="1:21">
      <c r="A15" s="573">
        <v>0</v>
      </c>
      <c r="B15" s="568">
        <v>0</v>
      </c>
      <c r="C15" s="568">
        <v>0</v>
      </c>
      <c r="D15" s="569">
        <v>9.9999999999999995E-7</v>
      </c>
      <c r="E15" s="568">
        <f>IF(B15=0,0,0.5*(MAX(B15:D15)-MIN(B15:D15)))</f>
        <v>0</v>
      </c>
      <c r="F15" s="572">
        <v>9.9999999999999995E-8</v>
      </c>
      <c r="H15" s="573">
        <v>0</v>
      </c>
      <c r="I15" s="568">
        <v>0</v>
      </c>
      <c r="J15" s="568">
        <v>0</v>
      </c>
      <c r="K15" s="569">
        <v>9.9999999999999995E-7</v>
      </c>
      <c r="L15" s="568">
        <f>IF(I15=0,0,0.5*(MAX(I15:K15)-MIN(I15:K15)))</f>
        <v>0</v>
      </c>
      <c r="M15" s="572">
        <v>9.9999999999999995E-8</v>
      </c>
      <c r="O15" s="573">
        <v>0</v>
      </c>
      <c r="P15" s="568">
        <v>0</v>
      </c>
      <c r="Q15" s="568">
        <v>0</v>
      </c>
      <c r="R15" s="569">
        <v>1.0000000000000001E-5</v>
      </c>
      <c r="S15" s="568">
        <f>IF(P15=0,0,0.5*(MAX(P15:R15)-MIN(P15:R15)))</f>
        <v>0</v>
      </c>
      <c r="T15" s="572">
        <v>9.9999999999999995E-8</v>
      </c>
      <c r="U15" s="580"/>
    </row>
    <row r="16" spans="1:21">
      <c r="A16" s="573">
        <v>237</v>
      </c>
      <c r="B16" s="568">
        <v>0</v>
      </c>
      <c r="C16" s="568">
        <v>0</v>
      </c>
      <c r="D16" s="569">
        <v>3</v>
      </c>
      <c r="E16" s="568">
        <f t="shared" ref="E16:E21" si="3">IF(B16=0,0,0.5*(MAX(B16:D16)-MIN(B16:D16)))</f>
        <v>0</v>
      </c>
      <c r="F16" s="572">
        <v>9.9999999999999995E-8</v>
      </c>
      <c r="H16" s="573">
        <v>222</v>
      </c>
      <c r="I16" s="568">
        <v>0</v>
      </c>
      <c r="J16" s="568">
        <v>0</v>
      </c>
      <c r="K16" s="569">
        <v>-4</v>
      </c>
      <c r="L16" s="568">
        <f t="shared" ref="L16:L21" si="4">IF(I16=0,0,0.5*(MAX(I16:K16)-MIN(I16:K16)))</f>
        <v>0</v>
      </c>
      <c r="M16" s="572">
        <v>9.9999999999999995E-8</v>
      </c>
      <c r="O16" s="573">
        <v>0</v>
      </c>
      <c r="P16" s="568">
        <v>0</v>
      </c>
      <c r="Q16" s="568">
        <v>0</v>
      </c>
      <c r="R16" s="569">
        <v>1.0000000000000001E-5</v>
      </c>
      <c r="S16" s="568">
        <f t="shared" ref="S16:S21" si="5">IF(P16=0,0,0.5*(MAX(P16:R16)-MIN(P16:R16)))</f>
        <v>0</v>
      </c>
      <c r="T16" s="572">
        <v>9.9999999999999995E-8</v>
      </c>
      <c r="U16" s="580"/>
    </row>
    <row r="17" spans="1:21">
      <c r="A17" s="573">
        <v>317</v>
      </c>
      <c r="B17" s="568">
        <v>0</v>
      </c>
      <c r="C17" s="568">
        <v>0</v>
      </c>
      <c r="D17" s="569">
        <v>2</v>
      </c>
      <c r="E17" s="568">
        <f t="shared" si="3"/>
        <v>0</v>
      </c>
      <c r="F17" s="572">
        <v>9.9999999999999995E-8</v>
      </c>
      <c r="H17" s="573">
        <v>325</v>
      </c>
      <c r="I17" s="568">
        <v>0</v>
      </c>
      <c r="J17" s="568">
        <v>0</v>
      </c>
      <c r="K17" s="569">
        <v>0</v>
      </c>
      <c r="L17" s="568">
        <f t="shared" si="4"/>
        <v>0</v>
      </c>
      <c r="M17" s="572">
        <v>9.9999999999999995E-8</v>
      </c>
      <c r="O17" s="573">
        <v>0</v>
      </c>
      <c r="P17" s="568">
        <v>0</v>
      </c>
      <c r="Q17" s="568">
        <v>0</v>
      </c>
      <c r="R17" s="569">
        <v>1.0000000000000001E-5</v>
      </c>
      <c r="S17" s="568">
        <f t="shared" si="5"/>
        <v>0</v>
      </c>
      <c r="T17" s="572">
        <v>9.9999999999999995E-8</v>
      </c>
      <c r="U17" s="580"/>
    </row>
    <row r="18" spans="1:21">
      <c r="A18" s="573">
        <v>408</v>
      </c>
      <c r="B18" s="569">
        <v>0</v>
      </c>
      <c r="C18" s="569">
        <v>0</v>
      </c>
      <c r="D18" s="569">
        <v>2</v>
      </c>
      <c r="E18" s="568">
        <f t="shared" si="3"/>
        <v>0</v>
      </c>
      <c r="F18" s="572">
        <v>9.9999999999999995E-8</v>
      </c>
      <c r="H18" s="573">
        <v>420</v>
      </c>
      <c r="I18" s="569">
        <v>0</v>
      </c>
      <c r="J18" s="569">
        <v>0</v>
      </c>
      <c r="K18" s="569">
        <v>-2</v>
      </c>
      <c r="L18" s="568">
        <f t="shared" si="4"/>
        <v>0</v>
      </c>
      <c r="M18" s="572">
        <v>9.9999999999999995E-8</v>
      </c>
      <c r="O18" s="573">
        <v>0</v>
      </c>
      <c r="P18" s="569">
        <v>0</v>
      </c>
      <c r="Q18" s="569">
        <v>0</v>
      </c>
      <c r="R18" s="569">
        <v>1.0000000000000001E-5</v>
      </c>
      <c r="S18" s="568">
        <f t="shared" si="5"/>
        <v>0</v>
      </c>
      <c r="T18" s="572">
        <v>9.9999999999999995E-8</v>
      </c>
      <c r="U18" s="580"/>
    </row>
    <row r="19" spans="1:21">
      <c r="A19" s="573">
        <v>562</v>
      </c>
      <c r="B19" s="569">
        <v>0</v>
      </c>
      <c r="C19" s="569">
        <v>0</v>
      </c>
      <c r="D19" s="569">
        <v>3</v>
      </c>
      <c r="E19" s="568">
        <f t="shared" si="3"/>
        <v>0</v>
      </c>
      <c r="F19" s="572">
        <v>9.9999999999999995E-8</v>
      </c>
      <c r="H19" s="573">
        <v>564</v>
      </c>
      <c r="I19" s="569">
        <v>0</v>
      </c>
      <c r="J19" s="569">
        <v>0</v>
      </c>
      <c r="K19" s="569">
        <v>-5</v>
      </c>
      <c r="L19" s="568">
        <f t="shared" si="4"/>
        <v>0</v>
      </c>
      <c r="M19" s="572">
        <v>9.9999999999999995E-8</v>
      </c>
      <c r="O19" s="573">
        <v>0</v>
      </c>
      <c r="P19" s="569">
        <v>0</v>
      </c>
      <c r="Q19" s="569">
        <v>0</v>
      </c>
      <c r="R19" s="569">
        <v>1.0000000000000001E-5</v>
      </c>
      <c r="S19" s="568">
        <f t="shared" si="5"/>
        <v>0</v>
      </c>
      <c r="T19" s="572">
        <v>9.9999999999999995E-8</v>
      </c>
      <c r="U19" s="580"/>
    </row>
    <row r="20" spans="1:21">
      <c r="A20" s="573">
        <v>694</v>
      </c>
      <c r="B20" s="569">
        <v>0</v>
      </c>
      <c r="C20" s="569">
        <v>0</v>
      </c>
      <c r="D20" s="569">
        <v>8</v>
      </c>
      <c r="E20" s="568">
        <f t="shared" si="3"/>
        <v>0</v>
      </c>
      <c r="F20" s="572">
        <v>9.9999999999999995E-8</v>
      </c>
      <c r="H20" s="573">
        <v>710</v>
      </c>
      <c r="I20" s="569">
        <v>0</v>
      </c>
      <c r="J20" s="569">
        <v>0</v>
      </c>
      <c r="K20" s="569">
        <v>-4</v>
      </c>
      <c r="L20" s="568">
        <f t="shared" si="4"/>
        <v>0</v>
      </c>
      <c r="M20" s="572">
        <v>9.9999999999999995E-8</v>
      </c>
      <c r="O20" s="573">
        <v>0</v>
      </c>
      <c r="P20" s="569">
        <v>0</v>
      </c>
      <c r="Q20" s="569">
        <v>0</v>
      </c>
      <c r="R20" s="569">
        <v>1.0000000000000001E-5</v>
      </c>
      <c r="S20" s="568">
        <f t="shared" si="5"/>
        <v>0</v>
      </c>
      <c r="T20" s="572">
        <v>9.9999999999999995E-8</v>
      </c>
      <c r="U20" s="580"/>
    </row>
    <row r="21" spans="1:21" ht="13" thickBot="1">
      <c r="A21" s="573">
        <v>984</v>
      </c>
      <c r="B21" s="569">
        <v>0</v>
      </c>
      <c r="C21" s="569">
        <v>0</v>
      </c>
      <c r="D21" s="569">
        <v>5</v>
      </c>
      <c r="E21" s="568">
        <f t="shared" si="3"/>
        <v>0</v>
      </c>
      <c r="F21" s="572">
        <v>9.9999999999999995E-7</v>
      </c>
      <c r="H21" s="573">
        <v>1018</v>
      </c>
      <c r="I21" s="569">
        <v>0</v>
      </c>
      <c r="J21" s="569">
        <v>0</v>
      </c>
      <c r="K21" s="569">
        <v>-6</v>
      </c>
      <c r="L21" s="568">
        <f t="shared" si="4"/>
        <v>0</v>
      </c>
      <c r="M21" s="572">
        <v>9.9999999999999995E-7</v>
      </c>
      <c r="O21" s="573">
        <v>0</v>
      </c>
      <c r="P21" s="569">
        <v>0</v>
      </c>
      <c r="Q21" s="569">
        <v>0</v>
      </c>
      <c r="R21" s="569">
        <v>1.0000000000000001E-5</v>
      </c>
      <c r="S21" s="568">
        <f t="shared" si="5"/>
        <v>0</v>
      </c>
      <c r="T21" s="572">
        <v>9.9999999999999995E-7</v>
      </c>
      <c r="U21" s="580"/>
    </row>
    <row r="22" spans="1:21" ht="14.5" thickBot="1">
      <c r="A22" s="1281" t="s">
        <v>335</v>
      </c>
      <c r="B22" s="1282"/>
      <c r="C22" s="1282"/>
      <c r="D22" s="1283"/>
      <c r="E22" s="581" t="s">
        <v>246</v>
      </c>
      <c r="F22" s="582" t="s">
        <v>243</v>
      </c>
      <c r="H22" s="1281" t="s">
        <v>335</v>
      </c>
      <c r="I22" s="1282"/>
      <c r="J22" s="1282"/>
      <c r="K22" s="1283"/>
      <c r="L22" s="581" t="s">
        <v>246</v>
      </c>
      <c r="M22" s="582" t="s">
        <v>243</v>
      </c>
      <c r="O22" s="1281" t="s">
        <v>335</v>
      </c>
      <c r="P22" s="1282"/>
      <c r="Q22" s="1282"/>
      <c r="R22" s="1283"/>
      <c r="S22" s="581" t="s">
        <v>246</v>
      </c>
      <c r="T22" s="582" t="s">
        <v>243</v>
      </c>
      <c r="U22" s="579"/>
    </row>
    <row r="23" spans="1:21" ht="17.25" customHeight="1" thickBot="1">
      <c r="A23" s="564" t="s">
        <v>333</v>
      </c>
      <c r="B23" s="1272" t="s">
        <v>245</v>
      </c>
      <c r="C23" s="1273"/>
      <c r="D23" s="1274"/>
      <c r="E23" s="583"/>
      <c r="F23" s="584"/>
      <c r="H23" s="564" t="s">
        <v>333</v>
      </c>
      <c r="I23" s="1272" t="s">
        <v>245</v>
      </c>
      <c r="J23" s="1273"/>
      <c r="K23" s="1274"/>
      <c r="L23" s="583"/>
      <c r="M23" s="584"/>
      <c r="O23" s="564" t="s">
        <v>333</v>
      </c>
      <c r="P23" s="1272" t="s">
        <v>245</v>
      </c>
      <c r="Q23" s="1273"/>
      <c r="R23" s="1274"/>
      <c r="S23" s="583"/>
      <c r="T23" s="584"/>
      <c r="U23" s="579"/>
    </row>
    <row r="24" spans="1:21" ht="14">
      <c r="A24" s="570" t="s">
        <v>113</v>
      </c>
      <c r="B24" s="566">
        <v>2010</v>
      </c>
      <c r="C24" s="566">
        <v>2010</v>
      </c>
      <c r="D24" s="567">
        <v>2011</v>
      </c>
      <c r="E24" s="585"/>
      <c r="F24" s="586"/>
      <c r="H24" s="570" t="s">
        <v>113</v>
      </c>
      <c r="I24" s="566">
        <v>2010</v>
      </c>
      <c r="J24" s="566">
        <v>2010</v>
      </c>
      <c r="K24" s="567">
        <v>2011</v>
      </c>
      <c r="L24" s="585"/>
      <c r="M24" s="586"/>
      <c r="O24" s="570" t="s">
        <v>113</v>
      </c>
      <c r="P24" s="566">
        <v>2017</v>
      </c>
      <c r="Q24" s="566">
        <v>2017</v>
      </c>
      <c r="R24" s="567">
        <v>2018</v>
      </c>
      <c r="S24" s="585"/>
      <c r="T24" s="586"/>
      <c r="U24" s="579"/>
    </row>
    <row r="25" spans="1:21">
      <c r="A25" s="573">
        <v>0</v>
      </c>
      <c r="B25" s="568">
        <v>0</v>
      </c>
      <c r="C25" s="568">
        <v>0</v>
      </c>
      <c r="D25" s="569">
        <v>9.9999999999999995E-7</v>
      </c>
      <c r="E25" s="568">
        <f t="shared" ref="E25:E32" si="6">IF(B25=0,0,0.5*(MAX(B25:D25)-MIN(B25:D25)))</f>
        <v>0</v>
      </c>
      <c r="F25" s="572">
        <v>9.9999999999999995E-7</v>
      </c>
      <c r="H25" s="573">
        <v>0</v>
      </c>
      <c r="I25" s="568">
        <v>0</v>
      </c>
      <c r="J25" s="568">
        <v>0</v>
      </c>
      <c r="K25" s="569">
        <v>9.9999999999999995E-7</v>
      </c>
      <c r="L25" s="568">
        <f>IF(I25=0,0,0.5*(MAX(I25:K25)-MIN(I25:K25)))</f>
        <v>0</v>
      </c>
      <c r="M25" s="572">
        <v>9.9999999999999995E-7</v>
      </c>
      <c r="O25" s="573">
        <v>0</v>
      </c>
      <c r="P25" s="568">
        <v>0</v>
      </c>
      <c r="Q25" s="568">
        <v>0</v>
      </c>
      <c r="R25" s="569">
        <v>1.0000000000000001E-5</v>
      </c>
      <c r="S25" s="568">
        <f>IF(P25=0,0.00001,0.5*(MAX(P25:R25)-MIN(P25:R25)))</f>
        <v>1.0000000000000001E-5</v>
      </c>
      <c r="T25" s="572">
        <v>9.9999999999999995E-7</v>
      </c>
      <c r="U25" s="580"/>
    </row>
    <row r="26" spans="1:21">
      <c r="A26" s="573">
        <v>50.5</v>
      </c>
      <c r="B26" s="568">
        <v>0</v>
      </c>
      <c r="C26" s="568">
        <v>0</v>
      </c>
      <c r="D26" s="568">
        <v>0.5</v>
      </c>
      <c r="E26" s="568">
        <f t="shared" si="6"/>
        <v>0</v>
      </c>
      <c r="F26" s="572">
        <v>9.9999999999999995E-7</v>
      </c>
      <c r="H26" s="573">
        <v>75</v>
      </c>
      <c r="I26" s="568">
        <v>0</v>
      </c>
      <c r="J26" s="568">
        <v>0</v>
      </c>
      <c r="K26" s="568">
        <v>-4.4000000000000004</v>
      </c>
      <c r="L26" s="568">
        <f t="shared" ref="L26:L32" si="7">IF(I26=0,0,0.5*(MAX(I26:K26)-MIN(I26:K26)))</f>
        <v>0</v>
      </c>
      <c r="M26" s="572">
        <v>9.9999999999999995E-7</v>
      </c>
      <c r="O26" s="573">
        <v>70.599999999999994</v>
      </c>
      <c r="P26" s="568">
        <v>0</v>
      </c>
      <c r="Q26" s="568">
        <v>0</v>
      </c>
      <c r="R26" s="569">
        <v>1.0000000000000001E-5</v>
      </c>
      <c r="S26" s="568">
        <f t="shared" ref="S26:S31" si="8">IF(P26=0,0.00001,0.5*(MAX(P26:R26)-MIN(P26:R26)))</f>
        <v>1.0000000000000001E-5</v>
      </c>
      <c r="T26" s="572">
        <v>9.9999999999999995E-7</v>
      </c>
      <c r="U26" s="580"/>
    </row>
    <row r="27" spans="1:21">
      <c r="A27" s="573">
        <v>95.8</v>
      </c>
      <c r="B27" s="568">
        <v>0</v>
      </c>
      <c r="C27" s="568">
        <v>0</v>
      </c>
      <c r="D27" s="568">
        <v>1.2</v>
      </c>
      <c r="E27" s="568">
        <f t="shared" si="6"/>
        <v>0</v>
      </c>
      <c r="F27" s="572">
        <v>9.9999999999999995E-7</v>
      </c>
      <c r="H27" s="573">
        <v>150</v>
      </c>
      <c r="I27" s="568">
        <v>0</v>
      </c>
      <c r="J27" s="568">
        <v>0</v>
      </c>
      <c r="K27" s="568">
        <v>-1.7</v>
      </c>
      <c r="L27" s="568">
        <f t="shared" si="7"/>
        <v>0</v>
      </c>
      <c r="M27" s="572">
        <v>9.9999999999999995E-7</v>
      </c>
      <c r="O27" s="573">
        <v>137.1</v>
      </c>
      <c r="P27" s="568">
        <v>0</v>
      </c>
      <c r="Q27" s="568">
        <v>0</v>
      </c>
      <c r="R27" s="569">
        <v>1.0000000000000001E-5</v>
      </c>
      <c r="S27" s="568">
        <f t="shared" si="8"/>
        <v>1.0000000000000001E-5</v>
      </c>
      <c r="T27" s="572">
        <v>9.9999999999999995E-7</v>
      </c>
      <c r="U27" s="580"/>
    </row>
    <row r="28" spans="1:21">
      <c r="A28" s="573">
        <v>146.1</v>
      </c>
      <c r="B28" s="569">
        <v>0</v>
      </c>
      <c r="C28" s="569">
        <v>0</v>
      </c>
      <c r="D28" s="568">
        <v>0.9</v>
      </c>
      <c r="E28" s="568">
        <f t="shared" si="6"/>
        <v>0</v>
      </c>
      <c r="F28" s="572">
        <v>9.9999999999999995E-7</v>
      </c>
      <c r="H28" s="573">
        <v>152.69999999999999</v>
      </c>
      <c r="I28" s="569">
        <v>0</v>
      </c>
      <c r="J28" s="569">
        <v>0</v>
      </c>
      <c r="K28" s="568">
        <v>-1.7</v>
      </c>
      <c r="L28" s="568">
        <f t="shared" si="7"/>
        <v>0</v>
      </c>
      <c r="M28" s="572">
        <v>9.9999999999999995E-7</v>
      </c>
      <c r="O28" s="573">
        <v>271.5</v>
      </c>
      <c r="P28" s="569">
        <v>0</v>
      </c>
      <c r="Q28" s="569">
        <v>0</v>
      </c>
      <c r="R28" s="569">
        <v>1.0000000000000001E-5</v>
      </c>
      <c r="S28" s="568">
        <f t="shared" si="8"/>
        <v>1.0000000000000001E-5</v>
      </c>
      <c r="T28" s="572">
        <v>9.9999999999999995E-7</v>
      </c>
      <c r="U28" s="580"/>
    </row>
    <row r="29" spans="1:21">
      <c r="A29" s="573">
        <v>194.6</v>
      </c>
      <c r="B29" s="569">
        <v>0</v>
      </c>
      <c r="C29" s="569">
        <v>0</v>
      </c>
      <c r="D29" s="569">
        <v>3.4</v>
      </c>
      <c r="E29" s="568">
        <f t="shared" si="6"/>
        <v>0</v>
      </c>
      <c r="F29" s="572">
        <v>9.9999999999999995E-7</v>
      </c>
      <c r="H29" s="573">
        <v>207.6</v>
      </c>
      <c r="I29" s="569">
        <v>0</v>
      </c>
      <c r="J29" s="569">
        <v>0</v>
      </c>
      <c r="K29" s="569">
        <v>-0.6</v>
      </c>
      <c r="L29" s="568">
        <f t="shared" si="7"/>
        <v>0</v>
      </c>
      <c r="M29" s="572">
        <v>9.9999999999999995E-7</v>
      </c>
      <c r="O29" s="573">
        <v>500</v>
      </c>
      <c r="P29" s="569">
        <v>0</v>
      </c>
      <c r="Q29" s="569">
        <v>0</v>
      </c>
      <c r="R29" s="569">
        <v>1.0000000000000001E-5</v>
      </c>
      <c r="S29" s="568">
        <f t="shared" si="8"/>
        <v>1.0000000000000001E-5</v>
      </c>
      <c r="T29" s="572">
        <v>9.9999999999999995E-7</v>
      </c>
      <c r="U29" s="580"/>
    </row>
    <row r="30" spans="1:21">
      <c r="A30" s="573">
        <v>293.7</v>
      </c>
      <c r="B30" s="569">
        <v>0</v>
      </c>
      <c r="C30" s="569">
        <v>0</v>
      </c>
      <c r="D30" s="569">
        <v>4.3</v>
      </c>
      <c r="E30" s="568">
        <f t="shared" si="6"/>
        <v>0</v>
      </c>
      <c r="F30" s="572">
        <v>9.9999999999999995E-7</v>
      </c>
      <c r="H30" s="573">
        <v>313.89999999999998</v>
      </c>
      <c r="I30" s="569">
        <v>0</v>
      </c>
      <c r="J30" s="569">
        <v>0</v>
      </c>
      <c r="K30" s="569">
        <v>-2.9</v>
      </c>
      <c r="L30" s="568">
        <f t="shared" si="7"/>
        <v>0</v>
      </c>
      <c r="M30" s="572">
        <v>9.9999999999999995E-7</v>
      </c>
      <c r="O30" s="573">
        <v>0</v>
      </c>
      <c r="P30" s="569">
        <v>0</v>
      </c>
      <c r="Q30" s="569">
        <v>0</v>
      </c>
      <c r="R30" s="569">
        <v>1.0000000000000001E-5</v>
      </c>
      <c r="S30" s="568">
        <f t="shared" si="8"/>
        <v>1.0000000000000001E-5</v>
      </c>
      <c r="T30" s="572">
        <v>9.9999999999999995E-7</v>
      </c>
      <c r="U30" s="580"/>
    </row>
    <row r="31" spans="1:21">
      <c r="A31" s="573">
        <v>400</v>
      </c>
      <c r="B31" s="569">
        <v>0</v>
      </c>
      <c r="C31" s="569">
        <v>0</v>
      </c>
      <c r="D31" s="569">
        <v>4.3</v>
      </c>
      <c r="E31" s="568">
        <f t="shared" si="6"/>
        <v>0</v>
      </c>
      <c r="F31" s="572">
        <v>9.9999999999999995E-7</v>
      </c>
      <c r="H31" s="573">
        <v>400</v>
      </c>
      <c r="I31" s="569">
        <v>0</v>
      </c>
      <c r="J31" s="569">
        <v>0</v>
      </c>
      <c r="K31" s="569">
        <v>-2.9</v>
      </c>
      <c r="L31" s="568">
        <f t="shared" si="7"/>
        <v>0</v>
      </c>
      <c r="M31" s="572">
        <v>9.9999999999999995E-7</v>
      </c>
      <c r="O31" s="573">
        <v>0</v>
      </c>
      <c r="P31" s="569">
        <v>0</v>
      </c>
      <c r="Q31" s="569">
        <v>0</v>
      </c>
      <c r="R31" s="569">
        <v>1.0000000000000001E-5</v>
      </c>
      <c r="S31" s="568">
        <f t="shared" si="8"/>
        <v>1.0000000000000001E-5</v>
      </c>
      <c r="T31" s="572">
        <v>9.9999999999999995E-7</v>
      </c>
      <c r="U31" s="580"/>
    </row>
    <row r="32" spans="1:21" ht="13" thickBot="1">
      <c r="A32" s="574">
        <v>500</v>
      </c>
      <c r="B32" s="575">
        <v>0</v>
      </c>
      <c r="C32" s="575">
        <v>0</v>
      </c>
      <c r="D32" s="575">
        <v>4.3</v>
      </c>
      <c r="E32" s="568">
        <f t="shared" si="6"/>
        <v>0</v>
      </c>
      <c r="F32" s="572">
        <v>9.9999999999999995E-7</v>
      </c>
      <c r="H32" s="574">
        <v>500</v>
      </c>
      <c r="I32" s="575">
        <v>0</v>
      </c>
      <c r="J32" s="575">
        <v>0</v>
      </c>
      <c r="K32" s="575">
        <v>-2.9</v>
      </c>
      <c r="L32" s="576">
        <f t="shared" si="7"/>
        <v>0</v>
      </c>
      <c r="M32" s="572">
        <v>9.9999999999999995E-7</v>
      </c>
      <c r="O32" s="574">
        <v>0</v>
      </c>
      <c r="P32" s="575">
        <v>0</v>
      </c>
      <c r="Q32" s="575">
        <v>0</v>
      </c>
      <c r="R32" s="569">
        <v>1.0000000000000001E-5</v>
      </c>
      <c r="S32" s="568">
        <f>IF(P32=0,0.00001,0.5*(MAX(P32:R32)-MIN(P32:R32)))</f>
        <v>1.0000000000000001E-5</v>
      </c>
      <c r="T32" s="572">
        <v>9.9999999999999995E-7</v>
      </c>
      <c r="U32" s="580"/>
    </row>
    <row r="34" spans="1:20" ht="13" thickBot="1"/>
    <row r="35" spans="1:20" ht="38.25" customHeight="1" thickBot="1">
      <c r="A35" s="1278" t="s">
        <v>152</v>
      </c>
      <c r="B35" s="1279"/>
      <c r="C35" s="1279"/>
      <c r="D35" s="1279"/>
      <c r="E35" s="1279"/>
      <c r="F35" s="1280"/>
      <c r="G35" s="578"/>
      <c r="H35" s="1275" t="s">
        <v>336</v>
      </c>
      <c r="I35" s="1276"/>
      <c r="J35" s="1276"/>
      <c r="K35" s="1276"/>
      <c r="L35" s="1276"/>
      <c r="M35" s="1277"/>
      <c r="N35" s="578"/>
      <c r="O35" s="1275" t="s">
        <v>337</v>
      </c>
      <c r="P35" s="1276"/>
      <c r="Q35" s="1276"/>
      <c r="R35" s="1276"/>
      <c r="S35" s="1276"/>
      <c r="T35" s="1277"/>
    </row>
    <row r="36" spans="1:20" ht="14.5" thickBot="1">
      <c r="A36" s="1281" t="s">
        <v>330</v>
      </c>
      <c r="B36" s="1282"/>
      <c r="C36" s="1282"/>
      <c r="D36" s="1283"/>
      <c r="E36" s="581" t="s">
        <v>246</v>
      </c>
      <c r="F36" s="582" t="s">
        <v>243</v>
      </c>
      <c r="H36" s="1281" t="s">
        <v>330</v>
      </c>
      <c r="I36" s="1282"/>
      <c r="J36" s="1282"/>
      <c r="K36" s="1283"/>
      <c r="L36" s="581" t="s">
        <v>246</v>
      </c>
      <c r="M36" s="582" t="s">
        <v>243</v>
      </c>
      <c r="O36" s="1281" t="s">
        <v>330</v>
      </c>
      <c r="P36" s="1282"/>
      <c r="Q36" s="1282"/>
      <c r="R36" s="1283"/>
      <c r="S36" s="581" t="s">
        <v>246</v>
      </c>
      <c r="T36" s="582" t="s">
        <v>243</v>
      </c>
    </row>
    <row r="37" spans="1:20" ht="13.5" thickBot="1">
      <c r="A37" s="587" t="s">
        <v>331</v>
      </c>
      <c r="B37" s="1284" t="s">
        <v>245</v>
      </c>
      <c r="C37" s="1285"/>
      <c r="D37" s="1286"/>
      <c r="E37" s="583"/>
      <c r="F37" s="584"/>
      <c r="H37" s="587" t="s">
        <v>331</v>
      </c>
      <c r="I37" s="1284" t="s">
        <v>245</v>
      </c>
      <c r="J37" s="1285"/>
      <c r="K37" s="1286"/>
      <c r="L37" s="583"/>
      <c r="M37" s="584"/>
      <c r="O37" s="587" t="s">
        <v>331</v>
      </c>
      <c r="P37" s="1284" t="s">
        <v>245</v>
      </c>
      <c r="Q37" s="1285"/>
      <c r="R37" s="1286"/>
      <c r="S37" s="583"/>
      <c r="T37" s="584"/>
    </row>
    <row r="38" spans="1:20" ht="14.5">
      <c r="A38" s="565" t="s">
        <v>57</v>
      </c>
      <c r="B38" s="566">
        <v>2017</v>
      </c>
      <c r="C38" s="566">
        <v>2017</v>
      </c>
      <c r="D38" s="567">
        <v>2018</v>
      </c>
      <c r="E38" s="585"/>
      <c r="F38" s="586"/>
      <c r="H38" s="565" t="s">
        <v>57</v>
      </c>
      <c r="I38" s="566">
        <v>2010</v>
      </c>
      <c r="J38" s="566">
        <v>2010</v>
      </c>
      <c r="K38" s="567">
        <v>2011</v>
      </c>
      <c r="L38" s="585"/>
      <c r="M38" s="586"/>
      <c r="O38" s="565" t="s">
        <v>57</v>
      </c>
      <c r="P38" s="566">
        <v>2010</v>
      </c>
      <c r="Q38" s="566">
        <v>2010</v>
      </c>
      <c r="R38" s="567">
        <v>2011</v>
      </c>
      <c r="S38" s="585"/>
      <c r="T38" s="586"/>
    </row>
    <row r="39" spans="1:20">
      <c r="A39" s="571">
        <v>0</v>
      </c>
      <c r="B39" s="568">
        <v>0</v>
      </c>
      <c r="C39" s="568">
        <v>0</v>
      </c>
      <c r="D39" s="569">
        <v>1.0000000000000001E-5</v>
      </c>
      <c r="E39" s="568">
        <f>IF(B39=0,0,0.5*(MAX(B39:D39)-MIN(B39:D39)))</f>
        <v>0</v>
      </c>
      <c r="F39" s="572">
        <v>9.9999999999999995E-8</v>
      </c>
      <c r="H39" s="571">
        <v>0</v>
      </c>
      <c r="I39" s="568">
        <v>0</v>
      </c>
      <c r="J39" s="568">
        <v>0</v>
      </c>
      <c r="K39" s="569">
        <v>9.9999999999999995E-7</v>
      </c>
      <c r="L39" s="568">
        <f>IF(I39=0,0,0.5*(MAX(I39:K39)-MIN(I39:K39)))</f>
        <v>0</v>
      </c>
      <c r="M39" s="572">
        <v>9.9999999999999995E-8</v>
      </c>
      <c r="O39" s="571">
        <v>0</v>
      </c>
      <c r="P39" s="568">
        <v>0</v>
      </c>
      <c r="Q39" s="568">
        <v>0</v>
      </c>
      <c r="R39" s="569">
        <v>9.9999999999999995E-7</v>
      </c>
      <c r="S39" s="568">
        <f>IF(P39=0,0,0.5*(MAX(P39:R39)-MIN(P39:R39)))</f>
        <v>0</v>
      </c>
      <c r="T39" s="572">
        <v>9.9999999999999995E-8</v>
      </c>
    </row>
    <row r="40" spans="1:20">
      <c r="A40" s="571">
        <v>10.11</v>
      </c>
      <c r="B40" s="568">
        <v>0</v>
      </c>
      <c r="C40" s="568">
        <v>0</v>
      </c>
      <c r="D40" s="569">
        <v>1.0000000000000001E-5</v>
      </c>
      <c r="E40" s="568">
        <f t="shared" ref="E40:E44" si="9">IF(B40=0,0,0.5*(MAX(B40:D40)-MIN(B40:D40)))</f>
        <v>0</v>
      </c>
      <c r="F40" s="572">
        <v>9.9999999999999995E-8</v>
      </c>
      <c r="H40" s="571">
        <v>9.8000000000000007</v>
      </c>
      <c r="I40" s="568">
        <v>0</v>
      </c>
      <c r="J40" s="568">
        <v>0</v>
      </c>
      <c r="K40" s="569">
        <f>25.058-24.8</f>
        <v>0.25799999999999912</v>
      </c>
      <c r="L40" s="568">
        <f t="shared" ref="L40:L44" si="10">IF(I40=0,0,0.5*(MAX(I40:K40)-MIN(I40:K40)))</f>
        <v>0</v>
      </c>
      <c r="M40" s="572">
        <v>9.9999999999999995E-8</v>
      </c>
      <c r="O40" s="571">
        <v>9.8000000000000007</v>
      </c>
      <c r="P40" s="568">
        <v>0</v>
      </c>
      <c r="Q40" s="568">
        <v>0</v>
      </c>
      <c r="R40" s="569">
        <f>25.058-24.8</f>
        <v>0.25799999999999912</v>
      </c>
      <c r="S40" s="568">
        <f t="shared" ref="S40:S44" si="11">IF(P40=0,0,0.5*(MAX(P40:R40)-MIN(P40:R40)))</f>
        <v>0</v>
      </c>
      <c r="T40" s="572">
        <v>9.9999999999999995E-8</v>
      </c>
    </row>
    <row r="41" spans="1:20">
      <c r="A41" s="571">
        <v>50.28</v>
      </c>
      <c r="B41" s="568">
        <v>0</v>
      </c>
      <c r="C41" s="568">
        <v>0</v>
      </c>
      <c r="D41" s="569">
        <v>1.0000000000000001E-5</v>
      </c>
      <c r="E41" s="568">
        <f t="shared" si="9"/>
        <v>0</v>
      </c>
      <c r="F41" s="572">
        <v>9.9999999999999995E-8</v>
      </c>
      <c r="H41" s="571">
        <v>49</v>
      </c>
      <c r="I41" s="568">
        <v>0</v>
      </c>
      <c r="J41" s="568">
        <v>0</v>
      </c>
      <c r="K41" s="569">
        <f>49.34-49</f>
        <v>0.34000000000000341</v>
      </c>
      <c r="L41" s="568">
        <f t="shared" si="10"/>
        <v>0</v>
      </c>
      <c r="M41" s="572">
        <v>9.9999999999999995E-8</v>
      </c>
      <c r="O41" s="571">
        <v>49</v>
      </c>
      <c r="P41" s="568">
        <v>0</v>
      </c>
      <c r="Q41" s="568">
        <v>0</v>
      </c>
      <c r="R41" s="569">
        <f>49.34-49</f>
        <v>0.34000000000000341</v>
      </c>
      <c r="S41" s="568">
        <f t="shared" si="11"/>
        <v>0</v>
      </c>
      <c r="T41" s="572">
        <v>9.9999999999999995E-8</v>
      </c>
    </row>
    <row r="42" spans="1:20">
      <c r="A42" s="571">
        <v>100.24</v>
      </c>
      <c r="B42" s="569">
        <v>0</v>
      </c>
      <c r="C42" s="569">
        <v>0</v>
      </c>
      <c r="D42" s="569">
        <v>1.0000000000000001E-5</v>
      </c>
      <c r="E42" s="568">
        <f t="shared" si="9"/>
        <v>0</v>
      </c>
      <c r="F42" s="572">
        <v>9.9999999999999995E-8</v>
      </c>
      <c r="H42" s="571">
        <v>102</v>
      </c>
      <c r="I42" s="569">
        <v>0</v>
      </c>
      <c r="J42" s="569">
        <v>0</v>
      </c>
      <c r="K42" s="569">
        <v>2.86</v>
      </c>
      <c r="L42" s="568">
        <f t="shared" si="10"/>
        <v>0</v>
      </c>
      <c r="M42" s="572">
        <v>9.9999999999999995E-8</v>
      </c>
      <c r="O42" s="571">
        <v>102</v>
      </c>
      <c r="P42" s="569">
        <v>0</v>
      </c>
      <c r="Q42" s="569">
        <v>0</v>
      </c>
      <c r="R42" s="569">
        <v>2.86</v>
      </c>
      <c r="S42" s="568">
        <f t="shared" si="11"/>
        <v>0</v>
      </c>
      <c r="T42" s="572">
        <v>9.9999999999999995E-8</v>
      </c>
    </row>
    <row r="43" spans="1:20">
      <c r="A43" s="571">
        <v>200.21</v>
      </c>
      <c r="B43" s="569">
        <v>0</v>
      </c>
      <c r="C43" s="569">
        <v>0</v>
      </c>
      <c r="D43" s="569">
        <v>1.0000000000000001E-5</v>
      </c>
      <c r="E43" s="568">
        <f t="shared" si="9"/>
        <v>0</v>
      </c>
      <c r="F43" s="572">
        <v>9.9999999999999995E-8</v>
      </c>
      <c r="H43" s="571">
        <v>202</v>
      </c>
      <c r="I43" s="569">
        <v>0</v>
      </c>
      <c r="J43" s="569">
        <v>0</v>
      </c>
      <c r="K43" s="569">
        <v>2.23</v>
      </c>
      <c r="L43" s="568">
        <f t="shared" si="10"/>
        <v>0</v>
      </c>
      <c r="M43" s="572">
        <v>9.9999999999999995E-8</v>
      </c>
      <c r="O43" s="571">
        <v>202</v>
      </c>
      <c r="P43" s="569">
        <v>0</v>
      </c>
      <c r="Q43" s="569">
        <v>0</v>
      </c>
      <c r="R43" s="569">
        <v>2.23</v>
      </c>
      <c r="S43" s="568">
        <f t="shared" si="11"/>
        <v>0</v>
      </c>
      <c r="T43" s="572">
        <v>9.9999999999999995E-8</v>
      </c>
    </row>
    <row r="44" spans="1:20" ht="13" thickBot="1">
      <c r="A44" s="571">
        <v>470.96</v>
      </c>
      <c r="B44" s="569">
        <v>0</v>
      </c>
      <c r="C44" s="569">
        <v>0</v>
      </c>
      <c r="D44" s="569">
        <v>1.0000000000000001E-5</v>
      </c>
      <c r="E44" s="568">
        <f t="shared" si="9"/>
        <v>0</v>
      </c>
      <c r="F44" s="572">
        <v>9.9999999999999995E-8</v>
      </c>
      <c r="H44" s="571">
        <v>502</v>
      </c>
      <c r="I44" s="569">
        <v>0</v>
      </c>
      <c r="J44" s="569">
        <v>0</v>
      </c>
      <c r="K44" s="569">
        <v>4.68</v>
      </c>
      <c r="L44" s="568">
        <f t="shared" si="10"/>
        <v>0</v>
      </c>
      <c r="M44" s="572">
        <v>9.9999999999999995E-8</v>
      </c>
      <c r="O44" s="571">
        <v>502</v>
      </c>
      <c r="P44" s="569">
        <v>0</v>
      </c>
      <c r="Q44" s="569">
        <v>0</v>
      </c>
      <c r="R44" s="569">
        <v>4.68</v>
      </c>
      <c r="S44" s="568">
        <f t="shared" si="11"/>
        <v>0</v>
      </c>
      <c r="T44" s="572">
        <v>9.9999999999999995E-8</v>
      </c>
    </row>
    <row r="45" spans="1:20" ht="14.5" thickBot="1">
      <c r="A45" s="1281" t="s">
        <v>332</v>
      </c>
      <c r="B45" s="1282"/>
      <c r="C45" s="1282"/>
      <c r="D45" s="1283"/>
      <c r="E45" s="581" t="s">
        <v>246</v>
      </c>
      <c r="F45" s="582" t="s">
        <v>243</v>
      </c>
      <c r="H45" s="1281" t="s">
        <v>332</v>
      </c>
      <c r="I45" s="1282"/>
      <c r="J45" s="1282"/>
      <c r="K45" s="1283"/>
      <c r="L45" s="581" t="s">
        <v>246</v>
      </c>
      <c r="M45" s="582" t="s">
        <v>243</v>
      </c>
      <c r="O45" s="1281" t="s">
        <v>332</v>
      </c>
      <c r="P45" s="1282"/>
      <c r="Q45" s="1282"/>
      <c r="R45" s="1283"/>
      <c r="S45" s="581" t="s">
        <v>246</v>
      </c>
      <c r="T45" s="582" t="s">
        <v>243</v>
      </c>
    </row>
    <row r="46" spans="1:20" ht="13.5" thickBot="1">
      <c r="A46" s="564" t="s">
        <v>333</v>
      </c>
      <c r="B46" s="1272" t="s">
        <v>245</v>
      </c>
      <c r="C46" s="1273"/>
      <c r="D46" s="1274"/>
      <c r="E46" s="583"/>
      <c r="F46" s="584"/>
      <c r="H46" s="564" t="s">
        <v>333</v>
      </c>
      <c r="I46" s="1272" t="s">
        <v>245</v>
      </c>
      <c r="J46" s="1273"/>
      <c r="K46" s="1274"/>
      <c r="L46" s="583"/>
      <c r="M46" s="584"/>
      <c r="O46" s="564" t="s">
        <v>333</v>
      </c>
      <c r="P46" s="1272" t="s">
        <v>245</v>
      </c>
      <c r="Q46" s="1273"/>
      <c r="R46" s="1274"/>
      <c r="S46" s="583"/>
      <c r="T46" s="584"/>
    </row>
    <row r="47" spans="1:20" ht="14">
      <c r="A47" s="570" t="s">
        <v>334</v>
      </c>
      <c r="B47" s="566">
        <v>2017</v>
      </c>
      <c r="C47" s="566">
        <v>2017</v>
      </c>
      <c r="D47" s="567">
        <v>2018</v>
      </c>
      <c r="E47" s="585"/>
      <c r="F47" s="586"/>
      <c r="H47" s="570" t="s">
        <v>334</v>
      </c>
      <c r="I47" s="566">
        <v>2010</v>
      </c>
      <c r="J47" s="566">
        <v>2010</v>
      </c>
      <c r="K47" s="567">
        <v>2011</v>
      </c>
      <c r="L47" s="585"/>
      <c r="M47" s="586"/>
      <c r="O47" s="570" t="s">
        <v>334</v>
      </c>
      <c r="P47" s="566">
        <v>2010</v>
      </c>
      <c r="Q47" s="566">
        <v>2010</v>
      </c>
      <c r="R47" s="567">
        <v>2011</v>
      </c>
      <c r="S47" s="585"/>
      <c r="T47" s="586"/>
    </row>
    <row r="48" spans="1:20">
      <c r="A48" s="573">
        <v>0</v>
      </c>
      <c r="B48" s="568">
        <v>0</v>
      </c>
      <c r="C48" s="568">
        <v>0</v>
      </c>
      <c r="D48" s="569">
        <v>1.0000000000000001E-5</v>
      </c>
      <c r="E48" s="568">
        <f>IF(B48=0,0,0.5*(MAX(B48:D48)-MIN(B48:D48)))</f>
        <v>0</v>
      </c>
      <c r="F48" s="572">
        <v>9.9999999999999995E-8</v>
      </c>
      <c r="H48" s="573">
        <v>0</v>
      </c>
      <c r="I48" s="568">
        <v>0</v>
      </c>
      <c r="J48" s="568">
        <v>0</v>
      </c>
      <c r="K48" s="569">
        <v>1.0000000000000001E-5</v>
      </c>
      <c r="L48" s="568">
        <f>IF(I48=0,0,0.5*(MAX(I48:K48)-MIN(I48:K48)))</f>
        <v>0</v>
      </c>
      <c r="M48" s="572">
        <v>9.9999999999999995E-8</v>
      </c>
      <c r="O48" s="573">
        <v>0</v>
      </c>
      <c r="P48" s="568">
        <v>0</v>
      </c>
      <c r="Q48" s="568">
        <v>0</v>
      </c>
      <c r="R48" s="569">
        <v>1.0000000000000001E-5</v>
      </c>
      <c r="S48" s="568">
        <f>IF(P48=0,0,0.5*(MAX(P48:R48)-MIN(P48:R48)))</f>
        <v>0</v>
      </c>
      <c r="T48" s="572">
        <v>9.9999999999999995E-8</v>
      </c>
    </row>
    <row r="49" spans="1:20">
      <c r="A49" s="573">
        <v>0</v>
      </c>
      <c r="B49" s="568">
        <v>0</v>
      </c>
      <c r="C49" s="568">
        <v>0</v>
      </c>
      <c r="D49" s="569">
        <v>1.0000000000000001E-5</v>
      </c>
      <c r="E49" s="568">
        <f t="shared" ref="E49:E54" si="12">IF(B49=0,0,0.5*(MAX(B49:D49)-MIN(B49:D49)))</f>
        <v>0</v>
      </c>
      <c r="F49" s="572">
        <v>9.9999999999999995E-8</v>
      </c>
      <c r="H49" s="573">
        <v>0</v>
      </c>
      <c r="I49" s="568">
        <v>0</v>
      </c>
      <c r="J49" s="568">
        <v>0</v>
      </c>
      <c r="K49" s="569">
        <v>1.0000000000000001E-5</v>
      </c>
      <c r="L49" s="568">
        <f t="shared" ref="L49:L54" si="13">IF(I49=0,0,0.5*(MAX(I49:K49)-MIN(I49:K49)))</f>
        <v>0</v>
      </c>
      <c r="M49" s="572">
        <v>9.9999999999999995E-8</v>
      </c>
      <c r="O49" s="573">
        <v>0</v>
      </c>
      <c r="P49" s="568">
        <v>0</v>
      </c>
      <c r="Q49" s="568">
        <v>0</v>
      </c>
      <c r="R49" s="569">
        <v>1.0000000000000001E-5</v>
      </c>
      <c r="S49" s="568">
        <f t="shared" ref="S49:S54" si="14">IF(P49=0,0,0.5*(MAX(P49:R49)-MIN(P49:R49)))</f>
        <v>0</v>
      </c>
      <c r="T49" s="572">
        <v>9.9999999999999995E-8</v>
      </c>
    </row>
    <row r="50" spans="1:20">
      <c r="A50" s="573">
        <v>0</v>
      </c>
      <c r="B50" s="568">
        <v>0</v>
      </c>
      <c r="C50" s="568">
        <v>0</v>
      </c>
      <c r="D50" s="569">
        <v>1.0000000000000001E-5</v>
      </c>
      <c r="E50" s="568">
        <f t="shared" si="12"/>
        <v>0</v>
      </c>
      <c r="F50" s="572">
        <v>9.9999999999999995E-8</v>
      </c>
      <c r="H50" s="573">
        <v>0</v>
      </c>
      <c r="I50" s="568">
        <v>0</v>
      </c>
      <c r="J50" s="568">
        <v>0</v>
      </c>
      <c r="K50" s="569">
        <v>1.0000000000000001E-5</v>
      </c>
      <c r="L50" s="568">
        <f t="shared" si="13"/>
        <v>0</v>
      </c>
      <c r="M50" s="572">
        <v>9.9999999999999995E-8</v>
      </c>
      <c r="O50" s="573">
        <v>0</v>
      </c>
      <c r="P50" s="568">
        <v>0</v>
      </c>
      <c r="Q50" s="568">
        <v>0</v>
      </c>
      <c r="R50" s="569">
        <v>1.0000000000000001E-5</v>
      </c>
      <c r="S50" s="568">
        <f t="shared" si="14"/>
        <v>0</v>
      </c>
      <c r="T50" s="572">
        <v>9.9999999999999995E-8</v>
      </c>
    </row>
    <row r="51" spans="1:20">
      <c r="A51" s="573">
        <v>0</v>
      </c>
      <c r="B51" s="569">
        <v>0</v>
      </c>
      <c r="C51" s="569">
        <v>0</v>
      </c>
      <c r="D51" s="569">
        <v>1.0000000000000001E-5</v>
      </c>
      <c r="E51" s="568">
        <f t="shared" si="12"/>
        <v>0</v>
      </c>
      <c r="F51" s="572">
        <v>9.9999999999999995E-8</v>
      </c>
      <c r="H51" s="573">
        <v>0</v>
      </c>
      <c r="I51" s="569">
        <v>0</v>
      </c>
      <c r="J51" s="569">
        <v>0</v>
      </c>
      <c r="K51" s="569">
        <v>1.0000000000000001E-5</v>
      </c>
      <c r="L51" s="568">
        <f t="shared" si="13"/>
        <v>0</v>
      </c>
      <c r="M51" s="572">
        <v>9.9999999999999995E-8</v>
      </c>
      <c r="O51" s="573">
        <v>0</v>
      </c>
      <c r="P51" s="569">
        <v>0</v>
      </c>
      <c r="Q51" s="569">
        <v>0</v>
      </c>
      <c r="R51" s="569">
        <v>1.0000000000000001E-5</v>
      </c>
      <c r="S51" s="568">
        <f t="shared" si="14"/>
        <v>0</v>
      </c>
      <c r="T51" s="572">
        <v>9.9999999999999995E-8</v>
      </c>
    </row>
    <row r="52" spans="1:20">
      <c r="A52" s="573">
        <v>0</v>
      </c>
      <c r="B52" s="569">
        <v>0</v>
      </c>
      <c r="C52" s="569">
        <v>0</v>
      </c>
      <c r="D52" s="569">
        <v>1.0000000000000001E-5</v>
      </c>
      <c r="E52" s="568">
        <f t="shared" si="12"/>
        <v>0</v>
      </c>
      <c r="F52" s="572">
        <v>9.9999999999999995E-8</v>
      </c>
      <c r="H52" s="573">
        <v>0</v>
      </c>
      <c r="I52" s="569">
        <v>0</v>
      </c>
      <c r="J52" s="569">
        <v>0</v>
      </c>
      <c r="K52" s="569">
        <v>1.0000000000000001E-5</v>
      </c>
      <c r="L52" s="568">
        <f t="shared" si="13"/>
        <v>0</v>
      </c>
      <c r="M52" s="572">
        <v>9.9999999999999995E-8</v>
      </c>
      <c r="O52" s="573">
        <v>0</v>
      </c>
      <c r="P52" s="569">
        <v>0</v>
      </c>
      <c r="Q52" s="569">
        <v>0</v>
      </c>
      <c r="R52" s="569">
        <v>1.0000000000000001E-5</v>
      </c>
      <c r="S52" s="568">
        <f t="shared" si="14"/>
        <v>0</v>
      </c>
      <c r="T52" s="572">
        <v>9.9999999999999995E-8</v>
      </c>
    </row>
    <row r="53" spans="1:20">
      <c r="A53" s="573">
        <v>0</v>
      </c>
      <c r="B53" s="569">
        <v>0</v>
      </c>
      <c r="C53" s="569">
        <v>0</v>
      </c>
      <c r="D53" s="569">
        <v>1.0000000000000001E-5</v>
      </c>
      <c r="E53" s="568">
        <f t="shared" si="12"/>
        <v>0</v>
      </c>
      <c r="F53" s="572">
        <v>9.9999999999999995E-8</v>
      </c>
      <c r="H53" s="573">
        <v>0</v>
      </c>
      <c r="I53" s="569">
        <v>0</v>
      </c>
      <c r="J53" s="569">
        <v>0</v>
      </c>
      <c r="K53" s="569">
        <v>1.0000000000000001E-5</v>
      </c>
      <c r="L53" s="568">
        <f t="shared" si="13"/>
        <v>0</v>
      </c>
      <c r="M53" s="572">
        <v>9.9999999999999995E-8</v>
      </c>
      <c r="O53" s="573">
        <v>0</v>
      </c>
      <c r="P53" s="569">
        <v>0</v>
      </c>
      <c r="Q53" s="569">
        <v>0</v>
      </c>
      <c r="R53" s="569">
        <v>1.0000000000000001E-5</v>
      </c>
      <c r="S53" s="568">
        <f t="shared" si="14"/>
        <v>0</v>
      </c>
      <c r="T53" s="572">
        <v>9.9999999999999995E-8</v>
      </c>
    </row>
    <row r="54" spans="1:20" ht="13" thickBot="1">
      <c r="A54" s="573">
        <v>0</v>
      </c>
      <c r="B54" s="569">
        <v>0</v>
      </c>
      <c r="C54" s="569">
        <v>0</v>
      </c>
      <c r="D54" s="569">
        <v>1.0000000000000001E-5</v>
      </c>
      <c r="E54" s="568">
        <f t="shared" si="12"/>
        <v>0</v>
      </c>
      <c r="F54" s="572">
        <v>9.9999999999999995E-7</v>
      </c>
      <c r="H54" s="573">
        <v>0</v>
      </c>
      <c r="I54" s="569">
        <v>0</v>
      </c>
      <c r="J54" s="569">
        <v>0</v>
      </c>
      <c r="K54" s="569">
        <v>1.0000000000000001E-5</v>
      </c>
      <c r="L54" s="568">
        <f t="shared" si="13"/>
        <v>0</v>
      </c>
      <c r="M54" s="572">
        <v>9.9999999999999995E-7</v>
      </c>
      <c r="O54" s="573">
        <v>0</v>
      </c>
      <c r="P54" s="569">
        <v>0</v>
      </c>
      <c r="Q54" s="569">
        <v>0</v>
      </c>
      <c r="R54" s="569">
        <v>1.0000000000000001E-5</v>
      </c>
      <c r="S54" s="568">
        <f t="shared" si="14"/>
        <v>0</v>
      </c>
      <c r="T54" s="572">
        <v>9.9999999999999995E-7</v>
      </c>
    </row>
    <row r="55" spans="1:20" ht="14.5" thickBot="1">
      <c r="A55" s="1281" t="s">
        <v>335</v>
      </c>
      <c r="B55" s="1282"/>
      <c r="C55" s="1282"/>
      <c r="D55" s="1283"/>
      <c r="E55" s="581" t="s">
        <v>246</v>
      </c>
      <c r="F55" s="582" t="s">
        <v>243</v>
      </c>
      <c r="H55" s="1281" t="s">
        <v>335</v>
      </c>
      <c r="I55" s="1282"/>
      <c r="J55" s="1282"/>
      <c r="K55" s="1283"/>
      <c r="L55" s="581" t="s">
        <v>246</v>
      </c>
      <c r="M55" s="582" t="s">
        <v>243</v>
      </c>
      <c r="O55" s="1281" t="s">
        <v>335</v>
      </c>
      <c r="P55" s="1282"/>
      <c r="Q55" s="1282"/>
      <c r="R55" s="1283"/>
      <c r="S55" s="581" t="s">
        <v>246</v>
      </c>
      <c r="T55" s="582" t="s">
        <v>243</v>
      </c>
    </row>
    <row r="56" spans="1:20" ht="13.5" thickBot="1">
      <c r="A56" s="564" t="s">
        <v>333</v>
      </c>
      <c r="B56" s="1272" t="s">
        <v>245</v>
      </c>
      <c r="C56" s="1273"/>
      <c r="D56" s="1274"/>
      <c r="E56" s="583"/>
      <c r="F56" s="584"/>
      <c r="H56" s="564" t="s">
        <v>333</v>
      </c>
      <c r="I56" s="1272" t="s">
        <v>245</v>
      </c>
      <c r="J56" s="1273"/>
      <c r="K56" s="1274"/>
      <c r="L56" s="583"/>
      <c r="M56" s="584"/>
      <c r="O56" s="564" t="s">
        <v>333</v>
      </c>
      <c r="P56" s="1272" t="s">
        <v>245</v>
      </c>
      <c r="Q56" s="1273"/>
      <c r="R56" s="1274"/>
      <c r="S56" s="583"/>
      <c r="T56" s="584"/>
    </row>
    <row r="57" spans="1:20" ht="14">
      <c r="A57" s="570" t="s">
        <v>113</v>
      </c>
      <c r="B57" s="566">
        <v>2017</v>
      </c>
      <c r="C57" s="566">
        <v>2017</v>
      </c>
      <c r="D57" s="567">
        <v>2018</v>
      </c>
      <c r="E57" s="585"/>
      <c r="F57" s="586"/>
      <c r="H57" s="570" t="s">
        <v>113</v>
      </c>
      <c r="I57" s="566">
        <v>2010</v>
      </c>
      <c r="J57" s="566">
        <v>2010</v>
      </c>
      <c r="K57" s="567">
        <v>2011</v>
      </c>
      <c r="L57" s="585"/>
      <c r="M57" s="586"/>
      <c r="O57" s="570" t="s">
        <v>113</v>
      </c>
      <c r="P57" s="566">
        <v>2010</v>
      </c>
      <c r="Q57" s="566">
        <v>2010</v>
      </c>
      <c r="R57" s="567">
        <v>2011</v>
      </c>
      <c r="S57" s="585"/>
      <c r="T57" s="586"/>
    </row>
    <row r="58" spans="1:20">
      <c r="A58" s="573">
        <v>0</v>
      </c>
      <c r="B58" s="568">
        <v>0</v>
      </c>
      <c r="C58" s="568">
        <v>0</v>
      </c>
      <c r="D58" s="569">
        <v>1.0000000000000001E-5</v>
      </c>
      <c r="E58" s="568">
        <f>IF(B58=0,0.00001,0.5*(MAX(B58:D58)-MIN(B58:D58)))</f>
        <v>1.0000000000000001E-5</v>
      </c>
      <c r="F58" s="572">
        <v>1.0000000000000001E-5</v>
      </c>
      <c r="H58" s="573">
        <v>0</v>
      </c>
      <c r="I58" s="568">
        <v>0</v>
      </c>
      <c r="J58" s="568">
        <v>0</v>
      </c>
      <c r="K58" s="568">
        <v>0</v>
      </c>
      <c r="L58" s="568">
        <f>IF(I58=0,0.00001,0.5*(MAX(I58:K58)-MIN(I58:K58)))</f>
        <v>1.0000000000000001E-5</v>
      </c>
      <c r="M58" s="572">
        <v>9.9999999999999995E-7</v>
      </c>
      <c r="O58" s="573">
        <v>0</v>
      </c>
      <c r="P58" s="568">
        <v>0</v>
      </c>
      <c r="Q58" s="568">
        <v>0</v>
      </c>
      <c r="R58" s="569">
        <v>9.9999999999999995E-7</v>
      </c>
      <c r="S58" s="568">
        <f>IF(P58=0,0.00001,0.5*(MAX(P58:R58)-MIN(P58:R58)))</f>
        <v>1.0000000000000001E-5</v>
      </c>
      <c r="T58" s="572">
        <v>9.9999999999999995E-7</v>
      </c>
    </row>
    <row r="59" spans="1:20">
      <c r="A59" s="573">
        <v>70.599999999999994</v>
      </c>
      <c r="B59" s="568">
        <v>0</v>
      </c>
      <c r="C59" s="568">
        <v>0</v>
      </c>
      <c r="D59" s="569">
        <v>1.0000000000000001E-5</v>
      </c>
      <c r="E59" s="568">
        <f t="shared" ref="E59:E64" si="15">IF(B59=0,0.00001,0.5*(MAX(B59:D59)-MIN(B59:D59)))</f>
        <v>1.0000000000000001E-5</v>
      </c>
      <c r="F59" s="572">
        <v>1.0000000000000001E-5</v>
      </c>
      <c r="H59" s="573">
        <v>50</v>
      </c>
      <c r="I59" s="568">
        <v>0</v>
      </c>
      <c r="J59" s="568">
        <v>0</v>
      </c>
      <c r="K59" s="568">
        <v>3.4</v>
      </c>
      <c r="L59" s="568">
        <f t="shared" ref="L59:L64" si="16">IF(I59=0,0.00001,0.5*(MAX(I59:K59)-MIN(I59:K59)))</f>
        <v>1.0000000000000001E-5</v>
      </c>
      <c r="M59" s="572">
        <v>9.9999999999999995E-7</v>
      </c>
      <c r="O59" s="573">
        <v>50</v>
      </c>
      <c r="P59" s="568">
        <v>0</v>
      </c>
      <c r="Q59" s="568">
        <v>0</v>
      </c>
      <c r="R59" s="568">
        <v>3.4</v>
      </c>
      <c r="S59" s="568">
        <f t="shared" ref="S59:S64" si="17">IF(P59=0,0.00001,0.5*(MAX(P59:R59)-MIN(P59:R59)))</f>
        <v>1.0000000000000001E-5</v>
      </c>
      <c r="T59" s="572">
        <v>9.9999999999999995E-7</v>
      </c>
    </row>
    <row r="60" spans="1:20">
      <c r="A60" s="573">
        <v>137.1</v>
      </c>
      <c r="B60" s="568">
        <v>0</v>
      </c>
      <c r="C60" s="568">
        <v>0</v>
      </c>
      <c r="D60" s="569">
        <v>1.0000000000000001E-5</v>
      </c>
      <c r="E60" s="568">
        <f t="shared" si="15"/>
        <v>1.0000000000000001E-5</v>
      </c>
      <c r="F60" s="572">
        <v>1.0000000000000001E-5</v>
      </c>
      <c r="H60" s="573">
        <v>100</v>
      </c>
      <c r="I60" s="568">
        <v>0</v>
      </c>
      <c r="J60" s="568">
        <v>0</v>
      </c>
      <c r="K60" s="568">
        <v>4.7</v>
      </c>
      <c r="L60" s="568">
        <f t="shared" si="16"/>
        <v>1.0000000000000001E-5</v>
      </c>
      <c r="M60" s="572">
        <v>9.9999999999999995E-7</v>
      </c>
      <c r="O60" s="573">
        <v>100</v>
      </c>
      <c r="P60" s="568">
        <v>0</v>
      </c>
      <c r="Q60" s="568">
        <v>0</v>
      </c>
      <c r="R60" s="568">
        <v>4.7</v>
      </c>
      <c r="S60" s="568">
        <f t="shared" si="17"/>
        <v>1.0000000000000001E-5</v>
      </c>
      <c r="T60" s="572">
        <v>9.9999999999999995E-7</v>
      </c>
    </row>
    <row r="61" spans="1:20">
      <c r="A61" s="573">
        <v>271.5</v>
      </c>
      <c r="B61" s="569">
        <v>0</v>
      </c>
      <c r="C61" s="569">
        <v>0</v>
      </c>
      <c r="D61" s="569">
        <v>1.0000000000000001E-5</v>
      </c>
      <c r="E61" s="568">
        <f t="shared" si="15"/>
        <v>1.0000000000000001E-5</v>
      </c>
      <c r="F61" s="572">
        <v>1.0000000000000001E-5</v>
      </c>
      <c r="H61" s="573">
        <v>150</v>
      </c>
      <c r="I61" s="569">
        <v>0</v>
      </c>
      <c r="J61" s="569">
        <v>0</v>
      </c>
      <c r="K61" s="568">
        <v>2.7</v>
      </c>
      <c r="L61" s="568">
        <f t="shared" si="16"/>
        <v>1.0000000000000001E-5</v>
      </c>
      <c r="M61" s="572">
        <v>9.9999999999999995E-7</v>
      </c>
      <c r="O61" s="573">
        <v>150</v>
      </c>
      <c r="P61" s="569">
        <v>0</v>
      </c>
      <c r="Q61" s="569">
        <v>0</v>
      </c>
      <c r="R61" s="568">
        <v>2.7</v>
      </c>
      <c r="S61" s="568">
        <f t="shared" si="17"/>
        <v>1.0000000000000001E-5</v>
      </c>
      <c r="T61" s="572">
        <v>9.9999999999999995E-7</v>
      </c>
    </row>
    <row r="62" spans="1:20">
      <c r="A62" s="573">
        <v>500</v>
      </c>
      <c r="B62" s="569">
        <v>0</v>
      </c>
      <c r="C62" s="569">
        <v>0</v>
      </c>
      <c r="D62" s="569">
        <v>1.0000000000000001E-5</v>
      </c>
      <c r="E62" s="568">
        <f t="shared" si="15"/>
        <v>1.0000000000000001E-5</v>
      </c>
      <c r="F62" s="572">
        <v>1.0000000000000001E-5</v>
      </c>
      <c r="H62" s="573">
        <v>200</v>
      </c>
      <c r="I62" s="569">
        <v>0</v>
      </c>
      <c r="J62" s="569">
        <v>0</v>
      </c>
      <c r="K62" s="569">
        <v>7.6</v>
      </c>
      <c r="L62" s="568">
        <f t="shared" si="16"/>
        <v>1.0000000000000001E-5</v>
      </c>
      <c r="M62" s="572">
        <v>9.9999999999999995E-7</v>
      </c>
      <c r="O62" s="573">
        <v>200</v>
      </c>
      <c r="P62" s="569">
        <v>0</v>
      </c>
      <c r="Q62" s="569">
        <v>0</v>
      </c>
      <c r="R62" s="569">
        <v>7.6</v>
      </c>
      <c r="S62" s="568">
        <f t="shared" si="17"/>
        <v>1.0000000000000001E-5</v>
      </c>
      <c r="T62" s="572">
        <v>9.9999999999999995E-7</v>
      </c>
    </row>
    <row r="63" spans="1:20">
      <c r="A63" s="573">
        <v>0</v>
      </c>
      <c r="B63" s="569">
        <v>0</v>
      </c>
      <c r="C63" s="569">
        <v>0</v>
      </c>
      <c r="D63" s="569">
        <v>1.0000000000000001E-5</v>
      </c>
      <c r="E63" s="568">
        <f t="shared" si="15"/>
        <v>1.0000000000000001E-5</v>
      </c>
      <c r="F63" s="572">
        <v>1.0000000000000001E-5</v>
      </c>
      <c r="H63" s="573">
        <v>300</v>
      </c>
      <c r="I63" s="569">
        <v>0</v>
      </c>
      <c r="J63" s="569">
        <v>0</v>
      </c>
      <c r="K63" s="569">
        <v>13.9</v>
      </c>
      <c r="L63" s="568">
        <f t="shared" si="16"/>
        <v>1.0000000000000001E-5</v>
      </c>
      <c r="M63" s="572">
        <v>9.9999999999999995E-7</v>
      </c>
      <c r="O63" s="573">
        <v>300</v>
      </c>
      <c r="P63" s="569">
        <v>0</v>
      </c>
      <c r="Q63" s="569">
        <v>0</v>
      </c>
      <c r="R63" s="569">
        <v>13.9</v>
      </c>
      <c r="S63" s="568">
        <f t="shared" si="17"/>
        <v>1.0000000000000001E-5</v>
      </c>
      <c r="T63" s="572">
        <v>9.9999999999999995E-7</v>
      </c>
    </row>
    <row r="64" spans="1:20">
      <c r="A64" s="573">
        <v>0</v>
      </c>
      <c r="B64" s="569">
        <v>0</v>
      </c>
      <c r="C64" s="569">
        <v>0</v>
      </c>
      <c r="D64" s="569">
        <v>1.0000000000000001E-5</v>
      </c>
      <c r="E64" s="568">
        <f t="shared" si="15"/>
        <v>1.0000000000000001E-5</v>
      </c>
      <c r="F64" s="572">
        <v>1.0000000000000001E-5</v>
      </c>
      <c r="H64" s="573">
        <v>400</v>
      </c>
      <c r="I64" s="569">
        <v>0</v>
      </c>
      <c r="J64" s="569">
        <v>0</v>
      </c>
      <c r="K64" s="569">
        <v>13.9</v>
      </c>
      <c r="L64" s="568">
        <f t="shared" si="16"/>
        <v>1.0000000000000001E-5</v>
      </c>
      <c r="M64" s="572">
        <v>9.9999999999999995E-7</v>
      </c>
      <c r="O64" s="573">
        <v>400</v>
      </c>
      <c r="P64" s="569">
        <v>0</v>
      </c>
      <c r="Q64" s="569">
        <v>0</v>
      </c>
      <c r="R64" s="569">
        <v>13.9</v>
      </c>
      <c r="S64" s="568">
        <f t="shared" si="17"/>
        <v>1.0000000000000001E-5</v>
      </c>
      <c r="T64" s="572">
        <v>9.9999999999999995E-7</v>
      </c>
    </row>
    <row r="65" spans="1:26" ht="13" thickBot="1">
      <c r="A65" s="574">
        <v>0</v>
      </c>
      <c r="B65" s="575">
        <v>0</v>
      </c>
      <c r="C65" s="575">
        <v>0</v>
      </c>
      <c r="D65" s="569">
        <v>1.0000000000000001E-5</v>
      </c>
      <c r="E65" s="568">
        <f>IF(B65=0,0.00001,0.5*(MAX(B65:D65)-MIN(B65:D65)))</f>
        <v>1.0000000000000001E-5</v>
      </c>
      <c r="F65" s="572">
        <v>1.0000000000000001E-5</v>
      </c>
      <c r="H65" s="574">
        <v>500</v>
      </c>
      <c r="I65" s="575">
        <v>0</v>
      </c>
      <c r="J65" s="575">
        <v>0</v>
      </c>
      <c r="K65" s="575">
        <v>13.9</v>
      </c>
      <c r="L65" s="568">
        <f>IF(I65=0,0.00001,0.5*(MAX(I65:K65)-MIN(I65:K65)))</f>
        <v>1.0000000000000001E-5</v>
      </c>
      <c r="M65" s="572">
        <v>9.9999999999999995E-7</v>
      </c>
      <c r="O65" s="574">
        <v>500</v>
      </c>
      <c r="P65" s="575">
        <v>0</v>
      </c>
      <c r="Q65" s="575">
        <v>0</v>
      </c>
      <c r="R65" s="575">
        <v>13.9</v>
      </c>
      <c r="S65" s="568">
        <f>IF(P65=0,0.00001,0.5*(MAX(P65:R65)-MIN(P65:R65)))</f>
        <v>1.0000000000000001E-5</v>
      </c>
      <c r="T65" s="572">
        <v>9.9999999999999995E-7</v>
      </c>
    </row>
    <row r="68" spans="1:26" ht="13" thickBot="1"/>
    <row r="69" spans="1:26" ht="14">
      <c r="A69" s="1262" t="str">
        <f>IF(ID!$B$74=$A$106,A2,IF(ID!$B$74=$A$107,H2,IF(ID!$B$74=$A$108,O2,IF(ID!$B$74=$A$109,A35,IF(ID!$B$74=$A$110,H35,IF(ID!$B$74=$A$111,O35))))))</f>
        <v>Electrosurgical Analyzer, Merek : Fluke, Model : QA-ES III, SN : 4639004</v>
      </c>
      <c r="B69" s="1263"/>
      <c r="C69" s="1263"/>
      <c r="D69" s="1263"/>
      <c r="E69" s="1263"/>
      <c r="F69" s="1264"/>
      <c r="O69" s="1254" t="s">
        <v>338</v>
      </c>
      <c r="P69" s="1255"/>
      <c r="Q69" s="1255"/>
      <c r="R69" s="1256"/>
      <c r="U69"/>
      <c r="X69" s="106"/>
      <c r="Y69" s="106"/>
      <c r="Z69" s="106"/>
    </row>
    <row r="70" spans="1:26" ht="14.5" thickBot="1">
      <c r="A70" s="1265" t="str">
        <f>IF(ID!$B$74=$A$106,A3,IF(ID!$B$74=$A$107,H3,IF(ID!$B$74=$A$108,O3,IF(ID!$B$74=$A$109,A36,IF(ID!$B$74=$A$110,H36,IF(ID!$B$74=$A$111,O36))))))</f>
        <v>KOREKSI RESISTANCE</v>
      </c>
      <c r="B70" s="1259"/>
      <c r="C70" s="1259"/>
      <c r="D70" s="1260"/>
      <c r="E70" s="1266" t="str">
        <f>IF(ID!$B$74=$A$106,E3,IF(ID!$B$74=$A$107,L3,IF(ID!$B$74=$A$108,S3,IF(ID!$B$74=$A$109,E36,IF(ID!$B$74=$A$110,L36,IF(ID!$B$74=$A$111,S36))))))</f>
        <v>DRIFT</v>
      </c>
      <c r="F70" s="1269" t="str">
        <f>IF(ID!$B$74=$A$106,F3,IF(ID!$B$74=$A$107,M3,IF(ID!$B$74=$A$108,T3,IF(ID!$B$74=$A$109,F36,IF(ID!$B$74=$A$110,M36,IF(ID!$B$74=$A$111,T36))))))</f>
        <v>U95</v>
      </c>
      <c r="O70" s="3"/>
      <c r="P70" s="2"/>
      <c r="Q70" s="2"/>
      <c r="R70" s="72"/>
      <c r="U70"/>
    </row>
    <row r="71" spans="1:26" ht="14">
      <c r="A71" s="589" t="str">
        <f>IF(ID!$B$74=$A$106,A4,IF(ID!$B$74=$A$107,H4,IF(ID!$B$74=$A$108,O4,IF(ID!$B$74=$A$109,A37,IF(ID!$B$74=$A$110,H37,IF(ID!$B$74=$A$111,O37))))))</f>
        <v xml:space="preserve">Setting </v>
      </c>
      <c r="B71" s="1258" t="str">
        <f>IF(ID!$B$74=$A$106,B4,IF(ID!$B$74=$A$107,I4,IF(ID!$B$74=$A$108,P4,IF(ID!$B$74=$A$109,B37,IF(ID!$B$74=$A$110,I37,IF(ID!$B$74=$A$111,P37))))))</f>
        <v>Tahun</v>
      </c>
      <c r="C71" s="1259"/>
      <c r="D71" s="1260"/>
      <c r="E71" s="1267"/>
      <c r="F71" s="1270"/>
      <c r="O71" s="1254"/>
      <c r="P71" s="1255"/>
      <c r="Q71" s="1255"/>
      <c r="R71" s="1256"/>
      <c r="U71"/>
    </row>
    <row r="72" spans="1:26" ht="14.5" thickBot="1">
      <c r="A72" s="589" t="str">
        <f>IF(ID!$B$74=$A$106,A5,IF(ID!$B$74=$A$107,H5,IF(ID!$B$74=$A$108,O5,IF(ID!$B$74=$A$109,A38,IF(ID!$B$74=$A$110,H38,IF(ID!$B$74=$A$111,O38))))))</f>
        <v>Ω</v>
      </c>
      <c r="B72" s="590">
        <f>IF(ID!$B$74=$A$106,B5,IF(ID!$B$74=$A$107,I5,IF(ID!$B$74=$A$108,P5,IF(ID!$B$74=$A$109,B38,IF(ID!$B$74=$A$110,I38,IF(ID!$B$74=$A$111,P38))))))</f>
        <v>2017</v>
      </c>
      <c r="C72" s="590">
        <f>IF(ID!$B$74=$A$106,C5,IF(ID!$B$74=$A$107,J5,IF(ID!$B$74=$A$108,Q5,IF(ID!$B$74=$A$109,C38,IF(ID!$B$74=$A$110,J38,IF(ID!$B$74=$A$111,Q38))))))</f>
        <v>2017</v>
      </c>
      <c r="D72" s="590">
        <f>IF(ID!$B$74=$A$106,D5,IF(ID!$B$74=$A$107,K5,IF(ID!$B$74=$A$108,R5,IF(ID!$B$74=$A$109,D38,IF(ID!$B$74=$A$110,K38,IF(ID!$B$74=$A$111,R38))))))</f>
        <v>2018</v>
      </c>
      <c r="E72" s="1268"/>
      <c r="F72" s="1271"/>
      <c r="O72" s="3"/>
      <c r="P72" s="109"/>
      <c r="Q72" s="2"/>
      <c r="R72" s="110"/>
      <c r="U72"/>
    </row>
    <row r="73" spans="1:26" ht="14">
      <c r="A73" s="589">
        <f>IF(ID!$B$74=$A$106,A6,IF(ID!$B$74=$A$107,H6,IF(ID!$B$74=$A$108,O6,IF(ID!$B$74=$A$109,A39,IF(ID!$B$74=$A$110,H39,IF(ID!$B$74=$A$111,O39))))))</f>
        <v>0</v>
      </c>
      <c r="B73" s="590">
        <f>IF(ID!$B$74=$A$106,B6,IF(ID!$B$74=$A$107,I6,IF(ID!$B$74=$A$108,P6,IF(ID!$B$74=$A$109,B39,IF(ID!$B$74=$A$110,I39,IF(ID!$B$74=$A$111,P39))))))</f>
        <v>0</v>
      </c>
      <c r="C73" s="590">
        <f>IF(ID!$B$74=$A$106,C6,IF(ID!$B$74=$A$107,J6,IF(ID!$B$74=$A$108,Q6,IF(ID!$B$74=$A$109,C39,IF(ID!$B$74=$A$110,J39,IF(ID!$B$74=$A$111,Q39))))))</f>
        <v>0</v>
      </c>
      <c r="D73" s="590">
        <f>IF(ID!$B$74=$A$106,D6,IF(ID!$B$74=$A$107,K6,IF(ID!$B$74=$A$108,R6,IF(ID!$B$74=$A$109,D39,IF(ID!$B$74=$A$110,K39,IF(ID!$B$74=$A$111,R39))))))</f>
        <v>1.0000000000000001E-5</v>
      </c>
      <c r="E73" s="590">
        <f>IF(ID!$B$74=$A$106,E6,IF(ID!$B$74=$A$107,L6,IF(ID!$B$74=$A$108,S6,IF(ID!$B$74=$A$109,E39,IF(ID!$B$74=$A$110,L39,IF(ID!$B$74=$A$111,S39))))))</f>
        <v>0</v>
      </c>
      <c r="F73" s="591">
        <f>IF(ID!$B$74=$A$106,F6,IF(ID!$B$74=$A$107,M6,IF(ID!$B$74=$A$108,T6,IF(ID!$B$74=$A$109,F39,IF(ID!$B$74=$A$110,M39,IF(ID!$B$74=$A$111,T39))))))</f>
        <v>9.9999999999999995E-8</v>
      </c>
      <c r="O73" s="1254"/>
      <c r="P73" s="1255"/>
      <c r="Q73" s="1255"/>
      <c r="R73" s="1256"/>
      <c r="U73"/>
    </row>
    <row r="74" spans="1:26" ht="14.5" thickBot="1">
      <c r="A74" s="589">
        <f>IF(ID!$B$74=$A$106,A7,IF(ID!$B$74=$A$107,H7,IF(ID!$B$74=$A$108,O7,IF(ID!$B$74=$A$109,A40,IF(ID!$B$74=$A$110,H40,IF(ID!$B$74=$A$111,O40))))))</f>
        <v>10.11</v>
      </c>
      <c r="B74" s="590">
        <f>IF(ID!$B$74=$A$106,B7,IF(ID!$B$74=$A$107,I7,IF(ID!$B$74=$A$108,P7,IF(ID!$B$74=$A$109,B40,IF(ID!$B$74=$A$110,I40,IF(ID!$B$74=$A$111,P40))))))</f>
        <v>0</v>
      </c>
      <c r="C74" s="590">
        <f>IF(ID!$B$74=$A$106,C7,IF(ID!$B$74=$A$107,J7,IF(ID!$B$74=$A$108,Q7,IF(ID!$B$74=$A$109,C40,IF(ID!$B$74=$A$110,J40,IF(ID!$B$74=$A$111,Q40))))))</f>
        <v>0</v>
      </c>
      <c r="D74" s="590">
        <f>IF(ID!$B$74=$A$106,D7,IF(ID!$B$74=$A$107,K7,IF(ID!$B$74=$A$108,R7,IF(ID!$B$74=$A$109,D40,IF(ID!$B$74=$A$110,K40,IF(ID!$B$74=$A$111,R40))))))</f>
        <v>1.0000000000000001E-5</v>
      </c>
      <c r="E74" s="590">
        <f>IF(ID!$B$74=$A$106,E7,IF(ID!$B$74=$A$107,L7,IF(ID!$B$74=$A$108,S7,IF(ID!$B$74=$A$109,E40,IF(ID!$B$74=$A$110,L40,IF(ID!$B$74=$A$111,S40))))))</f>
        <v>0</v>
      </c>
      <c r="F74" s="591">
        <f>IF(ID!$B$74=$A$106,F7,IF(ID!$B$74=$A$107,M7,IF(ID!$B$74=$A$108,T7,IF(ID!$B$74=$A$109,F40,IF(ID!$B$74=$A$110,M40,IF(ID!$B$74=$A$111,T40))))))</f>
        <v>9.9999999999999995E-8</v>
      </c>
      <c r="O74" s="3"/>
      <c r="P74" s="2"/>
      <c r="Q74" s="2"/>
      <c r="R74" s="72"/>
      <c r="U74"/>
    </row>
    <row r="75" spans="1:26" ht="14">
      <c r="A75" s="589">
        <f>IF(ID!$B$74=$A$106,A8,IF(ID!$B$74=$A$107,H8,IF(ID!$B$74=$A$108,O8,IF(ID!$B$74=$A$109,A41,IF(ID!$B$74=$A$110,H41,IF(ID!$B$74=$A$111,O41))))))</f>
        <v>50.28</v>
      </c>
      <c r="B75" s="590">
        <f>IF(ID!$B$74=$A$106,B8,IF(ID!$B$74=$A$107,I8,IF(ID!$B$74=$A$108,P8,IF(ID!$B$74=$A$109,B41,IF(ID!$B$74=$A$110,I41,IF(ID!$B$74=$A$111,P41))))))</f>
        <v>0</v>
      </c>
      <c r="C75" s="590">
        <f>IF(ID!$B$74=$A$106,C8,IF(ID!$B$74=$A$107,J8,IF(ID!$B$74=$A$108,Q8,IF(ID!$B$74=$A$109,C41,IF(ID!$B$74=$A$110,J41,IF(ID!$B$74=$A$111,Q41))))))</f>
        <v>0</v>
      </c>
      <c r="D75" s="590">
        <f>IF(ID!$B$74=$A$106,D8,IF(ID!$B$74=$A$107,K8,IF(ID!$B$74=$A$108,R8,IF(ID!$B$74=$A$109,D41,IF(ID!$B$74=$A$110,K41,IF(ID!$B$74=$A$111,R41))))))</f>
        <v>1.0000000000000001E-5</v>
      </c>
      <c r="E75" s="590">
        <f>IF(ID!$B$74=$A$106,E8,IF(ID!$B$74=$A$107,L8,IF(ID!$B$74=$A$108,S8,IF(ID!$B$74=$A$109,E41,IF(ID!$B$74=$A$110,L41,IF(ID!$B$74=$A$111,S41))))))</f>
        <v>0</v>
      </c>
      <c r="F75" s="591">
        <f>IF(ID!$B$74=$A$106,F8,IF(ID!$B$74=$A$107,M8,IF(ID!$B$74=$A$108,T8,IF(ID!$B$74=$A$109,F41,IF(ID!$B$74=$A$110,M41,IF(ID!$B$74=$A$111,T41))))))</f>
        <v>9.9999999999999995E-8</v>
      </c>
      <c r="O75" s="1254" t="s">
        <v>339</v>
      </c>
      <c r="P75" s="1255"/>
      <c r="Q75" s="1255"/>
      <c r="R75" s="1257"/>
      <c r="S75" s="1254" t="s">
        <v>340</v>
      </c>
      <c r="T75" s="1255"/>
      <c r="U75" s="1255"/>
      <c r="V75" s="1257"/>
      <c r="W75" s="1254" t="s">
        <v>341</v>
      </c>
      <c r="X75" s="1255"/>
      <c r="Y75" s="1255"/>
      <c r="Z75" s="1256"/>
    </row>
    <row r="76" spans="1:26" ht="14">
      <c r="A76" s="589">
        <f>IF(ID!$B$74=$A$106,A9,IF(ID!$B$74=$A$107,H9,IF(ID!$B$74=$A$108,O9,IF(ID!$B$74=$A$109,A42,IF(ID!$B$74=$A$110,H42,IF(ID!$B$74=$A$111,O42))))))</f>
        <v>100.24</v>
      </c>
      <c r="B76" s="590">
        <f>IF(ID!$B$74=$A$106,B9,IF(ID!$B$74=$A$107,I9,IF(ID!$B$74=$A$108,P9,IF(ID!$B$74=$A$109,B42,IF(ID!$B$74=$A$110,I42,IF(ID!$B$74=$A$111,P42))))))</f>
        <v>0</v>
      </c>
      <c r="C76" s="590">
        <f>IF(ID!$B$74=$A$106,C9,IF(ID!$B$74=$A$107,J9,IF(ID!$B$74=$A$108,Q9,IF(ID!$B$74=$A$109,C42,IF(ID!$B$74=$A$110,J42,IF(ID!$B$74=$A$111,Q42))))))</f>
        <v>0</v>
      </c>
      <c r="D76" s="590">
        <f>IF(ID!$B$74=$A$106,D9,IF(ID!$B$74=$A$107,K9,IF(ID!$B$74=$A$108,R9,IF(ID!$B$74=$A$109,D42,IF(ID!$B$74=$A$110,K42,IF(ID!$B$74=$A$111,R42))))))</f>
        <v>1.0000000000000001E-5</v>
      </c>
      <c r="E76" s="590">
        <f>IF(ID!$B$74=$A$106,E9,IF(ID!$B$74=$A$107,L9,IF(ID!$B$74=$A$108,S9,IF(ID!$B$74=$A$109,E42,IF(ID!$B$74=$A$110,L42,IF(ID!$B$74=$A$111,S42))))))</f>
        <v>0</v>
      </c>
      <c r="F76" s="591">
        <f>IF(ID!$B$74=$A$106,F9,IF(ID!$B$74=$A$107,M9,IF(ID!$B$74=$A$108,T9,IF(ID!$B$74=$A$109,F42,IF(ID!$B$74=$A$110,M42,IF(ID!$B$74=$A$111,T42))))))</f>
        <v>9.9999999999999995E-8</v>
      </c>
      <c r="O76" s="3">
        <f>ID!M44</f>
        <v>20</v>
      </c>
      <c r="P76" s="2"/>
      <c r="Q76" s="2">
        <f>FORECAST(O76,$D$92:$D$99,$A$92:$A$99)</f>
        <v>1.0000000000000001E-5</v>
      </c>
      <c r="R76" s="72"/>
      <c r="S76" s="3">
        <f t="shared" ref="S76:S83" si="18">O76</f>
        <v>20</v>
      </c>
      <c r="T76" s="2"/>
      <c r="U76" s="2">
        <f t="shared" ref="U76:U83" si="19">FORECAST(S76,$E$92:$E$99,$A$92:$A$99)</f>
        <v>1.0000000000000001E-5</v>
      </c>
      <c r="V76" s="72"/>
      <c r="W76" s="3">
        <f t="shared" ref="W76:W83" si="20">O76</f>
        <v>20</v>
      </c>
      <c r="X76" s="2"/>
      <c r="Y76" s="2">
        <f>FORECAST(W76,$F$92:$F$99,$A$92:$A$99)</f>
        <v>1.0000000000000001E-5</v>
      </c>
      <c r="Z76" s="72"/>
    </row>
    <row r="77" spans="1:26" ht="14">
      <c r="A77" s="589">
        <f>IF(ID!$B$74=$A$106,A10,IF(ID!$B$74=$A$107,H10,IF(ID!$B$74=$A$108,O10,IF(ID!$B$74=$A$109,A43,IF(ID!$B$74=$A$110,H43,IF(ID!$B$74=$A$111,O43))))))</f>
        <v>200.21</v>
      </c>
      <c r="B77" s="590">
        <f>IF(ID!$B$74=$A$106,B10,IF(ID!$B$74=$A$107,I10,IF(ID!$B$74=$A$108,P10,IF(ID!$B$74=$A$109,B43,IF(ID!$B$74=$A$110,I43,IF(ID!$B$74=$A$111,P43))))))</f>
        <v>0</v>
      </c>
      <c r="C77" s="590">
        <f>IF(ID!$B$74=$A$106,C10,IF(ID!$B$74=$A$107,J10,IF(ID!$B$74=$A$108,Q10,IF(ID!$B$74=$A$109,C43,IF(ID!$B$74=$A$110,J43,IF(ID!$B$74=$A$111,Q43))))))</f>
        <v>0</v>
      </c>
      <c r="D77" s="590">
        <f>IF(ID!$B$74=$A$106,D10,IF(ID!$B$74=$A$107,K10,IF(ID!$B$74=$A$108,R10,IF(ID!$B$74=$A$109,D43,IF(ID!$B$74=$A$110,K43,IF(ID!$B$74=$A$111,R43))))))</f>
        <v>1.0000000000000001E-5</v>
      </c>
      <c r="E77" s="590">
        <f>IF(ID!$B$74=$A$106,E10,IF(ID!$B$74=$A$107,L10,IF(ID!$B$74=$A$108,S10,IF(ID!$B$74=$A$109,E43,IF(ID!$B$74=$A$110,L43,IF(ID!$B$74=$A$111,S43))))))</f>
        <v>0</v>
      </c>
      <c r="F77" s="591">
        <f>IF(ID!$B$74=$A$106,F10,IF(ID!$B$74=$A$107,M10,IF(ID!$B$74=$A$108,T10,IF(ID!$B$74=$A$109,F43,IF(ID!$B$74=$A$110,M43,IF(ID!$B$74=$A$111,T43))))))</f>
        <v>9.9999999999999995E-8</v>
      </c>
      <c r="O77" s="3">
        <f>ID!M45</f>
        <v>50</v>
      </c>
      <c r="P77" s="2"/>
      <c r="Q77" s="2">
        <f t="shared" ref="Q77:Q83" si="21">FORECAST(O77,$D$92:$D$99,$A$92:$A$99)</f>
        <v>1.0000000000000001E-5</v>
      </c>
      <c r="R77" s="72"/>
      <c r="S77" s="3">
        <f t="shared" si="18"/>
        <v>50</v>
      </c>
      <c r="T77" s="2"/>
      <c r="U77" s="2">
        <f t="shared" si="19"/>
        <v>1.0000000000000001E-5</v>
      </c>
      <c r="V77" s="72"/>
      <c r="W77" s="3">
        <f t="shared" si="20"/>
        <v>50</v>
      </c>
      <c r="X77" s="2"/>
      <c r="Y77" s="2">
        <f t="shared" ref="Y77:Y83" si="22">FORECAST(W77,$F$92:$F$99,$A$92:$A$99)</f>
        <v>1.0000000000000001E-5</v>
      </c>
      <c r="Z77" s="72"/>
    </row>
    <row r="78" spans="1:26" ht="14">
      <c r="A78" s="589">
        <f>IF(ID!$B$74=$A$106,A11,IF(ID!$B$74=$A$107,H11,IF(ID!$B$74=$A$108,O11,IF(ID!$B$74=$A$109,A44,IF(ID!$B$74=$A$110,H44,IF(ID!$B$74=$A$111,O44))))))</f>
        <v>470.96</v>
      </c>
      <c r="B78" s="590">
        <f>IF(ID!$B$74=$A$106,B11,IF(ID!$B$74=$A$107,I11,IF(ID!$B$74=$A$108,P11,IF(ID!$B$74=$A$109,B44,IF(ID!$B$74=$A$110,I44,IF(ID!$B$74=$A$111,P44))))))</f>
        <v>0</v>
      </c>
      <c r="C78" s="590">
        <f>IF(ID!$B$74=$A$106,C11,IF(ID!$B$74=$A$107,J11,IF(ID!$B$74=$A$108,Q11,IF(ID!$B$74=$A$109,C44,IF(ID!$B$74=$A$110,J44,IF(ID!$B$74=$A$111,Q44))))))</f>
        <v>0</v>
      </c>
      <c r="D78" s="590">
        <f>IF(ID!$B$74=$A$106,D11,IF(ID!$B$74=$A$107,K11,IF(ID!$B$74=$A$108,R11,IF(ID!$B$74=$A$109,D44,IF(ID!$B$74=$A$110,K44,IF(ID!$B$74=$A$111,R44))))))</f>
        <v>1.0000000000000001E-5</v>
      </c>
      <c r="E78" s="590">
        <f>IF(ID!$B$74=$A$106,E11,IF(ID!$B$74=$A$107,L11,IF(ID!$B$74=$A$108,S11,IF(ID!$B$74=$A$109,E44,IF(ID!$B$74=$A$110,L44,IF(ID!$B$74=$A$111,S44))))))</f>
        <v>0</v>
      </c>
      <c r="F78" s="591">
        <f>IF(ID!$B$74=$A$106,F11,IF(ID!$B$74=$A$107,M11,IF(ID!$B$74=$A$108,T11,IF(ID!$B$74=$A$109,F44,IF(ID!$B$74=$A$110,M44,IF(ID!$B$74=$A$111,T44))))))</f>
        <v>9.9999999999999995E-8</v>
      </c>
      <c r="O78" s="3">
        <f>ID!M46</f>
        <v>80</v>
      </c>
      <c r="P78" s="2"/>
      <c r="Q78" s="2">
        <f t="shared" si="21"/>
        <v>1.0000000000000001E-5</v>
      </c>
      <c r="R78" s="72"/>
      <c r="S78" s="3">
        <f t="shared" si="18"/>
        <v>80</v>
      </c>
      <c r="T78" s="2"/>
      <c r="U78" s="2">
        <f t="shared" si="19"/>
        <v>1.0000000000000001E-5</v>
      </c>
      <c r="V78" s="72"/>
      <c r="W78" s="3">
        <f t="shared" si="20"/>
        <v>80</v>
      </c>
      <c r="X78" s="2"/>
      <c r="Y78" s="2">
        <f t="shared" si="22"/>
        <v>1.0000000000000001E-5</v>
      </c>
      <c r="Z78" s="72"/>
    </row>
    <row r="79" spans="1:26" ht="14">
      <c r="A79" s="1265" t="str">
        <f>IF(ID!$B$74=$A$106,A12,IF(ID!$B$74=$A$107,H12,IF(ID!$B$74=$A$108,O12,IF(ID!$B$74=$A$109,A45,IF(ID!$B$74=$A$110,H45,IF(ID!$B$74=$A$111,O45))))))</f>
        <v>KOREKSI Arus</v>
      </c>
      <c r="B79" s="1259"/>
      <c r="C79" s="1259"/>
      <c r="D79" s="1260"/>
      <c r="E79" s="1266" t="str">
        <f>IF(ID!$B$74=$A$106,E12,IF(ID!$B$74=$A$107,L12,IF(ID!$B$74=$A$108,S12,IF(ID!$B$74=$A$109,E45,IF(ID!$B$74=$A$110,L45,IF(ID!$B$74=$A$111,S45))))))</f>
        <v>DRIFT</v>
      </c>
      <c r="F79" s="1269" t="str">
        <f>IF(ID!$B$74=$A$106,F12,IF(ID!$B$74=$A$107,M12,IF(ID!$B$74=$A$108,T12,IF(ID!$B$74=$A$109,F45,IF(ID!$B$74=$A$110,M45,IF(ID!$B$74=$A$111,T45))))))</f>
        <v>U95</v>
      </c>
      <c r="O79" s="3">
        <f>ID!M47</f>
        <v>100</v>
      </c>
      <c r="P79" s="2"/>
      <c r="Q79" s="2">
        <f t="shared" si="21"/>
        <v>1.0000000000000001E-5</v>
      </c>
      <c r="R79" s="72"/>
      <c r="S79" s="3">
        <f t="shared" si="18"/>
        <v>100</v>
      </c>
      <c r="T79" s="2"/>
      <c r="U79" s="2">
        <f t="shared" si="19"/>
        <v>1.0000000000000001E-5</v>
      </c>
      <c r="V79" s="72"/>
      <c r="W79" s="3">
        <f t="shared" si="20"/>
        <v>100</v>
      </c>
      <c r="X79" s="2"/>
      <c r="Y79" s="2">
        <f t="shared" si="22"/>
        <v>1.0000000000000001E-5</v>
      </c>
      <c r="Z79" s="72"/>
    </row>
    <row r="80" spans="1:26" ht="14">
      <c r="A80" s="589" t="str">
        <f>IF(ID!$B$74=$A$106,A13,IF(ID!$B$74=$A$107,H13,IF(ID!$B$74=$A$108,O13,IF(ID!$B$74=$A$109,A46,IF(ID!$B$74=$A$110,H46,IF(ID!$B$74=$A$111,O46))))))</f>
        <v>Terbaca UUT</v>
      </c>
      <c r="B80" s="1258" t="str">
        <f>IF(ID!$B$74=$A$106,B13,IF(ID!$B$74=$A$107,I13,IF(ID!$B$74=$A$108,P13,IF(ID!$B$74=$A$109,B46,IF(ID!$B$74=$A$110,I46,IF(ID!$B$74=$A$111,P46))))))</f>
        <v>Tahun</v>
      </c>
      <c r="C80" s="1259"/>
      <c r="D80" s="1260"/>
      <c r="E80" s="1267"/>
      <c r="F80" s="1270"/>
      <c r="O80" s="3">
        <f>ID!M48</f>
        <v>150</v>
      </c>
      <c r="P80" s="2"/>
      <c r="Q80" s="2">
        <f t="shared" si="21"/>
        <v>1.0000000000000001E-5</v>
      </c>
      <c r="R80" s="72"/>
      <c r="S80" s="3">
        <f t="shared" si="18"/>
        <v>150</v>
      </c>
      <c r="T80" s="2"/>
      <c r="U80" s="2">
        <f t="shared" si="19"/>
        <v>1.0000000000000001E-5</v>
      </c>
      <c r="V80" s="72"/>
      <c r="W80" s="3">
        <f t="shared" si="20"/>
        <v>150</v>
      </c>
      <c r="X80" s="2"/>
      <c r="Y80" s="2">
        <f t="shared" si="22"/>
        <v>1.0000000000000001E-5</v>
      </c>
      <c r="Z80" s="72"/>
    </row>
    <row r="81" spans="1:26" ht="14">
      <c r="A81" s="589" t="str">
        <f>IF(ID!$B$74=$A$106,A14,IF(ID!$B$74=$A$107,H14,IF(ID!$B$74=$A$108,O14,IF(ID!$B$74=$A$109,A47,IF(ID!$B$74=$A$110,H47,IF(ID!$B$74=$A$111,O47))))))</f>
        <v>mA</v>
      </c>
      <c r="B81" s="590">
        <f>IF(ID!$B$74=$A$106,B14,IF(ID!$B$74=$A$107,I14,IF(ID!$B$74=$A$108,P14,IF(ID!$B$74=$A$109,B47,IF(ID!$B$74=$A$110,I47,IF(ID!$B$74=$A$111,P47))))))</f>
        <v>2017</v>
      </c>
      <c r="C81" s="590">
        <f>IF(ID!$B$74=$A$106,C14,IF(ID!$B$74=$A$107,J14,IF(ID!$B$74=$A$108,Q14,IF(ID!$B$74=$A$109,C47,IF(ID!$B$74=$A$110,J47,IF(ID!$B$74=$A$111,Q47))))))</f>
        <v>2017</v>
      </c>
      <c r="D81" s="590">
        <f>IF(ID!$B$74=$A$106,D14,IF(ID!$B$74=$A$107,K14,IF(ID!$B$74=$A$108,R14,IF(ID!$B$74=$A$109,D47,IF(ID!$B$74=$A$110,K47,IF(ID!$B$74=$A$111,R47))))))</f>
        <v>2018</v>
      </c>
      <c r="E81" s="1268"/>
      <c r="F81" s="1271"/>
      <c r="O81" s="595">
        <f>ID!M49</f>
        <v>232</v>
      </c>
      <c r="P81" s="596"/>
      <c r="Q81" s="596">
        <f t="shared" si="21"/>
        <v>1.0000000000000001E-5</v>
      </c>
      <c r="R81" s="597"/>
      <c r="S81" s="595">
        <f t="shared" si="18"/>
        <v>232</v>
      </c>
      <c r="T81" s="596"/>
      <c r="U81" s="596">
        <f t="shared" si="19"/>
        <v>1.0000000000000001E-5</v>
      </c>
      <c r="V81" s="597"/>
      <c r="W81" s="595">
        <f t="shared" si="20"/>
        <v>232</v>
      </c>
      <c r="X81" s="596"/>
      <c r="Y81" s="596">
        <f t="shared" si="22"/>
        <v>1.0000000000000001E-5</v>
      </c>
      <c r="Z81" s="597"/>
    </row>
    <row r="82" spans="1:26" ht="14">
      <c r="A82" s="589">
        <f>IF(ID!$B$74=$A$106,A15,IF(ID!$B$74=$A$107,H15,IF(ID!$B$74=$A$108,O15,IF(ID!$B$74=$A$109,A48,IF(ID!$B$74=$A$110,H48,IF(ID!$B$74=$A$111,O48))))))</f>
        <v>0</v>
      </c>
      <c r="B82" s="590">
        <f>IF(ID!$B$74=$A$106,B15,IF(ID!$B$74=$A$107,I15,IF(ID!$B$74=$A$108,P15,IF(ID!$B$74=$A$109,B48,IF(ID!$B$74=$A$110,I48,IF(ID!$B$74=$A$111,P48))))))</f>
        <v>0</v>
      </c>
      <c r="C82" s="590">
        <f>IF(ID!$B$74=$A$106,C15,IF(ID!$B$74=$A$107,J15,IF(ID!$B$74=$A$108,Q15,IF(ID!$B$74=$A$109,C48,IF(ID!$B$74=$A$110,J48,IF(ID!$B$74=$A$111,Q48))))))</f>
        <v>0</v>
      </c>
      <c r="D82" s="590">
        <f>IF(ID!$B$74=$A$106,D15,IF(ID!$B$74=$A$107,K15,IF(ID!$B$74=$A$108,R15,IF(ID!$B$74=$A$109,D48,IF(ID!$B$74=$A$110,K48,IF(ID!$B$74=$A$111,R48))))))</f>
        <v>1.0000000000000001E-5</v>
      </c>
      <c r="E82" s="590">
        <f>IF(ID!$B$74=$A$106,E15,IF(ID!$B$74=$A$107,L15,IF(ID!$B$74=$A$108,S15,IF(ID!$B$74=$A$109,E48,IF(ID!$B$74=$A$110,L48,IF(ID!$B$74=$A$111,S48))))))</f>
        <v>0</v>
      </c>
      <c r="F82" s="591">
        <f>IF(ID!$B$74=$A$106,F15,IF(ID!$B$74=$A$107,M15,IF(ID!$B$74=$A$108,T15,IF(ID!$B$74=$A$109,F48,IF(ID!$B$74=$A$110,M48,IF(ID!$B$74=$A$111,T48))))))</f>
        <v>9.9999999999999995E-8</v>
      </c>
      <c r="O82" s="595">
        <f>ID!M50</f>
        <v>280</v>
      </c>
      <c r="P82" s="596"/>
      <c r="Q82" s="596">
        <f t="shared" si="21"/>
        <v>1.0000000000000001E-5</v>
      </c>
      <c r="R82" s="597"/>
      <c r="S82" s="595">
        <f t="shared" si="18"/>
        <v>280</v>
      </c>
      <c r="T82" s="596"/>
      <c r="U82" s="596">
        <f t="shared" si="19"/>
        <v>1.0000000000000001E-5</v>
      </c>
      <c r="V82" s="597"/>
      <c r="W82" s="595">
        <f t="shared" si="20"/>
        <v>280</v>
      </c>
      <c r="X82" s="596"/>
      <c r="Y82" s="596">
        <f t="shared" si="22"/>
        <v>1.0000000000000001E-5</v>
      </c>
      <c r="Z82" s="597"/>
    </row>
    <row r="83" spans="1:26" ht="14">
      <c r="A83" s="589">
        <f>IF(ID!$B$74=$A$106,A16,IF(ID!$B$74=$A$107,H16,IF(ID!$B$74=$A$108,O16,IF(ID!$B$74=$A$109,A49,IF(ID!$B$74=$A$110,H49,IF(ID!$B$74=$A$111,O49))))))</f>
        <v>0</v>
      </c>
      <c r="B83" s="590">
        <f>IF(ID!$B$74=$A$106,B16,IF(ID!$B$74=$A$107,I16,IF(ID!$B$74=$A$108,P16,IF(ID!$B$74=$A$109,B49,IF(ID!$B$74=$A$110,I49,IF(ID!$B$74=$A$111,P49))))))</f>
        <v>0</v>
      </c>
      <c r="C83" s="590">
        <f>IF(ID!$B$74=$A$106,C16,IF(ID!$B$74=$A$107,J16,IF(ID!$B$74=$A$108,Q16,IF(ID!$B$74=$A$109,C49,IF(ID!$B$74=$A$110,J49,IF(ID!$B$74=$A$111,Q49))))))</f>
        <v>0</v>
      </c>
      <c r="D83" s="590">
        <f>IF(ID!$B$74=$A$106,D16,IF(ID!$B$74=$A$107,K16,IF(ID!$B$74=$A$108,R16,IF(ID!$B$74=$A$109,D49,IF(ID!$B$74=$A$110,K49,IF(ID!$B$74=$A$111,R49))))))</f>
        <v>1.0000000000000001E-5</v>
      </c>
      <c r="E83" s="590">
        <f>IF(ID!$B$74=$A$106,E16,IF(ID!$B$74=$A$107,L16,IF(ID!$B$74=$A$108,S16,IF(ID!$B$74=$A$109,E49,IF(ID!$B$74=$A$110,L49,IF(ID!$B$74=$A$111,S49))))))</f>
        <v>0</v>
      </c>
      <c r="F83" s="591">
        <f>IF(ID!$B$74=$A$106,F16,IF(ID!$B$74=$A$107,M16,IF(ID!$B$74=$A$108,T16,IF(ID!$B$74=$A$109,F49,IF(ID!$B$74=$A$110,M49,IF(ID!$B$74=$A$111,T49))))))</f>
        <v>9.9999999999999995E-8</v>
      </c>
      <c r="O83" s="595">
        <f>ID!M51</f>
        <v>311</v>
      </c>
      <c r="P83" s="596"/>
      <c r="Q83" s="596">
        <f t="shared" si="21"/>
        <v>1.0000000000000001E-5</v>
      </c>
      <c r="R83" s="597"/>
      <c r="S83" s="595">
        <f t="shared" si="18"/>
        <v>311</v>
      </c>
      <c r="T83" s="596"/>
      <c r="U83" s="596">
        <f t="shared" si="19"/>
        <v>1.0000000000000001E-5</v>
      </c>
      <c r="V83" s="597"/>
      <c r="W83" s="595">
        <f t="shared" si="20"/>
        <v>311</v>
      </c>
      <c r="X83" s="596"/>
      <c r="Y83" s="596">
        <f t="shared" si="22"/>
        <v>1.0000000000000001E-5</v>
      </c>
      <c r="Z83" s="597"/>
    </row>
    <row r="84" spans="1:26" ht="14.5" thickBot="1">
      <c r="A84" s="589">
        <f>IF(ID!$B$74=$A$106,A17,IF(ID!$B$74=$A$107,H17,IF(ID!$B$74=$A$108,O17,IF(ID!$B$74=$A$109,A50,IF(ID!$B$74=$A$110,H50,IF(ID!$B$74=$A$111,O50))))))</f>
        <v>0</v>
      </c>
      <c r="B84" s="590">
        <f>IF(ID!$B$74=$A$106,B17,IF(ID!$B$74=$A$107,I17,IF(ID!$B$74=$A$108,P17,IF(ID!$B$74=$A$109,B50,IF(ID!$B$74=$A$110,I50,IF(ID!$B$74=$A$111,P50))))))</f>
        <v>0</v>
      </c>
      <c r="C84" s="590">
        <f>IF(ID!$B$74=$A$106,C17,IF(ID!$B$74=$A$107,J17,IF(ID!$B$74=$A$108,Q17,IF(ID!$B$74=$A$109,C50,IF(ID!$B$74=$A$110,J50,IF(ID!$B$74=$A$111,Q50))))))</f>
        <v>0</v>
      </c>
      <c r="D84" s="590">
        <f>IF(ID!$B$74=$A$106,D17,IF(ID!$B$74=$A$107,K17,IF(ID!$B$74=$A$108,R17,IF(ID!$B$74=$A$109,D50,IF(ID!$B$74=$A$110,K50,IF(ID!$B$74=$A$111,R50))))))</f>
        <v>1.0000000000000001E-5</v>
      </c>
      <c r="E84" s="590">
        <f>IF(ID!$B$74=$A$106,E17,IF(ID!$B$74=$A$107,L17,IF(ID!$B$74=$A$108,S17,IF(ID!$B$74=$A$109,E50,IF(ID!$B$74=$A$110,L50,IF(ID!$B$74=$A$111,S50))))))</f>
        <v>0</v>
      </c>
      <c r="F84" s="591">
        <f>IF(ID!$B$74=$A$106,F17,IF(ID!$B$74=$A$107,M17,IF(ID!$B$74=$A$108,T17,IF(ID!$B$74=$A$109,F50,IF(ID!$B$74=$A$110,M50,IF(ID!$B$74=$A$111,T50))))))</f>
        <v>9.9999999999999995E-8</v>
      </c>
      <c r="O84" s="5"/>
      <c r="P84" s="2"/>
      <c r="Q84" s="2"/>
      <c r="R84" s="72"/>
      <c r="U84"/>
    </row>
    <row r="85" spans="1:26" ht="14">
      <c r="A85" s="589">
        <f>IF(ID!$B$74=$A$106,A18,IF(ID!$B$74=$A$107,H18,IF(ID!$B$74=$A$108,O18,IF(ID!$B$74=$A$109,A51,IF(ID!$B$74=$A$110,H51,IF(ID!$B$74=$A$111,O51))))))</f>
        <v>0</v>
      </c>
      <c r="B85" s="590">
        <f>IF(ID!$B$74=$A$106,B18,IF(ID!$B$74=$A$107,I18,IF(ID!$B$74=$A$108,P18,IF(ID!$B$74=$A$109,B51,IF(ID!$B$74=$A$110,I51,IF(ID!$B$74=$A$111,P51))))))</f>
        <v>0</v>
      </c>
      <c r="C85" s="590">
        <f>IF(ID!$B$74=$A$106,C18,IF(ID!$B$74=$A$107,J18,IF(ID!$B$74=$A$108,Q18,IF(ID!$B$74=$A$109,C51,IF(ID!$B$74=$A$110,J51,IF(ID!$B$74=$A$111,Q51))))))</f>
        <v>0</v>
      </c>
      <c r="D85" s="590">
        <f>IF(ID!$B$74=$A$106,D18,IF(ID!$B$74=$A$107,K18,IF(ID!$B$74=$A$108,R18,IF(ID!$B$74=$A$109,D51,IF(ID!$B$74=$A$110,K51,IF(ID!$B$74=$A$111,R51))))))</f>
        <v>1.0000000000000001E-5</v>
      </c>
      <c r="E85" s="590">
        <f>IF(ID!$B$74=$A$106,E18,IF(ID!$B$74=$A$107,L18,IF(ID!$B$74=$A$108,S18,IF(ID!$B$74=$A$109,E51,IF(ID!$B$74=$A$110,L51,IF(ID!$B$74=$A$111,S51))))))</f>
        <v>0</v>
      </c>
      <c r="F85" s="591">
        <f>IF(ID!$B$74=$A$106,F18,IF(ID!$B$74=$A$107,M18,IF(ID!$B$74=$A$108,T18,IF(ID!$B$74=$A$109,F51,IF(ID!$B$74=$A$110,M51,IF(ID!$B$74=$A$111,T51))))))</f>
        <v>9.9999999999999995E-8</v>
      </c>
      <c r="O85" s="1254" t="s">
        <v>342</v>
      </c>
      <c r="P85" s="1255"/>
      <c r="Q85" s="1255"/>
      <c r="R85" s="1256"/>
      <c r="S85" s="1261" t="s">
        <v>340</v>
      </c>
      <c r="T85" s="1255"/>
      <c r="U85" s="1255"/>
      <c r="V85" s="1257"/>
      <c r="W85" s="1254" t="s">
        <v>341</v>
      </c>
      <c r="X85" s="1255"/>
      <c r="Y85" s="1255"/>
      <c r="Z85" s="1256"/>
    </row>
    <row r="86" spans="1:26" ht="14">
      <c r="A86" s="589">
        <f>IF(ID!$B$74=$A$106,A19,IF(ID!$B$74=$A$107,H19,IF(ID!$B$74=$A$108,O19,IF(ID!$B$74=$A$109,A52,IF(ID!$B$74=$A$110,H52,IF(ID!$B$74=$A$111,O52))))))</f>
        <v>0</v>
      </c>
      <c r="B86" s="590">
        <f>IF(ID!$B$74=$A$106,B19,IF(ID!$B$74=$A$107,I19,IF(ID!$B$74=$A$108,P19,IF(ID!$B$74=$A$109,B52,IF(ID!$B$74=$A$110,I52,IF(ID!$B$74=$A$111,P52))))))</f>
        <v>0</v>
      </c>
      <c r="C86" s="590">
        <f>IF(ID!$B$74=$A$106,C19,IF(ID!$B$74=$A$107,J19,IF(ID!$B$74=$A$108,Q19,IF(ID!$B$74=$A$109,C52,IF(ID!$B$74=$A$110,J52,IF(ID!$B$74=$A$111,Q52))))))</f>
        <v>0</v>
      </c>
      <c r="D86" s="590">
        <f>IF(ID!$B$74=$A$106,D19,IF(ID!$B$74=$A$107,K19,IF(ID!$B$74=$A$108,R19,IF(ID!$B$74=$A$109,D52,IF(ID!$B$74=$A$110,K52,IF(ID!$B$74=$A$111,R52))))))</f>
        <v>1.0000000000000001E-5</v>
      </c>
      <c r="E86" s="590">
        <f>IF(ID!$B$74=$A$106,E19,IF(ID!$B$74=$A$107,L19,IF(ID!$B$74=$A$108,S19,IF(ID!$B$74=$A$109,E52,IF(ID!$B$74=$A$110,L52,IF(ID!$B$74=$A$111,S52))))))</f>
        <v>0</v>
      </c>
      <c r="F86" s="591">
        <f>IF(ID!$B$74=$A$106,F19,IF(ID!$B$74=$A$107,M19,IF(ID!$B$74=$A$108,T19,IF(ID!$B$74=$A$109,F52,IF(ID!$B$74=$A$110,M52,IF(ID!$B$74=$A$111,T52))))))</f>
        <v>9.9999999999999995E-8</v>
      </c>
      <c r="O86" s="3">
        <f>ID!M55</f>
        <v>20</v>
      </c>
      <c r="P86" s="2"/>
      <c r="Q86" s="2">
        <f>FORECAST(O86,$D$92:$D$99,$A$92:$A$99)</f>
        <v>1.0000000000000001E-5</v>
      </c>
      <c r="R86" s="72"/>
      <c r="S86" s="3">
        <f t="shared" ref="S86:S93" si="23">O86</f>
        <v>20</v>
      </c>
      <c r="T86" s="2"/>
      <c r="U86" s="2">
        <f>FORECAST(S86,$E$92:$E$99,$A$92:$A$99)</f>
        <v>1.0000000000000001E-5</v>
      </c>
      <c r="V86" s="72"/>
      <c r="W86" s="3">
        <f t="shared" ref="W86:W93" si="24">O86</f>
        <v>20</v>
      </c>
      <c r="X86" s="2"/>
      <c r="Y86" s="2">
        <f>FORECAST(W86,$F$92:$F$99,$A$92:$A$99)</f>
        <v>1.0000000000000001E-5</v>
      </c>
      <c r="Z86" s="72"/>
    </row>
    <row r="87" spans="1:26" ht="14">
      <c r="A87" s="589">
        <f>IF(ID!$B$74=$A$106,A20,IF(ID!$B$74=$A$107,H20,IF(ID!$B$74=$A$108,O20,IF(ID!$B$74=$A$109,A53,IF(ID!$B$74=$A$110,H53,IF(ID!$B$74=$A$111,O53))))))</f>
        <v>0</v>
      </c>
      <c r="B87" s="590">
        <f>IF(ID!$B$74=$A$106,B20,IF(ID!$B$74=$A$107,I20,IF(ID!$B$74=$A$108,P20,IF(ID!$B$74=$A$109,B53,IF(ID!$B$74=$A$110,I53,IF(ID!$B$74=$A$111,P53))))))</f>
        <v>0</v>
      </c>
      <c r="C87" s="590">
        <f>IF(ID!$B$74=$A$106,C20,IF(ID!$B$74=$A$107,J20,IF(ID!$B$74=$A$108,Q20,IF(ID!$B$74=$A$109,C53,IF(ID!$B$74=$A$110,J53,IF(ID!$B$74=$A$111,Q53))))))</f>
        <v>0</v>
      </c>
      <c r="D87" s="590">
        <f>IF(ID!$B$74=$A$106,D20,IF(ID!$B$74=$A$107,K20,IF(ID!$B$74=$A$108,R20,IF(ID!$B$74=$A$109,D53,IF(ID!$B$74=$A$110,K53,IF(ID!$B$74=$A$111,R53))))))</f>
        <v>1.0000000000000001E-5</v>
      </c>
      <c r="E87" s="590">
        <f>IF(ID!$B$74=$A$106,E20,IF(ID!$B$74=$A$107,L20,IF(ID!$B$74=$A$108,S20,IF(ID!$B$74=$A$109,E53,IF(ID!$B$74=$A$110,L53,IF(ID!$B$74=$A$111,S53))))))</f>
        <v>0</v>
      </c>
      <c r="F87" s="591">
        <f>IF(ID!$B$74=$A$106,F20,IF(ID!$B$74=$A$107,M20,IF(ID!$B$74=$A$108,T20,IF(ID!$B$74=$A$109,F53,IF(ID!$B$74=$A$110,M53,IF(ID!$B$74=$A$111,T53))))))</f>
        <v>9.9999999999999995E-8</v>
      </c>
      <c r="O87" s="3">
        <f>ID!M56</f>
        <v>50</v>
      </c>
      <c r="P87" s="2"/>
      <c r="Q87" s="2">
        <f>FORECAST(O87,$D$92:$D$99,$A$92:$A$99)</f>
        <v>1.0000000000000001E-5</v>
      </c>
      <c r="R87" s="72"/>
      <c r="S87" s="3">
        <f t="shared" si="23"/>
        <v>50</v>
      </c>
      <c r="T87" s="2"/>
      <c r="U87" s="2">
        <f>FORECAST(S87,$E$92:$E$99,$A$92:$A$99)</f>
        <v>1.0000000000000001E-5</v>
      </c>
      <c r="V87" s="72"/>
      <c r="W87" s="3">
        <f t="shared" si="24"/>
        <v>50</v>
      </c>
      <c r="X87" s="2"/>
      <c r="Y87" s="2">
        <f>FORECAST(W87,$F$92:$F$99,$A$92:$A$99)</f>
        <v>1.0000000000000001E-5</v>
      </c>
      <c r="Z87" s="72"/>
    </row>
    <row r="88" spans="1:26" ht="14">
      <c r="A88" s="589">
        <f>IF(ID!$B$74=$A$106,A21,IF(ID!$B$74=$A$107,H21,IF(ID!$B$74=$A$108,O21,IF(ID!$B$74=$A$109,A54,IF(ID!$B$74=$A$110,H54,IF(ID!$B$74=$A$111,O54))))))</f>
        <v>0</v>
      </c>
      <c r="B88" s="590">
        <f>IF(ID!$B$74=$A$106,B21,IF(ID!$B$74=$A$107,I21,IF(ID!$B$74=$A$108,P21,IF(ID!$B$74=$A$109,B54,IF(ID!$B$74=$A$110,I54,IF(ID!$B$74=$A$111,P54))))))</f>
        <v>0</v>
      </c>
      <c r="C88" s="590">
        <f>IF(ID!$B$74=$A$106,C21,IF(ID!$B$74=$A$107,J21,IF(ID!$B$74=$A$108,Q21,IF(ID!$B$74=$A$109,C54,IF(ID!$B$74=$A$110,J54,IF(ID!$B$74=$A$111,Q54))))))</f>
        <v>0</v>
      </c>
      <c r="D88" s="590">
        <f>IF(ID!$B$74=$A$106,D21,IF(ID!$B$74=$A$107,K21,IF(ID!$B$74=$A$108,R21,IF(ID!$B$74=$A$109,D54,IF(ID!$B$74=$A$110,K54,IF(ID!$B$74=$A$111,R54))))))</f>
        <v>1.0000000000000001E-5</v>
      </c>
      <c r="E88" s="590">
        <f>IF(ID!$B$74=$A$106,E21,IF(ID!$B$74=$A$107,L21,IF(ID!$B$74=$A$108,S21,IF(ID!$B$74=$A$109,E54,IF(ID!$B$74=$A$110,L54,IF(ID!$B$74=$A$111,S54))))))</f>
        <v>0</v>
      </c>
      <c r="F88" s="591">
        <f>IF(ID!$B$74=$A$106,F21,IF(ID!$B$74=$A$107,M21,IF(ID!$B$74=$A$108,T21,IF(ID!$B$74=$A$109,F54,IF(ID!$B$74=$A$110,M54,IF(ID!$B$74=$A$111,T54))))))</f>
        <v>9.9999999999999995E-7</v>
      </c>
      <c r="O88" s="3">
        <f>ID!M57</f>
        <v>80</v>
      </c>
      <c r="P88" s="2"/>
      <c r="Q88" s="2">
        <f>FORECAST(O88,$D$92:$D$99,$A$92:$A$99)</f>
        <v>1.0000000000000001E-5</v>
      </c>
      <c r="R88" s="72"/>
      <c r="S88" s="3">
        <f t="shared" si="23"/>
        <v>80</v>
      </c>
      <c r="T88" s="2"/>
      <c r="U88" s="2">
        <f>FORECAST(S88,$E$92:$E$99,$A$92:$A$99)</f>
        <v>1.0000000000000001E-5</v>
      </c>
      <c r="V88" s="72"/>
      <c r="W88" s="3">
        <f t="shared" si="24"/>
        <v>80</v>
      </c>
      <c r="X88" s="2"/>
      <c r="Y88" s="2">
        <f>FORECAST(W88,$F$92:$F$99,$A$92:$A$99)</f>
        <v>1.0000000000000001E-5</v>
      </c>
      <c r="Z88" s="72"/>
    </row>
    <row r="89" spans="1:26" ht="14">
      <c r="A89" s="1265" t="str">
        <f>IF(ID!$B$74=$A$106,A22,IF(ID!$B$74=$A$107,H22,IF(ID!$B$74=$A$108,O22,IF(ID!$B$74=$A$109,A55,IF(ID!$B$74=$A$110,H55,IF(ID!$B$74=$A$111,O55))))))</f>
        <v>KOREKSI WATT</v>
      </c>
      <c r="B89" s="1259"/>
      <c r="C89" s="1259"/>
      <c r="D89" s="1260"/>
      <c r="E89" s="1266" t="str">
        <f>IF(ID!$B$74=$A$106,E22,IF(ID!$B$74=$A$107,L22,IF(ID!$B$74=$A$108,S22,IF(ID!$B$74=$A$109,E55,IF(ID!$B$74=$A$110,L55,IF(ID!$B$74=$A$111,S55))))))</f>
        <v>DRIFT</v>
      </c>
      <c r="F89" s="1269" t="str">
        <f>IF(ID!$B$74=$A$106,F22,IF(ID!$B$74=$A$107,M22,IF(ID!$B$74=$A$108,T22,IF(ID!$B$74=$A$109,F55,IF(ID!$B$74=$A$110,M55,IF(ID!$B$74=$A$111,T55))))))</f>
        <v>U95</v>
      </c>
      <c r="O89" s="3">
        <f>ID!M58</f>
        <v>100</v>
      </c>
      <c r="P89" s="2"/>
      <c r="Q89" s="2">
        <f>FORECAST(O89,$D$92:$D$99,$A$92:$A$99)</f>
        <v>1.0000000000000001E-5</v>
      </c>
      <c r="R89" s="72"/>
      <c r="S89" s="3">
        <f t="shared" si="23"/>
        <v>100</v>
      </c>
      <c r="T89" s="2"/>
      <c r="U89" s="2">
        <f>FORECAST(S89,$E$92:$E$99,$A$92:$A$99)</f>
        <v>1.0000000000000001E-5</v>
      </c>
      <c r="V89" s="72"/>
      <c r="W89" s="3">
        <f t="shared" si="24"/>
        <v>100</v>
      </c>
      <c r="X89" s="2"/>
      <c r="Y89" s="2">
        <f>FORECAST(W89,$F$92:$F$99,$A$92:$A$99)</f>
        <v>1.0000000000000001E-5</v>
      </c>
      <c r="Z89" s="72"/>
    </row>
    <row r="90" spans="1:26" ht="14">
      <c r="A90" s="589" t="str">
        <f>IF(ID!$B$74=$A$106,A23,IF(ID!$B$74=$A$107,H23,IF(ID!$B$74=$A$108,O23,IF(ID!$B$74=$A$109,A56,IF(ID!$B$74=$A$110,H56,IF(ID!$B$74=$A$111,O56))))))</f>
        <v>Terbaca UUT</v>
      </c>
      <c r="B90" s="1258" t="str">
        <f>IF(ID!$B$74=$A$106,B23,IF(ID!$B$74=$A$107,I23,IF(ID!$B$74=$A$108,P23,IF(ID!$B$74=$A$109,B56,IF(ID!$B$74=$A$110,I56,IF(ID!$B$74=$A$111,P56))))))</f>
        <v>Tahun</v>
      </c>
      <c r="C90" s="1259"/>
      <c r="D90" s="1260"/>
      <c r="E90" s="1267"/>
      <c r="F90" s="1270"/>
      <c r="O90" s="3">
        <f>ID!M59</f>
        <v>150</v>
      </c>
      <c r="P90" s="2"/>
      <c r="Q90" s="2">
        <f>FORECAST(O90,$D$92:$D$99,$A$92:$A$99)</f>
        <v>1.0000000000000001E-5</v>
      </c>
      <c r="R90" s="72"/>
      <c r="S90" s="3">
        <f t="shared" si="23"/>
        <v>150</v>
      </c>
      <c r="T90" s="2"/>
      <c r="U90" s="2">
        <f>FORECAST(S90,$E$92:$E$99,$A$92:$A$99)</f>
        <v>1.0000000000000001E-5</v>
      </c>
      <c r="V90" s="72"/>
      <c r="W90" s="3">
        <f t="shared" si="24"/>
        <v>150</v>
      </c>
      <c r="X90" s="2"/>
      <c r="Y90" s="2">
        <f>FORECAST(W90,$F$92:$F$99,$A$92:$A$99)</f>
        <v>1.0000000000000001E-5</v>
      </c>
      <c r="Z90" s="72"/>
    </row>
    <row r="91" spans="1:26" ht="14">
      <c r="A91" s="589" t="str">
        <f>IF(ID!$B$74=$A$106,A24,IF(ID!$B$74=$A$107,H24,IF(ID!$B$74=$A$108,O24,IF(ID!$B$74=$A$109,A57,IF(ID!$B$74=$A$110,H57,IF(ID!$B$74=$A$111,O57))))))</f>
        <v>W</v>
      </c>
      <c r="B91" s="590">
        <f>IF(ID!$B$74=$A$106,B24,IF(ID!$B$74=$A$107,I24,IF(ID!$B$74=$A$108,P24,IF(ID!$B$74=$A$109,B57,IF(ID!$B$74=$A$110,I57,IF(ID!$B$74=$A$111,P57))))))</f>
        <v>2017</v>
      </c>
      <c r="C91" s="590">
        <f>IF(ID!$B$74=$A$106,C24,IF(ID!$B$74=$A$107,J24,IF(ID!$B$74=$A$108,Q24,IF(ID!$B$74=$A$109,C57,IF(ID!$B$74=$A$110,J57,IF(ID!$B$74=$A$111,Q57))))))</f>
        <v>2017</v>
      </c>
      <c r="D91" s="590">
        <f>IF(ID!$B$74=$A$106,D24,IF(ID!$B$74=$A$107,K24,IF(ID!$B$74=$A$108,R24,IF(ID!$B$74=$A$109,D57,IF(ID!$B$74=$A$110,K57,IF(ID!$B$74=$A$111,R57))))))</f>
        <v>2018</v>
      </c>
      <c r="E91" s="1268"/>
      <c r="F91" s="1271"/>
      <c r="O91" s="595" t="e">
        <f>ID!#REF!</f>
        <v>#REF!</v>
      </c>
      <c r="P91" s="596"/>
      <c r="Q91" s="596" t="e">
        <f>IF(P130="OVER",0,((O91-P130)/(P132-P130)*(R132-R130)+R130))</f>
        <v>#REF!</v>
      </c>
      <c r="R91" s="597"/>
      <c r="S91" s="595" t="e">
        <f t="shared" si="23"/>
        <v>#REF!</v>
      </c>
      <c r="T91" s="596"/>
      <c r="U91" s="596" t="e">
        <f>IF(T130="OVER",0,((S91-T130)/(T132-T130)*(V132-V130)+V130))</f>
        <v>#REF!</v>
      </c>
      <c r="V91" s="597"/>
      <c r="W91" s="595" t="e">
        <f t="shared" si="24"/>
        <v>#REF!</v>
      </c>
      <c r="X91" s="596"/>
      <c r="Y91" s="596" t="e">
        <f>IF(X130="OVER",0,((W91-X130)/(X132-X130)*(Z132-Z130)+Z130))</f>
        <v>#REF!</v>
      </c>
      <c r="Z91" s="597"/>
    </row>
    <row r="92" spans="1:26" ht="14">
      <c r="A92" s="589">
        <f>IF(ID!$B$74=$A$106,A25,IF(ID!$B$74=$A$107,H25,IF(ID!$B$74=$A$108,O25,IF(ID!$B$74=$A$109,A58,IF(ID!$B$74=$A$110,H58,IF(ID!$B$74=$A$111,O58))))))</f>
        <v>0</v>
      </c>
      <c r="B92" s="590">
        <f>IF(ID!$B$74=$A$106,B25,IF(ID!$B$74=$A$107,I25,IF(ID!$B$74=$A$108,P25,IF(ID!$B$74=$A$109,B58,IF(ID!$B$74=$A$110,I58,IF(ID!$B$74=$A$111,P58))))))</f>
        <v>0</v>
      </c>
      <c r="C92" s="590">
        <f>IF(ID!$B$74=$A$106,C25,IF(ID!$B$74=$A$107,J25,IF(ID!$B$74=$A$108,Q25,IF(ID!$B$74=$A$109,C58,IF(ID!$B$74=$A$110,J58,IF(ID!$B$74=$A$111,Q58))))))</f>
        <v>0</v>
      </c>
      <c r="D92" s="590">
        <f>IF(ID!$B$74=$A$106,D25,IF(ID!$B$74=$A$107,K25,IF(ID!$B$74=$A$108,R25,IF(ID!$B$74=$A$109,D58,IF(ID!$B$74=$A$110,K58,IF(ID!$B$74=$A$111,R58))))))</f>
        <v>1.0000000000000001E-5</v>
      </c>
      <c r="E92" s="590">
        <f>IF(ID!$B$74=$A$106,E25,IF(ID!$B$74=$A$107,L25,IF(ID!$B$74=$A$108,S25,IF(ID!$B$74=$A$109,E58,IF(ID!$B$74=$A$110,L58,IF(ID!$B$74=$A$111,S58))))))</f>
        <v>1.0000000000000001E-5</v>
      </c>
      <c r="F92" s="591">
        <f>IF(ID!$B$74=$A$106,F25,IF(ID!$B$74=$A$107,M25,IF(ID!$B$74=$A$108,T25,IF(ID!$B$74=$A$109,F58,IF(ID!$B$74=$A$110,M58,IF(ID!$B$74=$A$111,T58))))))</f>
        <v>1.0000000000000001E-5</v>
      </c>
      <c r="O92" s="595" t="e">
        <f>ID!#REF!</f>
        <v>#REF!</v>
      </c>
      <c r="P92" s="596"/>
      <c r="Q92" s="596" t="e">
        <f>IF(P133="OVER",0,((O92-P133)/(P135-P133)*(R135-R133)+R133))</f>
        <v>#REF!</v>
      </c>
      <c r="R92" s="597"/>
      <c r="S92" s="595" t="e">
        <f t="shared" si="23"/>
        <v>#REF!</v>
      </c>
      <c r="T92" s="596"/>
      <c r="U92" s="596" t="e">
        <f>IF(T133="OVER",0,((S92-T133)/(T135-T133)*(V135-V133)+V133))</f>
        <v>#REF!</v>
      </c>
      <c r="V92" s="597"/>
      <c r="W92" s="595" t="e">
        <f t="shared" si="24"/>
        <v>#REF!</v>
      </c>
      <c r="X92" s="596"/>
      <c r="Y92" s="596" t="e">
        <f>IF(X133="OVER",0,((W92-X133)/(X135-X133)*(Z135-Z133)+Z133))</f>
        <v>#REF!</v>
      </c>
      <c r="Z92" s="597"/>
    </row>
    <row r="93" spans="1:26" ht="14">
      <c r="A93" s="589">
        <f>IF(ID!$B$74=$A$106,A26,IF(ID!$B$74=$A$107,H26,IF(ID!$B$74=$A$108,O26,IF(ID!$B$74=$A$109,A59,IF(ID!$B$74=$A$110,H59,IF(ID!$B$74=$A$111,O59))))))</f>
        <v>70.599999999999994</v>
      </c>
      <c r="B93" s="590">
        <f>IF(ID!$B$74=$A$106,B26,IF(ID!$B$74=$A$107,I26,IF(ID!$B$74=$A$108,P26,IF(ID!$B$74=$A$109,B59,IF(ID!$B$74=$A$110,I59,IF(ID!$B$74=$A$111,P59))))))</f>
        <v>0</v>
      </c>
      <c r="C93" s="590">
        <f>IF(ID!$B$74=$A$106,C26,IF(ID!$B$74=$A$107,J26,IF(ID!$B$74=$A$108,Q26,IF(ID!$B$74=$A$109,C59,IF(ID!$B$74=$A$110,J59,IF(ID!$B$74=$A$111,Q59))))))</f>
        <v>0</v>
      </c>
      <c r="D93" s="590">
        <f>IF(ID!$B$74=$A$106,D26,IF(ID!$B$74=$A$107,K26,IF(ID!$B$74=$A$108,R26,IF(ID!$B$74=$A$109,D59,IF(ID!$B$74=$A$110,K59,IF(ID!$B$74=$A$111,R59))))))</f>
        <v>1.0000000000000001E-5</v>
      </c>
      <c r="E93" s="590">
        <f>IF(ID!$B$74=$A$106,E26,IF(ID!$B$74=$A$107,L26,IF(ID!$B$74=$A$108,S26,IF(ID!$B$74=$A$109,E59,IF(ID!$B$74=$A$110,L59,IF(ID!$B$74=$A$111,S59))))))</f>
        <v>1.0000000000000001E-5</v>
      </c>
      <c r="F93" s="591">
        <f>IF(ID!$B$74=$A$106,F26,IF(ID!$B$74=$A$107,M26,IF(ID!$B$74=$A$108,T26,IF(ID!$B$74=$A$109,F59,IF(ID!$B$74=$A$110,M59,IF(ID!$B$74=$A$111,T59))))))</f>
        <v>1.0000000000000001E-5</v>
      </c>
      <c r="O93" s="595" t="e">
        <f>ID!#REF!</f>
        <v>#REF!</v>
      </c>
      <c r="P93" s="596"/>
      <c r="Q93" s="596" t="e">
        <f>IF(P136="OVER",0,((O93-P136)/(P138-P136)*(R138-R136)+R136))</f>
        <v>#REF!</v>
      </c>
      <c r="R93" s="597"/>
      <c r="S93" s="595" t="e">
        <f t="shared" si="23"/>
        <v>#REF!</v>
      </c>
      <c r="T93" s="596"/>
      <c r="U93" s="596" t="e">
        <f>IF(T136="OVER",0,((S93-T136)/(T138-T136)*(V138-V136)+V136))</f>
        <v>#REF!</v>
      </c>
      <c r="V93" s="597"/>
      <c r="W93" s="595" t="e">
        <f t="shared" si="24"/>
        <v>#REF!</v>
      </c>
      <c r="X93" s="596"/>
      <c r="Y93" s="596" t="e">
        <f>IF(X136="OVER",0,((W93-X136)/(X138-X136)*(Z138-Z136)+Z136))</f>
        <v>#REF!</v>
      </c>
      <c r="Z93" s="597"/>
    </row>
    <row r="94" spans="1:26" ht="14.5" thickBot="1">
      <c r="A94" s="589">
        <f>IF(ID!$B$74=$A$106,A27,IF(ID!$B$74=$A$107,H27,IF(ID!$B$74=$A$108,O27,IF(ID!$B$74=$A$109,A60,IF(ID!$B$74=$A$110,H60,IF(ID!$B$74=$A$111,O60))))))</f>
        <v>137.1</v>
      </c>
      <c r="B94" s="590">
        <f>IF(ID!$B$74=$A$106,B27,IF(ID!$B$74=$A$107,I27,IF(ID!$B$74=$A$108,P27,IF(ID!$B$74=$A$109,B60,IF(ID!$B$74=$A$110,I60,IF(ID!$B$74=$A$111,P60))))))</f>
        <v>0</v>
      </c>
      <c r="C94" s="590">
        <f>IF(ID!$B$74=$A$106,C27,IF(ID!$B$74=$A$107,J27,IF(ID!$B$74=$A$108,Q27,IF(ID!$B$74=$A$109,C60,IF(ID!$B$74=$A$110,J60,IF(ID!$B$74=$A$111,Q60))))))</f>
        <v>0</v>
      </c>
      <c r="D94" s="590">
        <f>IF(ID!$B$74=$A$106,D27,IF(ID!$B$74=$A$107,K27,IF(ID!$B$74=$A$108,R27,IF(ID!$B$74=$A$109,D60,IF(ID!$B$74=$A$110,K60,IF(ID!$B$74=$A$111,R60))))))</f>
        <v>1.0000000000000001E-5</v>
      </c>
      <c r="E94" s="590">
        <f>IF(ID!$B$74=$A$106,E27,IF(ID!$B$74=$A$107,L27,IF(ID!$B$74=$A$108,S27,IF(ID!$B$74=$A$109,E60,IF(ID!$B$74=$A$110,L60,IF(ID!$B$74=$A$111,S60))))))</f>
        <v>1.0000000000000001E-5</v>
      </c>
      <c r="F94" s="591">
        <f>IF(ID!$B$74=$A$106,F27,IF(ID!$B$74=$A$107,M27,IF(ID!$B$74=$A$108,T27,IF(ID!$B$74=$A$109,F60,IF(ID!$B$74=$A$110,M60,IF(ID!$B$74=$A$111,T60))))))</f>
        <v>1.0000000000000001E-5</v>
      </c>
      <c r="O94" s="7"/>
      <c r="P94" s="109"/>
      <c r="Q94" s="109"/>
      <c r="R94" s="110"/>
      <c r="S94" s="7"/>
      <c r="T94" s="109"/>
      <c r="U94" s="109"/>
      <c r="V94" s="110"/>
      <c r="W94" s="7"/>
      <c r="X94" s="109"/>
      <c r="Y94" s="109"/>
      <c r="Z94" s="110"/>
    </row>
    <row r="95" spans="1:26" ht="14">
      <c r="A95" s="589">
        <f>IF(ID!$B$74=$A$106,A28,IF(ID!$B$74=$A$107,H28,IF(ID!$B$74=$A$108,O28,IF(ID!$B$74=$A$109,A61,IF(ID!$B$74=$A$110,H61,IF(ID!$B$74=$A$111,O61))))))</f>
        <v>271.5</v>
      </c>
      <c r="B95" s="590">
        <f>IF(ID!$B$74=$A$106,B28,IF(ID!$B$74=$A$107,I28,IF(ID!$B$74=$A$108,P28,IF(ID!$B$74=$A$109,B61,IF(ID!$B$74=$A$110,I61,IF(ID!$B$74=$A$111,P61))))))</f>
        <v>0</v>
      </c>
      <c r="C95" s="590">
        <f>IF(ID!$B$74=$A$106,C28,IF(ID!$B$74=$A$107,J28,IF(ID!$B$74=$A$108,Q28,IF(ID!$B$74=$A$109,C61,IF(ID!$B$74=$A$110,J61,IF(ID!$B$74=$A$111,Q61))))))</f>
        <v>0</v>
      </c>
      <c r="D95" s="590">
        <f>IF(ID!$B$74=$A$106,D28,IF(ID!$B$74=$A$107,K28,IF(ID!$B$74=$A$108,R28,IF(ID!$B$74=$A$109,D61,IF(ID!$B$74=$A$110,K61,IF(ID!$B$74=$A$111,R61))))))</f>
        <v>1.0000000000000001E-5</v>
      </c>
      <c r="E95" s="590">
        <f>IF(ID!$B$74=$A$106,E28,IF(ID!$B$74=$A$107,L28,IF(ID!$B$74=$A$108,S28,IF(ID!$B$74=$A$109,E61,IF(ID!$B$74=$A$110,L61,IF(ID!$B$74=$A$111,S61))))))</f>
        <v>1.0000000000000001E-5</v>
      </c>
      <c r="F95" s="591">
        <f>IF(ID!$B$74=$A$106,F28,IF(ID!$B$74=$A$107,M28,IF(ID!$B$74=$A$108,T28,IF(ID!$B$74=$A$109,F61,IF(ID!$B$74=$A$110,M61,IF(ID!$B$74=$A$111,T61))))))</f>
        <v>1.0000000000000001E-5</v>
      </c>
      <c r="O95" s="598"/>
      <c r="P95" s="599"/>
      <c r="Q95" s="599"/>
      <c r="R95" s="599"/>
      <c r="S95" s="598"/>
      <c r="T95" s="599"/>
      <c r="U95" s="599"/>
      <c r="V95" s="599"/>
      <c r="W95" s="598"/>
      <c r="X95" s="599"/>
      <c r="Y95" s="599"/>
      <c r="Z95" s="599"/>
    </row>
    <row r="96" spans="1:26" ht="14">
      <c r="A96" s="589">
        <f>IF(ID!$B$74=$A$106,A29,IF(ID!$B$74=$A$107,H29,IF(ID!$B$74=$A$108,O29,IF(ID!$B$74=$A$109,A62,IF(ID!$B$74=$A$110,H62,IF(ID!$B$74=$A$111,O62))))))</f>
        <v>500</v>
      </c>
      <c r="B96" s="590">
        <f>IF(ID!$B$74=$A$106,B29,IF(ID!$B$74=$A$107,I29,IF(ID!$B$74=$A$108,P29,IF(ID!$B$74=$A$109,B62,IF(ID!$B$74=$A$110,I62,IF(ID!$B$74=$A$111,P62))))))</f>
        <v>0</v>
      </c>
      <c r="C96" s="590">
        <f>IF(ID!$B$74=$A$106,C29,IF(ID!$B$74=$A$107,J29,IF(ID!$B$74=$A$108,Q29,IF(ID!$B$74=$A$109,C62,IF(ID!$B$74=$A$110,J62,IF(ID!$B$74=$A$111,Q62))))))</f>
        <v>0</v>
      </c>
      <c r="D96" s="590">
        <f>IF(ID!$B$74=$A$106,D29,IF(ID!$B$74=$A$107,K29,IF(ID!$B$74=$A$108,R29,IF(ID!$B$74=$A$109,D62,IF(ID!$B$74=$A$110,K62,IF(ID!$B$74=$A$111,R62))))))</f>
        <v>1.0000000000000001E-5</v>
      </c>
      <c r="E96" s="590">
        <f>IF(ID!$B$74=$A$106,E29,IF(ID!$B$74=$A$107,L29,IF(ID!$B$74=$A$108,S29,IF(ID!$B$74=$A$109,E62,IF(ID!$B$74=$A$110,L62,IF(ID!$B$74=$A$111,S62))))))</f>
        <v>1.0000000000000001E-5</v>
      </c>
      <c r="F96" s="591">
        <f>IF(ID!$B$74=$A$106,F29,IF(ID!$B$74=$A$107,M29,IF(ID!$B$74=$A$108,T29,IF(ID!$B$74=$A$109,F62,IF(ID!$B$74=$A$110,M62,IF(ID!$B$74=$A$111,T62))))))</f>
        <v>1.0000000000000001E-5</v>
      </c>
    </row>
    <row r="97" spans="1:26" ht="14">
      <c r="A97" s="589">
        <f>IF(ID!$B$74=$A$106,A30,IF(ID!$B$74=$A$107,H30,IF(ID!$B$74=$A$108,O30,IF(ID!$B$74=$A$109,A63,IF(ID!$B$74=$A$110,H63,IF(ID!$B$74=$A$111,O63))))))</f>
        <v>0</v>
      </c>
      <c r="B97" s="590">
        <f>IF(ID!$B$74=$A$106,B30,IF(ID!$B$74=$A$107,I30,IF(ID!$B$74=$A$108,P30,IF(ID!$B$74=$A$109,B63,IF(ID!$B$74=$A$110,I63,IF(ID!$B$74=$A$111,P63))))))</f>
        <v>0</v>
      </c>
      <c r="C97" s="590">
        <f>IF(ID!$B$74=$A$106,C30,IF(ID!$B$74=$A$107,J30,IF(ID!$B$74=$A$108,Q30,IF(ID!$B$74=$A$109,C63,IF(ID!$B$74=$A$110,J63,IF(ID!$B$74=$A$111,Q63))))))</f>
        <v>0</v>
      </c>
      <c r="D97" s="590">
        <f>IF(ID!$B$74=$A$106,D30,IF(ID!$B$74=$A$107,K30,IF(ID!$B$74=$A$108,R30,IF(ID!$B$74=$A$109,D63,IF(ID!$B$74=$A$110,K63,IF(ID!$B$74=$A$111,R63))))))</f>
        <v>1.0000000000000001E-5</v>
      </c>
      <c r="E97" s="590">
        <f>IF(ID!$B$74=$A$106,E30,IF(ID!$B$74=$A$107,L30,IF(ID!$B$74=$A$108,S30,IF(ID!$B$74=$A$109,E63,IF(ID!$B$74=$A$110,L63,IF(ID!$B$74=$A$111,S63))))))</f>
        <v>1.0000000000000001E-5</v>
      </c>
      <c r="F97" s="591">
        <f>IF(ID!$B$74=$A$106,F30,IF(ID!$B$74=$A$107,M30,IF(ID!$B$74=$A$108,T30,IF(ID!$B$74=$A$109,F63,IF(ID!$B$74=$A$110,M63,IF(ID!$B$74=$A$111,T63))))))</f>
        <v>1.0000000000000001E-5</v>
      </c>
      <c r="O97" s="67"/>
      <c r="P97" s="68"/>
      <c r="Q97" s="68"/>
      <c r="R97" s="68"/>
      <c r="S97" s="67"/>
      <c r="T97" s="68"/>
      <c r="U97" s="68"/>
      <c r="V97" s="68"/>
      <c r="W97" s="67"/>
      <c r="X97" s="68"/>
      <c r="Y97" s="68"/>
      <c r="Z97" s="68"/>
    </row>
    <row r="98" spans="1:26" ht="14">
      <c r="A98" s="589">
        <f>IF(ID!$B$74=$A$106,A31,IF(ID!$B$74=$A$107,H31,IF(ID!$B$74=$A$108,O31,IF(ID!$B$74=$A$109,A64,IF(ID!$B$74=$A$110,H64,IF(ID!$B$74=$A$111,O64))))))</f>
        <v>0</v>
      </c>
      <c r="B98" s="590">
        <f>IF(ID!$B$74=$A$106,B31,IF(ID!$B$74=$A$107,I31,IF(ID!$B$74=$A$108,P31,IF(ID!$B$74=$A$109,B64,IF(ID!$B$74=$A$110,I64,IF(ID!$B$74=$A$111,P64))))))</f>
        <v>0</v>
      </c>
      <c r="C98" s="590">
        <f>IF(ID!$B$74=$A$106,C31,IF(ID!$B$74=$A$107,J31,IF(ID!$B$74=$A$108,Q31,IF(ID!$B$74=$A$109,C64,IF(ID!$B$74=$A$110,J64,IF(ID!$B$74=$A$111,Q64))))))</f>
        <v>0</v>
      </c>
      <c r="D98" s="590">
        <f>IF(ID!$B$74=$A$106,D31,IF(ID!$B$74=$A$107,K31,IF(ID!$B$74=$A$108,R31,IF(ID!$B$74=$A$109,D64,IF(ID!$B$74=$A$110,K64,IF(ID!$B$74=$A$111,R64))))))</f>
        <v>1.0000000000000001E-5</v>
      </c>
      <c r="E98" s="590">
        <f>IF(ID!$B$74=$A$106,E31,IF(ID!$B$74=$A$107,L31,IF(ID!$B$74=$A$108,S31,IF(ID!$B$74=$A$109,E64,IF(ID!$B$74=$A$110,L64,IF(ID!$B$74=$A$111,S64))))))</f>
        <v>1.0000000000000001E-5</v>
      </c>
      <c r="F98" s="591">
        <f>IF(ID!$B$74=$A$106,F31,IF(ID!$B$74=$A$107,M31,IF(ID!$B$74=$A$108,T31,IF(ID!$B$74=$A$109,F64,IF(ID!$B$74=$A$110,M64,IF(ID!$B$74=$A$111,T64))))))</f>
        <v>1.0000000000000001E-5</v>
      </c>
      <c r="O98" s="67"/>
      <c r="P98" s="68"/>
      <c r="Q98" s="68"/>
      <c r="R98" s="68"/>
      <c r="S98" s="67"/>
      <c r="T98" s="68"/>
      <c r="U98" s="68"/>
      <c r="V98" s="68"/>
      <c r="W98" s="67"/>
      <c r="X98" s="68"/>
      <c r="Y98" s="68"/>
      <c r="Z98" s="68"/>
    </row>
    <row r="99" spans="1:26" ht="14.5" thickBot="1">
      <c r="A99" s="592">
        <f>IF(ID!$B$74=$A$106,A32,IF(ID!$B$74=$A$107,H32,IF(ID!$B$74=$A$108,O32,IF(ID!$B$74=$A$109,A65,IF(ID!$B$74=$A$110,H65,IF(ID!$B$74=$A$111,O65))))))</f>
        <v>0</v>
      </c>
      <c r="B99" s="593">
        <f>IF(ID!$B$74=$A$106,B32,IF(ID!$B$74=$A$107,I32,IF(ID!$B$74=$A$108,P32,IF(ID!$B$74=$A$109,B65,IF(ID!$B$74=$A$110,I65,IF(ID!$B$74=$A$111,P65))))))</f>
        <v>0</v>
      </c>
      <c r="C99" s="593">
        <f>IF(ID!$B$74=$A$106,C32,IF(ID!$B$74=$A$107,J32,IF(ID!$B$74=$A$108,Q32,IF(ID!$B$74=$A$109,C65,IF(ID!$B$74=$A$110,J65,IF(ID!$B$74=$A$111,Q65))))))</f>
        <v>0</v>
      </c>
      <c r="D99" s="593">
        <f>IF(ID!$B$74=$A$106,D32,IF(ID!$B$74=$A$107,K32,IF(ID!$B$74=$A$108,R32,IF(ID!$B$74=$A$109,D65,IF(ID!$B$74=$A$110,K65,IF(ID!$B$74=$A$111,R65))))))</f>
        <v>1.0000000000000001E-5</v>
      </c>
      <c r="E99" s="593">
        <f>IF(ID!$B$74=$A$106,E32,IF(ID!$B$74=$A$107,L32,IF(ID!$B$74=$A$108,S32,IF(ID!$B$74=$A$109,E65,IF(ID!$B$74=$A$110,L65,IF(ID!$B$74=$A$111,S65))))))</f>
        <v>1.0000000000000001E-5</v>
      </c>
      <c r="F99" s="594">
        <f>IF(ID!$B$74=$A$106,F32,IF(ID!$B$74=$A$107,M32,IF(ID!$B$74=$A$108,T32,IF(ID!$B$74=$A$109,F65,IF(ID!$B$74=$A$110,M65,IF(ID!$B$74=$A$111,T65))))))</f>
        <v>1.0000000000000001E-5</v>
      </c>
    </row>
    <row r="100" spans="1:26">
      <c r="O100" s="67"/>
      <c r="P100" s="68"/>
      <c r="Q100" s="68"/>
      <c r="R100" s="68"/>
      <c r="S100" s="67"/>
      <c r="T100" s="68"/>
      <c r="U100" s="68"/>
      <c r="V100" s="68"/>
      <c r="W100" s="67"/>
      <c r="X100" s="68"/>
      <c r="Y100" s="68"/>
      <c r="Z100" s="68"/>
    </row>
    <row r="101" spans="1:26">
      <c r="O101" s="67"/>
      <c r="P101" s="68"/>
      <c r="Q101" s="68"/>
      <c r="R101" s="68"/>
      <c r="S101" s="67"/>
      <c r="T101" s="68"/>
      <c r="U101" s="68"/>
      <c r="V101" s="68"/>
      <c r="W101" s="67"/>
      <c r="X101" s="68"/>
      <c r="Y101" s="68"/>
      <c r="Z101" s="68"/>
    </row>
    <row r="103" spans="1:26">
      <c r="O103" s="67"/>
      <c r="P103" s="68"/>
      <c r="Q103" s="68"/>
      <c r="R103" s="68"/>
      <c r="S103" s="67"/>
      <c r="T103" s="68"/>
      <c r="U103" s="68"/>
      <c r="V103" s="68"/>
      <c r="W103" s="67"/>
      <c r="X103" s="68"/>
      <c r="Y103" s="68"/>
      <c r="Z103" s="68"/>
    </row>
    <row r="104" spans="1:26">
      <c r="O104" s="67"/>
      <c r="P104" s="68"/>
      <c r="Q104" s="68"/>
      <c r="R104" s="68"/>
      <c r="S104" s="67"/>
      <c r="T104" s="68"/>
      <c r="U104" s="68"/>
      <c r="V104" s="68"/>
      <c r="W104" s="67"/>
      <c r="X104" s="68"/>
      <c r="Y104" s="68"/>
      <c r="Z104" s="68"/>
    </row>
    <row r="105" spans="1:26" ht="14.5">
      <c r="A105" s="611" t="str">
        <f>ID!B74</f>
        <v>Electrosurgical Analyzer, Merek : Fluke, Model : QA-ES III, SN : 4639004</v>
      </c>
      <c r="B105" s="920"/>
      <c r="C105" s="920"/>
      <c r="D105" s="920"/>
      <c r="E105" s="920"/>
      <c r="F105" s="920"/>
      <c r="G105" s="920"/>
      <c r="H105" s="920"/>
      <c r="I105" s="920"/>
      <c r="J105" s="920"/>
      <c r="K105" s="920"/>
    </row>
    <row r="106" spans="1:26" ht="14.5">
      <c r="A106" s="611" t="str">
        <f>A2</f>
        <v>Electrosurgical Analyzer, Merek : Fluke, Model : QA-ES II, SN : 201027</v>
      </c>
      <c r="B106" s="611"/>
      <c r="C106" s="611"/>
      <c r="D106" s="611"/>
      <c r="E106" s="611"/>
      <c r="F106" s="611"/>
      <c r="G106" s="611"/>
      <c r="H106" s="612"/>
      <c r="I106" s="588">
        <f>C5</f>
        <v>2010</v>
      </c>
      <c r="J106" s="588">
        <f>D5</f>
        <v>2011</v>
      </c>
      <c r="K106" s="523">
        <v>1</v>
      </c>
      <c r="O106" s="67"/>
      <c r="P106" s="68"/>
      <c r="Q106" s="68"/>
      <c r="R106" s="68"/>
      <c r="S106" s="67"/>
      <c r="T106" s="68"/>
      <c r="U106" s="68"/>
      <c r="V106" s="68"/>
      <c r="W106" s="67"/>
      <c r="X106" s="68"/>
      <c r="Y106" s="68"/>
      <c r="Z106" s="68"/>
    </row>
    <row r="107" spans="1:26" ht="14.5">
      <c r="A107" s="86" t="str">
        <f>H2</f>
        <v>Electrosurgical Analyzer, Merek : Fluke, Model : QA-ES II, SN : 201033</v>
      </c>
      <c r="B107" s="86"/>
      <c r="C107" s="86"/>
      <c r="D107" s="86"/>
      <c r="E107" s="86"/>
      <c r="F107" s="86"/>
      <c r="G107" s="86"/>
      <c r="H107" s="613"/>
      <c r="I107" s="588">
        <f>J5</f>
        <v>2010</v>
      </c>
      <c r="J107" s="588">
        <f>K5</f>
        <v>2011</v>
      </c>
      <c r="K107" s="523">
        <v>2</v>
      </c>
      <c r="O107" s="67"/>
      <c r="P107" s="68"/>
      <c r="Q107" s="68"/>
      <c r="R107" s="68"/>
      <c r="S107" s="67"/>
      <c r="T107" s="68"/>
      <c r="U107" s="68"/>
      <c r="V107" s="68"/>
      <c r="W107" s="67"/>
      <c r="X107" s="68"/>
      <c r="Y107" s="68"/>
      <c r="Z107" s="68"/>
    </row>
    <row r="108" spans="1:26" ht="14.5">
      <c r="A108" s="86" t="str">
        <f>O2</f>
        <v>Electrosurgical Analyzer, Merek : Fluke, Model : QA-ES III, SN : 440245</v>
      </c>
      <c r="B108" s="86"/>
      <c r="C108" s="86"/>
      <c r="D108" s="86"/>
      <c r="E108" s="86"/>
      <c r="F108" s="86"/>
      <c r="G108" s="86"/>
      <c r="H108" s="613"/>
      <c r="I108" s="588">
        <f>Q5</f>
        <v>2017</v>
      </c>
      <c r="J108" s="588">
        <f>R5</f>
        <v>2018</v>
      </c>
      <c r="K108" s="523">
        <v>3</v>
      </c>
    </row>
    <row r="109" spans="1:26" ht="14.5">
      <c r="A109" s="86" t="str">
        <f>A35</f>
        <v>Electrosurgical Analyzer, Merek : Fluke, Model : QA-ES III, SN : 4639004</v>
      </c>
      <c r="B109" s="86"/>
      <c r="C109" s="86"/>
      <c r="D109" s="86"/>
      <c r="E109" s="86"/>
      <c r="F109" s="86"/>
      <c r="G109" s="86"/>
      <c r="H109" s="613"/>
      <c r="I109" s="588">
        <f>C38</f>
        <v>2017</v>
      </c>
      <c r="J109" s="588">
        <f>D38</f>
        <v>2018</v>
      </c>
      <c r="K109" s="523">
        <v>4</v>
      </c>
      <c r="O109" s="67"/>
      <c r="P109" s="68"/>
      <c r="Q109" s="68"/>
      <c r="R109" s="68"/>
      <c r="S109" s="67"/>
      <c r="T109" s="68"/>
      <c r="U109" s="68"/>
      <c r="V109" s="68"/>
      <c r="W109" s="67"/>
      <c r="X109" s="68"/>
      <c r="Y109" s="68"/>
      <c r="Z109" s="68"/>
    </row>
    <row r="110" spans="1:26" ht="14.5">
      <c r="A110" s="86" t="str">
        <f>H35</f>
        <v>Electrosurgical Analyzer, Merek : S.P.L Elektronik, Model : HF-400, SN : 1549HF400</v>
      </c>
      <c r="B110" s="86"/>
      <c r="C110" s="86"/>
      <c r="D110" s="86"/>
      <c r="E110" s="86"/>
      <c r="F110" s="86"/>
      <c r="G110" s="86"/>
      <c r="H110" s="613"/>
      <c r="I110" s="588">
        <f>J38</f>
        <v>2010</v>
      </c>
      <c r="J110" s="588">
        <f>K38</f>
        <v>2011</v>
      </c>
      <c r="K110" s="523">
        <v>5</v>
      </c>
      <c r="O110" s="67"/>
      <c r="P110" s="68"/>
      <c r="Q110" s="68"/>
      <c r="R110" s="68"/>
      <c r="S110" s="67"/>
      <c r="T110" s="68"/>
      <c r="U110" s="68"/>
      <c r="V110" s="68"/>
      <c r="W110" s="67"/>
      <c r="X110" s="68"/>
      <c r="Y110" s="68"/>
      <c r="Z110" s="68"/>
    </row>
    <row r="111" spans="1:26" ht="14.5">
      <c r="A111" s="614" t="str">
        <f>O35</f>
        <v>Electrosurgical Analyzer, Merek : RIGEL, Model : Uni-Therm, SN : 40L-0755</v>
      </c>
      <c r="B111" s="614"/>
      <c r="C111" s="614"/>
      <c r="D111" s="614"/>
      <c r="E111" s="614"/>
      <c r="F111" s="614"/>
      <c r="G111" s="614"/>
      <c r="H111" s="615"/>
      <c r="I111" s="588">
        <f>Q38</f>
        <v>2010</v>
      </c>
      <c r="J111" s="588">
        <f>R38</f>
        <v>2011</v>
      </c>
      <c r="K111" s="523">
        <v>6</v>
      </c>
    </row>
    <row r="112" spans="1:26" ht="14.5">
      <c r="A112" s="611">
        <f>VLOOKUP(A105,A106:K111,11,(FALSE))</f>
        <v>4</v>
      </c>
      <c r="B112" s="921"/>
      <c r="C112" s="921"/>
      <c r="D112" s="921"/>
      <c r="E112" s="921"/>
      <c r="F112" s="921"/>
      <c r="G112" s="921"/>
      <c r="H112" s="921"/>
      <c r="I112" s="921"/>
      <c r="J112" s="921"/>
      <c r="K112" s="921"/>
      <c r="O112" s="67"/>
      <c r="P112" s="68"/>
      <c r="Q112" s="68"/>
      <c r="R112" s="68"/>
      <c r="S112" s="67"/>
      <c r="T112" s="68"/>
      <c r="U112" s="68"/>
      <c r="V112" s="68"/>
      <c r="W112" s="67"/>
      <c r="X112" s="68"/>
      <c r="Y112" s="68"/>
      <c r="Z112" s="68"/>
    </row>
    <row r="113" spans="15:26">
      <c r="O113" s="67"/>
      <c r="P113" s="68"/>
      <c r="Q113" s="68"/>
      <c r="R113" s="68"/>
      <c r="S113" s="67"/>
      <c r="T113" s="68"/>
      <c r="U113" s="68"/>
      <c r="V113" s="68"/>
      <c r="W113" s="67"/>
      <c r="X113" s="68"/>
      <c r="Y113" s="68"/>
      <c r="Z113" s="68"/>
    </row>
    <row r="115" spans="15:26">
      <c r="O115" s="67"/>
      <c r="P115" s="68"/>
      <c r="Q115" s="68"/>
      <c r="R115" s="68"/>
      <c r="S115" s="67"/>
      <c r="T115" s="68"/>
      <c r="U115" s="68"/>
      <c r="V115" s="68"/>
      <c r="W115" s="67"/>
      <c r="X115" s="68"/>
      <c r="Y115" s="68"/>
      <c r="Z115" s="68"/>
    </row>
    <row r="117" spans="15:26">
      <c r="O117" s="67"/>
      <c r="P117" s="68"/>
      <c r="Q117" s="68"/>
      <c r="R117" s="68"/>
      <c r="S117" s="67"/>
      <c r="T117" s="68"/>
      <c r="U117" s="68"/>
      <c r="V117" s="68"/>
      <c r="W117" s="67"/>
      <c r="X117" s="68"/>
      <c r="Y117" s="68"/>
      <c r="Z117" s="68"/>
    </row>
    <row r="118" spans="15:26">
      <c r="O118" s="67"/>
      <c r="P118" s="68"/>
      <c r="Q118" s="68"/>
      <c r="R118" s="68"/>
      <c r="S118" s="67"/>
      <c r="T118" s="68"/>
      <c r="U118" s="68"/>
      <c r="V118" s="68"/>
      <c r="W118" s="67"/>
      <c r="X118" s="68"/>
      <c r="Y118" s="68"/>
      <c r="Z118" s="68"/>
    </row>
    <row r="120" spans="15:26">
      <c r="O120" s="67"/>
      <c r="P120" s="68"/>
      <c r="Q120" s="68"/>
      <c r="R120" s="68"/>
      <c r="S120" s="67"/>
      <c r="T120" s="68"/>
      <c r="U120" s="68"/>
      <c r="V120" s="68"/>
      <c r="W120" s="67"/>
      <c r="X120" s="68"/>
      <c r="Y120" s="68"/>
      <c r="Z120" s="68"/>
    </row>
    <row r="121" spans="15:26">
      <c r="O121" s="67"/>
      <c r="P121" s="68"/>
      <c r="Q121" s="68"/>
      <c r="R121" s="68"/>
      <c r="S121" s="67"/>
      <c r="T121" s="68"/>
      <c r="U121" s="68"/>
      <c r="V121" s="68"/>
      <c r="W121" s="67"/>
      <c r="X121" s="68"/>
      <c r="Y121" s="68"/>
      <c r="Z121" s="68"/>
    </row>
    <row r="123" spans="15:26">
      <c r="O123" s="67"/>
      <c r="P123" s="68"/>
      <c r="Q123" s="68"/>
      <c r="R123" s="68"/>
      <c r="S123" s="67"/>
      <c r="T123" s="68"/>
      <c r="U123" s="68"/>
      <c r="V123" s="68"/>
      <c r="W123" s="67"/>
      <c r="X123" s="68"/>
      <c r="Y123" s="68"/>
      <c r="Z123" s="68"/>
    </row>
    <row r="124" spans="15:26">
      <c r="O124" s="67"/>
      <c r="P124" s="68"/>
      <c r="Q124" s="68"/>
      <c r="R124" s="68"/>
      <c r="S124" s="67"/>
      <c r="T124" s="68"/>
      <c r="U124" s="68"/>
      <c r="V124" s="68"/>
      <c r="W124" s="67"/>
      <c r="X124" s="68"/>
      <c r="Y124" s="68"/>
      <c r="Z124" s="68"/>
    </row>
    <row r="126" spans="15:26">
      <c r="O126" s="67"/>
      <c r="P126" s="68"/>
      <c r="Q126" s="68"/>
      <c r="R126" s="68"/>
      <c r="S126" s="67"/>
      <c r="T126" s="68"/>
      <c r="U126" s="68"/>
      <c r="V126" s="68"/>
      <c r="W126" s="67"/>
      <c r="X126" s="68"/>
      <c r="Y126" s="68"/>
      <c r="Z126" s="68"/>
    </row>
    <row r="127" spans="15:26">
      <c r="O127" s="67"/>
      <c r="P127" s="68"/>
      <c r="Q127" s="68"/>
      <c r="R127" s="68"/>
      <c r="S127" s="67"/>
      <c r="T127" s="68"/>
      <c r="U127" s="68"/>
      <c r="V127" s="68"/>
      <c r="W127" s="67"/>
      <c r="X127" s="68"/>
      <c r="Y127" s="68"/>
      <c r="Z127" s="68"/>
    </row>
    <row r="129" spans="15:26">
      <c r="O129" s="67"/>
      <c r="P129" s="68"/>
      <c r="Q129" s="68"/>
      <c r="R129" s="68"/>
      <c r="S129" s="67"/>
      <c r="T129" s="68"/>
      <c r="U129" s="68"/>
      <c r="V129" s="68"/>
      <c r="W129" s="67"/>
      <c r="X129" s="68"/>
      <c r="Y129" s="68"/>
      <c r="Z129" s="68"/>
    </row>
    <row r="130" spans="15:26">
      <c r="O130" s="67"/>
      <c r="P130" s="68"/>
      <c r="Q130" s="68"/>
      <c r="R130" s="68"/>
      <c r="S130" s="67"/>
      <c r="T130" s="68"/>
      <c r="U130" s="68"/>
      <c r="V130" s="68"/>
      <c r="W130" s="67"/>
      <c r="X130" s="68"/>
      <c r="Y130" s="68"/>
      <c r="Z130" s="68"/>
    </row>
    <row r="132" spans="15:26">
      <c r="O132" s="67"/>
      <c r="P132" s="68"/>
      <c r="Q132" s="68"/>
      <c r="R132" s="68"/>
      <c r="S132" s="67"/>
      <c r="T132" s="68"/>
      <c r="U132" s="68"/>
      <c r="V132" s="68"/>
      <c r="W132" s="67"/>
      <c r="X132" s="68"/>
      <c r="Y132" s="68"/>
      <c r="Z132" s="68"/>
    </row>
    <row r="133" spans="15:26">
      <c r="O133" s="67"/>
      <c r="P133" s="68"/>
      <c r="Q133" s="68"/>
      <c r="R133" s="68"/>
      <c r="S133" s="67"/>
      <c r="T133" s="68"/>
      <c r="U133" s="68"/>
      <c r="V133" s="68"/>
      <c r="W133" s="67"/>
      <c r="X133" s="68"/>
      <c r="Y133" s="68"/>
      <c r="Z133" s="68"/>
    </row>
    <row r="135" spans="15:26">
      <c r="O135" s="67"/>
      <c r="P135" s="68"/>
      <c r="Q135" s="68"/>
      <c r="R135" s="68"/>
      <c r="S135" s="67"/>
      <c r="T135" s="68"/>
      <c r="U135" s="68"/>
      <c r="V135" s="68"/>
      <c r="W135" s="67"/>
      <c r="X135" s="68"/>
      <c r="Y135" s="68"/>
      <c r="Z135" s="68"/>
    </row>
    <row r="136" spans="15:26">
      <c r="O136" s="67"/>
      <c r="P136" s="68"/>
      <c r="Q136" s="68"/>
      <c r="R136" s="68"/>
      <c r="S136" s="67"/>
      <c r="T136" s="68"/>
      <c r="U136" s="68"/>
      <c r="V136" s="68"/>
      <c r="W136" s="67"/>
      <c r="X136" s="68"/>
      <c r="Y136" s="68"/>
      <c r="Z136" s="68"/>
    </row>
    <row r="138" spans="15:26">
      <c r="O138" s="67"/>
      <c r="P138" s="68"/>
      <c r="Q138" s="68"/>
      <c r="R138" s="68"/>
      <c r="S138" s="67"/>
      <c r="T138" s="68"/>
      <c r="U138" s="68"/>
      <c r="V138" s="68"/>
      <c r="W138" s="67"/>
      <c r="X138" s="68"/>
      <c r="Y138" s="68"/>
      <c r="Z138" s="68"/>
    </row>
  </sheetData>
  <mergeCells count="64">
    <mergeCell ref="I56:K56"/>
    <mergeCell ref="H22:K22"/>
    <mergeCell ref="B23:D23"/>
    <mergeCell ref="A22:D22"/>
    <mergeCell ref="A3:D3"/>
    <mergeCell ref="B4:D4"/>
    <mergeCell ref="A12:D12"/>
    <mergeCell ref="B13:D13"/>
    <mergeCell ref="A55:D55"/>
    <mergeCell ref="B56:D56"/>
    <mergeCell ref="I46:K46"/>
    <mergeCell ref="A2:F2"/>
    <mergeCell ref="A45:D45"/>
    <mergeCell ref="B46:D46"/>
    <mergeCell ref="H45:K45"/>
    <mergeCell ref="O55:R55"/>
    <mergeCell ref="H55:K55"/>
    <mergeCell ref="O12:R12"/>
    <mergeCell ref="P13:R13"/>
    <mergeCell ref="O22:R22"/>
    <mergeCell ref="P23:R23"/>
    <mergeCell ref="I13:K13"/>
    <mergeCell ref="I23:K23"/>
    <mergeCell ref="H12:K12"/>
    <mergeCell ref="O45:R45"/>
    <mergeCell ref="P46:R46"/>
    <mergeCell ref="P56:R56"/>
    <mergeCell ref="H2:M2"/>
    <mergeCell ref="O2:T2"/>
    <mergeCell ref="A35:F35"/>
    <mergeCell ref="H35:M35"/>
    <mergeCell ref="O35:T35"/>
    <mergeCell ref="H3:K3"/>
    <mergeCell ref="I4:K4"/>
    <mergeCell ref="O3:R3"/>
    <mergeCell ref="P4:R4"/>
    <mergeCell ref="A36:D36"/>
    <mergeCell ref="B37:D37"/>
    <mergeCell ref="H36:K36"/>
    <mergeCell ref="I37:K37"/>
    <mergeCell ref="O36:R36"/>
    <mergeCell ref="P37:R37"/>
    <mergeCell ref="B90:D90"/>
    <mergeCell ref="O75:R75"/>
    <mergeCell ref="S85:V85"/>
    <mergeCell ref="O85:R85"/>
    <mergeCell ref="A69:F69"/>
    <mergeCell ref="A70:D70"/>
    <mergeCell ref="A79:D79"/>
    <mergeCell ref="A89:D89"/>
    <mergeCell ref="B71:D71"/>
    <mergeCell ref="B80:D80"/>
    <mergeCell ref="E70:E72"/>
    <mergeCell ref="F70:F72"/>
    <mergeCell ref="E79:E81"/>
    <mergeCell ref="F79:F81"/>
    <mergeCell ref="E89:E91"/>
    <mergeCell ref="F89:F91"/>
    <mergeCell ref="O69:R69"/>
    <mergeCell ref="S75:V75"/>
    <mergeCell ref="O73:R73"/>
    <mergeCell ref="O71:R71"/>
    <mergeCell ref="W85:Z85"/>
    <mergeCell ref="W75:Z75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FC3E-592E-4D03-960F-F5DF1E9965A2}">
  <sheetPr>
    <tabColor rgb="FF00B050"/>
  </sheetPr>
  <dimension ref="A1:AX219"/>
  <sheetViews>
    <sheetView topLeftCell="A135" zoomScale="91" zoomScaleNormal="91" zoomScaleSheetLayoutView="77" workbookViewId="0">
      <selection activeCell="P137" sqref="P137"/>
    </sheetView>
  </sheetViews>
  <sheetFormatPr defaultColWidth="9" defaultRowHeight="12.5"/>
  <cols>
    <col min="1" max="1" width="10.26953125" style="480" customWidth="1"/>
    <col min="2" max="9" width="9" style="480"/>
    <col min="10" max="10" width="10" style="480" bestFit="1" customWidth="1"/>
    <col min="11" max="11" width="9" style="480"/>
    <col min="12" max="12" width="9.54296875" style="480" customWidth="1"/>
    <col min="13" max="13" width="10.54296875" style="480" bestFit="1" customWidth="1"/>
    <col min="14" max="14" width="12.1796875" style="480" customWidth="1"/>
    <col min="15" max="15" width="12.26953125" style="480" customWidth="1"/>
    <col min="16" max="16384" width="9" style="480"/>
  </cols>
  <sheetData>
    <row r="1" spans="1:25" ht="48" customHeight="1">
      <c r="A1" s="1329" t="s">
        <v>343</v>
      </c>
      <c r="B1" s="1330"/>
      <c r="C1" s="1330"/>
      <c r="D1" s="1330"/>
      <c r="E1" s="1330"/>
      <c r="F1" s="1330"/>
      <c r="G1" s="1330"/>
      <c r="H1" s="1330"/>
      <c r="I1" s="1330"/>
      <c r="J1" s="1330"/>
      <c r="K1" s="1330"/>
      <c r="L1" s="1330"/>
      <c r="M1" s="1330"/>
      <c r="N1" s="1330"/>
      <c r="O1" s="1330"/>
      <c r="P1" s="1330"/>
      <c r="Q1" s="1330"/>
      <c r="R1" s="1330"/>
      <c r="S1" s="1330"/>
      <c r="T1" s="1330"/>
      <c r="U1" s="1330"/>
      <c r="V1" s="1330"/>
      <c r="W1" s="1331"/>
      <c r="Y1" s="480" t="s">
        <v>108</v>
      </c>
    </row>
    <row r="2" spans="1:25" ht="25.5" customHeight="1">
      <c r="A2" s="1287" t="s">
        <v>270</v>
      </c>
      <c r="B2" s="1324" t="s">
        <v>344</v>
      </c>
      <c r="C2" s="1324"/>
      <c r="D2" s="1324"/>
      <c r="E2" s="1324"/>
      <c r="F2" s="1324"/>
      <c r="G2" s="1324"/>
      <c r="H2" s="185"/>
      <c r="I2" s="1287" t="s">
        <v>271</v>
      </c>
      <c r="J2" s="1324" t="s">
        <v>345</v>
      </c>
      <c r="K2" s="1324"/>
      <c r="L2" s="1324"/>
      <c r="M2" s="1324"/>
      <c r="N2" s="1324"/>
      <c r="O2" s="1324"/>
      <c r="P2" s="186"/>
      <c r="Q2" s="1287" t="s">
        <v>272</v>
      </c>
      <c r="R2" s="1324" t="s">
        <v>346</v>
      </c>
      <c r="S2" s="1324"/>
      <c r="T2" s="1324"/>
      <c r="U2" s="1324"/>
      <c r="V2" s="1324"/>
      <c r="W2" s="1324"/>
    </row>
    <row r="3" spans="1:25" ht="15" customHeight="1">
      <c r="A3" s="1288"/>
      <c r="B3" s="1325" t="s">
        <v>347</v>
      </c>
      <c r="C3" s="1325"/>
      <c r="D3" s="1325"/>
      <c r="E3" s="1325"/>
      <c r="F3" s="473"/>
      <c r="G3" s="473"/>
      <c r="H3" s="187"/>
      <c r="I3" s="1288"/>
      <c r="J3" s="1325" t="s">
        <v>347</v>
      </c>
      <c r="K3" s="1325"/>
      <c r="L3" s="1325"/>
      <c r="M3" s="1325"/>
      <c r="N3" s="473"/>
      <c r="O3" s="473"/>
      <c r="P3" s="188"/>
      <c r="Q3" s="1288"/>
      <c r="R3" s="1325" t="s">
        <v>347</v>
      </c>
      <c r="S3" s="1325"/>
      <c r="T3" s="1325"/>
      <c r="U3" s="1325"/>
      <c r="V3" s="474"/>
      <c r="W3" s="474"/>
    </row>
    <row r="4" spans="1:25" ht="12.75" customHeight="1">
      <c r="A4" s="1288"/>
      <c r="B4" s="1317" t="s">
        <v>348</v>
      </c>
      <c r="C4" s="1318"/>
      <c r="D4" s="1318"/>
      <c r="E4" s="1319"/>
      <c r="F4" s="472" t="s">
        <v>349</v>
      </c>
      <c r="G4" s="472" t="s">
        <v>243</v>
      </c>
      <c r="H4" s="189"/>
      <c r="I4" s="1288"/>
      <c r="J4" s="1317" t="s">
        <v>348</v>
      </c>
      <c r="K4" s="1318"/>
      <c r="L4" s="1318"/>
      <c r="M4" s="1319"/>
      <c r="N4" s="472" t="s">
        <v>349</v>
      </c>
      <c r="O4" s="472" t="s">
        <v>243</v>
      </c>
      <c r="P4" s="189"/>
      <c r="Q4" s="1288"/>
      <c r="R4" s="1317" t="s">
        <v>348</v>
      </c>
      <c r="S4" s="1318"/>
      <c r="T4" s="1318"/>
      <c r="U4" s="1319"/>
      <c r="V4" s="472" t="s">
        <v>349</v>
      </c>
      <c r="W4" s="472" t="s">
        <v>243</v>
      </c>
    </row>
    <row r="5" spans="1:25" ht="15" customHeight="1">
      <c r="A5" s="1288"/>
      <c r="B5" s="474" t="s">
        <v>350</v>
      </c>
      <c r="C5" s="472">
        <v>2019</v>
      </c>
      <c r="D5" s="472">
        <v>2019</v>
      </c>
      <c r="E5" s="472">
        <v>2020</v>
      </c>
      <c r="F5" s="472"/>
      <c r="G5" s="472"/>
      <c r="H5" s="189"/>
      <c r="I5" s="1288"/>
      <c r="J5" s="474" t="s">
        <v>350</v>
      </c>
      <c r="K5" s="472">
        <v>2017</v>
      </c>
      <c r="L5" s="472">
        <v>2017</v>
      </c>
      <c r="M5" s="472">
        <v>2019</v>
      </c>
      <c r="N5" s="472"/>
      <c r="O5" s="472"/>
      <c r="P5" s="189"/>
      <c r="Q5" s="1288"/>
      <c r="R5" s="474" t="s">
        <v>350</v>
      </c>
      <c r="S5" s="472">
        <v>2018</v>
      </c>
      <c r="T5" s="472">
        <v>2018</v>
      </c>
      <c r="U5" s="472">
        <v>2021</v>
      </c>
      <c r="V5" s="472"/>
      <c r="W5" s="472"/>
    </row>
    <row r="6" spans="1:25" ht="15" customHeight="1">
      <c r="A6" s="1288"/>
      <c r="B6" s="190">
        <v>150</v>
      </c>
      <c r="C6" s="192">
        <v>0.76</v>
      </c>
      <c r="D6" s="192">
        <v>0.76</v>
      </c>
      <c r="E6" s="192">
        <v>0.31</v>
      </c>
      <c r="F6" s="193">
        <f t="shared" ref="F6:F11" si="0">0.5*(MAX(C6:E6)-MIN(C6:E6))</f>
        <v>0.22500000000000001</v>
      </c>
      <c r="G6" s="194">
        <f>B6*$H$6</f>
        <v>1.8</v>
      </c>
      <c r="H6" s="189">
        <f>1.2/100</f>
        <v>1.2E-2</v>
      </c>
      <c r="I6" s="1288"/>
      <c r="J6" s="190">
        <v>150</v>
      </c>
      <c r="K6" s="191">
        <v>0.23</v>
      </c>
      <c r="L6" s="191">
        <v>0.23</v>
      </c>
      <c r="M6" s="192">
        <v>0.15</v>
      </c>
      <c r="N6" s="193">
        <f t="shared" ref="N6:N11" si="1">0.5*(MAX(K6:M6)-MIN(K6:M6))</f>
        <v>4.0000000000000008E-2</v>
      </c>
      <c r="O6" s="194">
        <f>J6*$P$6</f>
        <v>1.8</v>
      </c>
      <c r="P6" s="189">
        <f>1.2/100</f>
        <v>1.2E-2</v>
      </c>
      <c r="Q6" s="1288"/>
      <c r="R6" s="195">
        <v>150</v>
      </c>
      <c r="S6" s="191">
        <v>-7.0000000000000007E-2</v>
      </c>
      <c r="T6" s="191">
        <v>-7.0000000000000007E-2</v>
      </c>
      <c r="U6" s="191">
        <v>-1.6</v>
      </c>
      <c r="V6" s="193">
        <f t="shared" ref="V6:V11" si="2">0.5*(MAX(S6:U6)-MIN(S6:U6))</f>
        <v>0.76500000000000001</v>
      </c>
      <c r="W6" s="197">
        <f>R6*$X$6</f>
        <v>1.8</v>
      </c>
      <c r="X6" s="480">
        <f>1.2/100</f>
        <v>1.2E-2</v>
      </c>
    </row>
    <row r="7" spans="1:25" ht="12.75" customHeight="1">
      <c r="A7" s="1288"/>
      <c r="B7" s="190">
        <v>180</v>
      </c>
      <c r="C7" s="198">
        <v>-0.13</v>
      </c>
      <c r="D7" s="198">
        <v>-0.13</v>
      </c>
      <c r="E7" s="198">
        <v>0.1</v>
      </c>
      <c r="F7" s="193">
        <f t="shared" si="0"/>
        <v>0.115</v>
      </c>
      <c r="G7" s="194">
        <f t="shared" ref="G7:G11" si="3">B7*$H$6</f>
        <v>2.16</v>
      </c>
      <c r="H7" s="189"/>
      <c r="I7" s="1288"/>
      <c r="J7" s="190">
        <v>180</v>
      </c>
      <c r="K7" s="191">
        <v>-0.06</v>
      </c>
      <c r="L7" s="191">
        <v>-0.06</v>
      </c>
      <c r="M7" s="198">
        <v>0.12</v>
      </c>
      <c r="N7" s="193">
        <f t="shared" si="1"/>
        <v>0.09</v>
      </c>
      <c r="O7" s="194">
        <f t="shared" ref="O7:O11" si="4">J7*$P$6</f>
        <v>2.16</v>
      </c>
      <c r="P7" s="189"/>
      <c r="Q7" s="1288"/>
      <c r="R7" s="199">
        <v>180</v>
      </c>
      <c r="S7" s="191">
        <v>-0.13</v>
      </c>
      <c r="T7" s="191">
        <v>-0.13</v>
      </c>
      <c r="U7" s="191">
        <v>-1.9</v>
      </c>
      <c r="V7" s="193">
        <f t="shared" si="2"/>
        <v>0.88500000000000001</v>
      </c>
      <c r="W7" s="197">
        <f t="shared" ref="W7:W11" si="5">R7*$X$6</f>
        <v>2.16</v>
      </c>
    </row>
    <row r="8" spans="1:25" ht="12.75" customHeight="1">
      <c r="A8" s="1288"/>
      <c r="B8" s="190">
        <v>200</v>
      </c>
      <c r="C8" s="198">
        <v>-0.16</v>
      </c>
      <c r="D8" s="198">
        <v>-0.16</v>
      </c>
      <c r="E8" s="198">
        <v>-0.04</v>
      </c>
      <c r="F8" s="193">
        <f t="shared" si="0"/>
        <v>0.06</v>
      </c>
      <c r="G8" s="194">
        <f t="shared" si="3"/>
        <v>2.4</v>
      </c>
      <c r="H8" s="189"/>
      <c r="I8" s="1288"/>
      <c r="J8" s="190">
        <v>200</v>
      </c>
      <c r="K8" s="191">
        <v>-0.18</v>
      </c>
      <c r="L8" s="191">
        <v>-0.18</v>
      </c>
      <c r="M8" s="198">
        <v>0.06</v>
      </c>
      <c r="N8" s="193">
        <f t="shared" si="1"/>
        <v>0.12</v>
      </c>
      <c r="O8" s="194">
        <f t="shared" si="4"/>
        <v>2.4</v>
      </c>
      <c r="P8" s="189"/>
      <c r="Q8" s="1288"/>
      <c r="R8" s="199">
        <v>200</v>
      </c>
      <c r="S8" s="191">
        <v>-0.26</v>
      </c>
      <c r="T8" s="191">
        <v>-0.26</v>
      </c>
      <c r="U8" s="191">
        <v>-2.14</v>
      </c>
      <c r="V8" s="193">
        <f t="shared" si="2"/>
        <v>0.94000000000000006</v>
      </c>
      <c r="W8" s="197">
        <f t="shared" si="5"/>
        <v>2.4</v>
      </c>
    </row>
    <row r="9" spans="1:25" ht="12.75" customHeight="1">
      <c r="A9" s="1288"/>
      <c r="B9" s="190">
        <v>220</v>
      </c>
      <c r="C9" s="198">
        <v>-0.18</v>
      </c>
      <c r="D9" s="198">
        <v>-0.18</v>
      </c>
      <c r="E9" s="198">
        <v>-0.28000000000000003</v>
      </c>
      <c r="F9" s="193">
        <f t="shared" si="0"/>
        <v>5.0000000000000017E-2</v>
      </c>
      <c r="G9" s="194">
        <f t="shared" si="3"/>
        <v>2.64</v>
      </c>
      <c r="H9" s="189"/>
      <c r="I9" s="1288"/>
      <c r="J9" s="190">
        <v>220</v>
      </c>
      <c r="K9" s="191">
        <v>-0.03</v>
      </c>
      <c r="L9" s="191">
        <v>-0.03</v>
      </c>
      <c r="M9" s="198">
        <v>0.05</v>
      </c>
      <c r="N9" s="193">
        <f t="shared" si="1"/>
        <v>0.04</v>
      </c>
      <c r="O9" s="194">
        <f t="shared" si="4"/>
        <v>2.64</v>
      </c>
      <c r="P9" s="189"/>
      <c r="Q9" s="1288"/>
      <c r="R9" s="199">
        <v>220</v>
      </c>
      <c r="S9" s="191">
        <v>-0.28999999999999998</v>
      </c>
      <c r="T9" s="191">
        <v>-0.28999999999999998</v>
      </c>
      <c r="U9" s="191">
        <v>-3.44</v>
      </c>
      <c r="V9" s="193">
        <f t="shared" si="2"/>
        <v>1.575</v>
      </c>
      <c r="W9" s="197">
        <f t="shared" si="5"/>
        <v>2.64</v>
      </c>
    </row>
    <row r="10" spans="1:25" ht="12.75" customHeight="1">
      <c r="A10" s="1288"/>
      <c r="B10" s="190">
        <v>230</v>
      </c>
      <c r="C10" s="198">
        <v>-0.26</v>
      </c>
      <c r="D10" s="198">
        <v>-0.26</v>
      </c>
      <c r="E10" s="198">
        <v>-0.2</v>
      </c>
      <c r="F10" s="193">
        <f t="shared" si="0"/>
        <v>0.03</v>
      </c>
      <c r="G10" s="194">
        <f t="shared" si="3"/>
        <v>2.7600000000000002</v>
      </c>
      <c r="H10" s="189"/>
      <c r="I10" s="1288"/>
      <c r="J10" s="190">
        <v>230</v>
      </c>
      <c r="K10" s="191">
        <v>-10.02</v>
      </c>
      <c r="L10" s="191">
        <v>-10.02</v>
      </c>
      <c r="M10" s="198">
        <v>0.05</v>
      </c>
      <c r="N10" s="193">
        <f t="shared" si="1"/>
        <v>5.0350000000000001</v>
      </c>
      <c r="O10" s="194">
        <f t="shared" si="4"/>
        <v>2.7600000000000002</v>
      </c>
      <c r="P10" s="189"/>
      <c r="Q10" s="1288"/>
      <c r="R10" s="199">
        <v>230</v>
      </c>
      <c r="S10" s="191">
        <v>-0.23</v>
      </c>
      <c r="T10" s="191">
        <v>-0.23</v>
      </c>
      <c r="U10" s="191">
        <v>-2.52</v>
      </c>
      <c r="V10" s="193">
        <f t="shared" si="2"/>
        <v>1.145</v>
      </c>
      <c r="W10" s="197">
        <f t="shared" si="5"/>
        <v>2.7600000000000002</v>
      </c>
    </row>
    <row r="11" spans="1:25" ht="12.75" customHeight="1">
      <c r="A11" s="1288"/>
      <c r="B11" s="190">
        <v>250</v>
      </c>
      <c r="C11" s="198">
        <v>0</v>
      </c>
      <c r="D11" s="198">
        <v>0</v>
      </c>
      <c r="E11" s="198">
        <v>0</v>
      </c>
      <c r="F11" s="193">
        <f t="shared" si="0"/>
        <v>0</v>
      </c>
      <c r="G11" s="194">
        <f t="shared" si="3"/>
        <v>3</v>
      </c>
      <c r="H11" s="189"/>
      <c r="I11" s="1288"/>
      <c r="J11" s="190">
        <v>250</v>
      </c>
      <c r="K11" s="191">
        <v>0</v>
      </c>
      <c r="L11" s="191">
        <v>0</v>
      </c>
      <c r="M11" s="198">
        <v>0</v>
      </c>
      <c r="N11" s="193">
        <f t="shared" si="1"/>
        <v>0</v>
      </c>
      <c r="O11" s="194">
        <f t="shared" si="4"/>
        <v>3</v>
      </c>
      <c r="P11" s="189"/>
      <c r="Q11" s="1288"/>
      <c r="R11" s="199">
        <v>250</v>
      </c>
      <c r="S11" s="191">
        <v>0</v>
      </c>
      <c r="T11" s="191">
        <v>0</v>
      </c>
      <c r="U11" s="203">
        <v>9.9999999999999995E-7</v>
      </c>
      <c r="V11" s="193">
        <f t="shared" si="2"/>
        <v>4.9999999999999998E-7</v>
      </c>
      <c r="W11" s="197">
        <f t="shared" si="5"/>
        <v>3</v>
      </c>
    </row>
    <row r="12" spans="1:25" ht="12.75" customHeight="1">
      <c r="A12" s="1288"/>
      <c r="B12" s="1302" t="s">
        <v>351</v>
      </c>
      <c r="C12" s="1303"/>
      <c r="D12" s="1303"/>
      <c r="E12" s="1304"/>
      <c r="F12" s="472" t="s">
        <v>349</v>
      </c>
      <c r="G12" s="472" t="s">
        <v>243</v>
      </c>
      <c r="H12" s="189"/>
      <c r="I12" s="1288"/>
      <c r="J12" s="1302" t="s">
        <v>351</v>
      </c>
      <c r="K12" s="1303"/>
      <c r="L12" s="1303"/>
      <c r="M12" s="1304"/>
      <c r="N12" s="472" t="s">
        <v>349</v>
      </c>
      <c r="O12" s="472" t="s">
        <v>243</v>
      </c>
      <c r="P12" s="189"/>
      <c r="Q12" s="1288"/>
      <c r="R12" s="1302" t="s">
        <v>351</v>
      </c>
      <c r="S12" s="1303"/>
      <c r="T12" s="1303"/>
      <c r="U12" s="1304"/>
      <c r="V12" s="472" t="s">
        <v>349</v>
      </c>
      <c r="W12" s="472" t="s">
        <v>243</v>
      </c>
    </row>
    <row r="13" spans="1:25" ht="15" customHeight="1">
      <c r="A13" s="1288"/>
      <c r="B13" s="474" t="s">
        <v>352</v>
      </c>
      <c r="C13" s="472">
        <f>C5</f>
        <v>2019</v>
      </c>
      <c r="D13" s="472">
        <f>D5</f>
        <v>2019</v>
      </c>
      <c r="E13" s="472">
        <f>E5</f>
        <v>2020</v>
      </c>
      <c r="F13" s="472"/>
      <c r="G13" s="472"/>
      <c r="H13" s="189"/>
      <c r="I13" s="1288"/>
      <c r="J13" s="474" t="s">
        <v>352</v>
      </c>
      <c r="K13" s="472">
        <f>K5</f>
        <v>2017</v>
      </c>
      <c r="L13" s="472">
        <f>L5</f>
        <v>2017</v>
      </c>
      <c r="M13" s="472">
        <f>M5</f>
        <v>2019</v>
      </c>
      <c r="N13" s="472"/>
      <c r="O13" s="472"/>
      <c r="P13" s="189"/>
      <c r="Q13" s="1288"/>
      <c r="R13" s="474" t="s">
        <v>352</v>
      </c>
      <c r="S13" s="472">
        <f>S5</f>
        <v>2018</v>
      </c>
      <c r="T13" s="472">
        <f>T5</f>
        <v>2018</v>
      </c>
      <c r="U13" s="472">
        <f>U5</f>
        <v>2021</v>
      </c>
      <c r="V13" s="472"/>
      <c r="W13" s="472"/>
    </row>
    <row r="14" spans="1:25" ht="12.75" customHeight="1">
      <c r="A14" s="1288"/>
      <c r="B14" s="199">
        <v>0</v>
      </c>
      <c r="C14" s="200">
        <v>0</v>
      </c>
      <c r="D14" s="200">
        <v>0</v>
      </c>
      <c r="E14" s="200">
        <v>0</v>
      </c>
      <c r="F14" s="193">
        <f t="shared" ref="F14:F19" si="6">0.5*(MAX(C14:E14)-MIN(C14:E14))</f>
        <v>0</v>
      </c>
      <c r="G14" s="196">
        <f>B14*$H$14</f>
        <v>0</v>
      </c>
      <c r="H14" s="189">
        <f>0.59/100</f>
        <v>5.8999999999999999E-3</v>
      </c>
      <c r="I14" s="1288"/>
      <c r="J14" s="199">
        <v>0</v>
      </c>
      <c r="K14" s="191">
        <v>0</v>
      </c>
      <c r="L14" s="191">
        <v>0</v>
      </c>
      <c r="M14" s="198">
        <v>9.9999999999999995E-7</v>
      </c>
      <c r="N14" s="193">
        <f t="shared" ref="N14:N19" si="7">0.5*(MAX(K14:M14)-MIN(K14:M14))</f>
        <v>4.9999999999999998E-7</v>
      </c>
      <c r="O14" s="196">
        <f>J14*$P$14</f>
        <v>0</v>
      </c>
      <c r="P14" s="189">
        <f>0.59/100</f>
        <v>5.8999999999999999E-3</v>
      </c>
      <c r="Q14" s="1288"/>
      <c r="R14" s="199">
        <v>0</v>
      </c>
      <c r="S14" s="196">
        <v>0</v>
      </c>
      <c r="T14" s="196">
        <v>0</v>
      </c>
      <c r="U14" s="203">
        <v>9.9999999999999995E-7</v>
      </c>
      <c r="V14" s="193">
        <f t="shared" ref="V14:V19" si="8">0.5*(MAX(S14:U14)-MIN(S14:U14))</f>
        <v>4.9999999999999998E-7</v>
      </c>
      <c r="W14" s="196">
        <f>R14*$X$14</f>
        <v>0</v>
      </c>
      <c r="X14" s="480">
        <f>0.59/100</f>
        <v>5.8999999999999999E-3</v>
      </c>
    </row>
    <row r="15" spans="1:25" ht="12.75" customHeight="1">
      <c r="A15" s="1288"/>
      <c r="B15" s="199">
        <v>50</v>
      </c>
      <c r="C15" s="198">
        <v>-0.06</v>
      </c>
      <c r="D15" s="198">
        <v>-0.06</v>
      </c>
      <c r="E15" s="198">
        <v>0.1</v>
      </c>
      <c r="F15" s="193">
        <f t="shared" si="6"/>
        <v>0.08</v>
      </c>
      <c r="G15" s="196">
        <f t="shared" ref="G15:G19" si="9">B15*$H$14</f>
        <v>0.29499999999999998</v>
      </c>
      <c r="H15" s="189"/>
      <c r="I15" s="1288"/>
      <c r="J15" s="199">
        <v>50</v>
      </c>
      <c r="K15" s="191">
        <v>0.1</v>
      </c>
      <c r="L15" s="191">
        <v>0.1</v>
      </c>
      <c r="M15" s="198">
        <v>0.1</v>
      </c>
      <c r="N15" s="193">
        <f t="shared" si="7"/>
        <v>0</v>
      </c>
      <c r="O15" s="196">
        <f t="shared" ref="O15:O19" si="10">J15*$P$14</f>
        <v>0.29499999999999998</v>
      </c>
      <c r="P15" s="189"/>
      <c r="Q15" s="1288"/>
      <c r="R15" s="199">
        <v>50</v>
      </c>
      <c r="S15" s="191">
        <v>2</v>
      </c>
      <c r="T15" s="191">
        <v>2</v>
      </c>
      <c r="U15" s="191">
        <v>2.1</v>
      </c>
      <c r="V15" s="193">
        <f t="shared" si="8"/>
        <v>5.0000000000000044E-2</v>
      </c>
      <c r="W15" s="196">
        <f t="shared" ref="W15:W19" si="11">R15*$X$14</f>
        <v>0.29499999999999998</v>
      </c>
    </row>
    <row r="16" spans="1:25" ht="12.75" customHeight="1">
      <c r="A16" s="1288"/>
      <c r="B16" s="199">
        <v>100</v>
      </c>
      <c r="C16" s="198">
        <v>-0.06</v>
      </c>
      <c r="D16" s="198">
        <v>-0.06</v>
      </c>
      <c r="E16" s="198">
        <v>0.2</v>
      </c>
      <c r="F16" s="193">
        <f t="shared" si="6"/>
        <v>0.13</v>
      </c>
      <c r="G16" s="196">
        <f t="shared" si="9"/>
        <v>0.59</v>
      </c>
      <c r="H16" s="189"/>
      <c r="I16" s="1288"/>
      <c r="J16" s="199">
        <v>100</v>
      </c>
      <c r="K16" s="191">
        <v>2.2000000000000002</v>
      </c>
      <c r="L16" s="191">
        <v>2.2000000000000002</v>
      </c>
      <c r="M16" s="198">
        <v>0.4</v>
      </c>
      <c r="N16" s="193">
        <f t="shared" si="7"/>
        <v>0.90000000000000013</v>
      </c>
      <c r="O16" s="196">
        <f t="shared" si="10"/>
        <v>0.59</v>
      </c>
      <c r="P16" s="189"/>
      <c r="Q16" s="1288"/>
      <c r="R16" s="199">
        <v>100</v>
      </c>
      <c r="S16" s="191">
        <v>2</v>
      </c>
      <c r="T16" s="191">
        <v>2</v>
      </c>
      <c r="U16" s="191">
        <v>2.2999999999999998</v>
      </c>
      <c r="V16" s="193">
        <f t="shared" si="8"/>
        <v>0.14999999999999991</v>
      </c>
      <c r="W16" s="196">
        <f t="shared" si="11"/>
        <v>0.59</v>
      </c>
    </row>
    <row r="17" spans="1:24" ht="12.75" customHeight="1">
      <c r="A17" s="1288"/>
      <c r="B17" s="199">
        <v>200</v>
      </c>
      <c r="C17" s="198">
        <v>0</v>
      </c>
      <c r="D17" s="198">
        <v>0</v>
      </c>
      <c r="E17" s="198">
        <v>0.4</v>
      </c>
      <c r="F17" s="193">
        <f t="shared" si="6"/>
        <v>0.2</v>
      </c>
      <c r="G17" s="196">
        <f t="shared" si="9"/>
        <v>1.18</v>
      </c>
      <c r="H17" s="189"/>
      <c r="I17" s="1288"/>
      <c r="J17" s="199">
        <v>200</v>
      </c>
      <c r="K17" s="191">
        <v>3.3</v>
      </c>
      <c r="L17" s="191">
        <v>3.3</v>
      </c>
      <c r="M17" s="198">
        <v>0.7</v>
      </c>
      <c r="N17" s="193">
        <f t="shared" si="7"/>
        <v>1.2999999999999998</v>
      </c>
      <c r="O17" s="196">
        <f t="shared" si="10"/>
        <v>1.18</v>
      </c>
      <c r="P17" s="189"/>
      <c r="Q17" s="1288"/>
      <c r="R17" s="199">
        <v>200</v>
      </c>
      <c r="S17" s="191">
        <v>3.6</v>
      </c>
      <c r="T17" s="191">
        <v>3.6</v>
      </c>
      <c r="U17" s="191">
        <v>2.5</v>
      </c>
      <c r="V17" s="193">
        <f t="shared" si="8"/>
        <v>0.55000000000000004</v>
      </c>
      <c r="W17" s="196">
        <f t="shared" si="11"/>
        <v>1.18</v>
      </c>
    </row>
    <row r="18" spans="1:24" ht="12.75" customHeight="1">
      <c r="A18" s="1288"/>
      <c r="B18" s="199">
        <v>500</v>
      </c>
      <c r="C18" s="198">
        <v>-0.9</v>
      </c>
      <c r="D18" s="198">
        <v>-0.9</v>
      </c>
      <c r="E18" s="198">
        <v>3.8</v>
      </c>
      <c r="F18" s="193">
        <f t="shared" si="6"/>
        <v>2.35</v>
      </c>
      <c r="G18" s="196">
        <f t="shared" si="9"/>
        <v>2.9499999999999997</v>
      </c>
      <c r="H18" s="189"/>
      <c r="I18" s="1288"/>
      <c r="J18" s="199">
        <v>500</v>
      </c>
      <c r="K18" s="191">
        <v>20</v>
      </c>
      <c r="L18" s="191">
        <v>20</v>
      </c>
      <c r="M18" s="198">
        <v>0.8</v>
      </c>
      <c r="N18" s="193">
        <f t="shared" si="7"/>
        <v>9.6</v>
      </c>
      <c r="O18" s="196">
        <f t="shared" si="10"/>
        <v>2.9499999999999997</v>
      </c>
      <c r="P18" s="189"/>
      <c r="Q18" s="1288"/>
      <c r="R18" s="199">
        <v>500</v>
      </c>
      <c r="S18" s="191">
        <v>2.9</v>
      </c>
      <c r="T18" s="191">
        <v>2.9</v>
      </c>
      <c r="U18" s="191">
        <v>4.3</v>
      </c>
      <c r="V18" s="193">
        <f t="shared" si="8"/>
        <v>0.7</v>
      </c>
      <c r="W18" s="196">
        <f t="shared" si="11"/>
        <v>2.9499999999999997</v>
      </c>
    </row>
    <row r="19" spans="1:24" ht="12.75" customHeight="1">
      <c r="A19" s="1288"/>
      <c r="B19" s="199">
        <v>1000</v>
      </c>
      <c r="C19" s="198">
        <v>-3.0000000000000001E-3</v>
      </c>
      <c r="D19" s="198">
        <v>-3.0000000000000001E-3</v>
      </c>
      <c r="E19" s="198">
        <v>9</v>
      </c>
      <c r="F19" s="193">
        <f t="shared" si="6"/>
        <v>4.5015000000000001</v>
      </c>
      <c r="G19" s="196">
        <f t="shared" si="9"/>
        <v>5.8999999999999995</v>
      </c>
      <c r="H19" s="189"/>
      <c r="I19" s="1288"/>
      <c r="J19" s="199">
        <v>1000</v>
      </c>
      <c r="K19" s="201">
        <v>2</v>
      </c>
      <c r="L19" s="201">
        <v>2</v>
      </c>
      <c r="M19" s="198">
        <v>8.0000000000000002E-3</v>
      </c>
      <c r="N19" s="193">
        <f t="shared" si="7"/>
        <v>0.996</v>
      </c>
      <c r="O19" s="196">
        <f t="shared" si="10"/>
        <v>5.8999999999999995</v>
      </c>
      <c r="P19" s="189"/>
      <c r="Q19" s="1288"/>
      <c r="R19" s="199">
        <v>1000</v>
      </c>
      <c r="S19" s="191">
        <v>3</v>
      </c>
      <c r="T19" s="191">
        <v>3</v>
      </c>
      <c r="U19" s="191">
        <v>2</v>
      </c>
      <c r="V19" s="193">
        <f t="shared" si="8"/>
        <v>0.5</v>
      </c>
      <c r="W19" s="196">
        <f t="shared" si="11"/>
        <v>5.8999999999999995</v>
      </c>
    </row>
    <row r="20" spans="1:24" ht="12.75" customHeight="1">
      <c r="A20" s="1288"/>
      <c r="B20" s="1302" t="s">
        <v>353</v>
      </c>
      <c r="C20" s="1303"/>
      <c r="D20" s="1303"/>
      <c r="E20" s="1304"/>
      <c r="F20" s="472" t="s">
        <v>349</v>
      </c>
      <c r="G20" s="472" t="s">
        <v>243</v>
      </c>
      <c r="H20" s="189"/>
      <c r="I20" s="1288"/>
      <c r="J20" s="1302" t="str">
        <f>B20</f>
        <v>Main-PE</v>
      </c>
      <c r="K20" s="1303"/>
      <c r="L20" s="1303"/>
      <c r="M20" s="1304"/>
      <c r="N20" s="472" t="s">
        <v>349</v>
      </c>
      <c r="O20" s="472" t="s">
        <v>243</v>
      </c>
      <c r="P20" s="189"/>
      <c r="Q20" s="1288"/>
      <c r="R20" s="1302" t="str">
        <f>B20</f>
        <v>Main-PE</v>
      </c>
      <c r="S20" s="1303"/>
      <c r="T20" s="1303"/>
      <c r="U20" s="1304"/>
      <c r="V20" s="472" t="s">
        <v>349</v>
      </c>
      <c r="W20" s="472" t="s">
        <v>243</v>
      </c>
    </row>
    <row r="21" spans="1:24" ht="15" customHeight="1">
      <c r="A21" s="1288"/>
      <c r="B21" s="474" t="s">
        <v>354</v>
      </c>
      <c r="C21" s="472">
        <v>2019</v>
      </c>
      <c r="D21" s="472">
        <v>2019</v>
      </c>
      <c r="E21" s="472">
        <v>2015</v>
      </c>
      <c r="F21" s="472"/>
      <c r="G21" s="472"/>
      <c r="H21" s="189"/>
      <c r="I21" s="1288"/>
      <c r="J21" s="474" t="s">
        <v>354</v>
      </c>
      <c r="K21" s="472">
        <f>K5</f>
        <v>2017</v>
      </c>
      <c r="L21" s="472">
        <f>L5</f>
        <v>2017</v>
      </c>
      <c r="M21" s="472">
        <f>M5</f>
        <v>2019</v>
      </c>
      <c r="N21" s="472"/>
      <c r="O21" s="472"/>
      <c r="P21" s="189"/>
      <c r="Q21" s="1288"/>
      <c r="R21" s="474" t="s">
        <v>354</v>
      </c>
      <c r="S21" s="472">
        <f>S5</f>
        <v>2018</v>
      </c>
      <c r="T21" s="472">
        <f>T5</f>
        <v>2018</v>
      </c>
      <c r="U21" s="472">
        <f>U5</f>
        <v>2021</v>
      </c>
      <c r="V21" s="472"/>
      <c r="W21" s="472"/>
    </row>
    <row r="22" spans="1:24" ht="12.75" customHeight="1">
      <c r="A22" s="1288"/>
      <c r="B22" s="199">
        <v>10</v>
      </c>
      <c r="C22" s="191" t="s">
        <v>257</v>
      </c>
      <c r="D22" s="191" t="s">
        <v>257</v>
      </c>
      <c r="E22" s="191">
        <v>9.9999999999999995E-7</v>
      </c>
      <c r="F22" s="193">
        <f t="shared" ref="F22:F25" si="12">0.5*(MAX(C22:E22)-MIN(C22:E22))</f>
        <v>0</v>
      </c>
      <c r="G22" s="202">
        <v>1.4</v>
      </c>
      <c r="H22" s="189"/>
      <c r="I22" s="1288"/>
      <c r="J22" s="199">
        <v>10</v>
      </c>
      <c r="K22" s="191">
        <v>0</v>
      </c>
      <c r="L22" s="191">
        <v>0</v>
      </c>
      <c r="M22" s="198">
        <v>0.1</v>
      </c>
      <c r="N22" s="193">
        <f t="shared" ref="N22:N25" si="13">0.5*(MAX(K22:M22)-MIN(K22:M22))</f>
        <v>0.05</v>
      </c>
      <c r="O22" s="191">
        <f>J22*$P$22</f>
        <v>5.8999999999999997E-2</v>
      </c>
      <c r="P22" s="189">
        <f>0.59/100</f>
        <v>5.8999999999999999E-3</v>
      </c>
      <c r="Q22" s="1288"/>
      <c r="R22" s="199">
        <v>10</v>
      </c>
      <c r="S22" s="191">
        <v>0</v>
      </c>
      <c r="T22" s="191">
        <v>0</v>
      </c>
      <c r="U22" s="191">
        <v>0.26</v>
      </c>
      <c r="V22" s="193">
        <f t="shared" ref="V22:V25" si="14">0.5*(MAX(S22:U22)-MIN(S22:U22))</f>
        <v>0.13</v>
      </c>
      <c r="W22" s="202">
        <f>R22*$X$22</f>
        <v>0.17</v>
      </c>
      <c r="X22" s="480">
        <f>1.7/100</f>
        <v>1.7000000000000001E-2</v>
      </c>
    </row>
    <row r="23" spans="1:24" ht="12.75" customHeight="1">
      <c r="A23" s="1288"/>
      <c r="B23" s="199">
        <v>20</v>
      </c>
      <c r="C23" s="191" t="s">
        <v>257</v>
      </c>
      <c r="D23" s="191" t="s">
        <v>257</v>
      </c>
      <c r="E23" s="191">
        <v>9.9999999999999995E-7</v>
      </c>
      <c r="F23" s="193">
        <f t="shared" si="12"/>
        <v>0</v>
      </c>
      <c r="G23" s="202">
        <v>1.4</v>
      </c>
      <c r="H23" s="189"/>
      <c r="I23" s="1288"/>
      <c r="J23" s="199">
        <v>20</v>
      </c>
      <c r="K23" s="191">
        <v>0.1</v>
      </c>
      <c r="L23" s="191">
        <v>0.1</v>
      </c>
      <c r="M23" s="198">
        <v>0.2</v>
      </c>
      <c r="N23" s="193">
        <f t="shared" si="13"/>
        <v>0.05</v>
      </c>
      <c r="O23" s="191">
        <f t="shared" ref="O23:O25" si="15">J23*$P$22</f>
        <v>0.11799999999999999</v>
      </c>
      <c r="P23" s="189"/>
      <c r="Q23" s="1288"/>
      <c r="R23" s="199">
        <v>20</v>
      </c>
      <c r="S23" s="191">
        <v>0</v>
      </c>
      <c r="T23" s="191">
        <v>0</v>
      </c>
      <c r="U23" s="203">
        <v>9.9999999999999995E-7</v>
      </c>
      <c r="V23" s="193">
        <f t="shared" si="14"/>
        <v>4.9999999999999998E-7</v>
      </c>
      <c r="W23" s="202">
        <f t="shared" ref="W23:W25" si="16">R23*$X$22</f>
        <v>0.34</v>
      </c>
    </row>
    <row r="24" spans="1:24" ht="12.75" customHeight="1">
      <c r="A24" s="1288"/>
      <c r="B24" s="199">
        <v>50</v>
      </c>
      <c r="C24" s="191" t="s">
        <v>257</v>
      </c>
      <c r="D24" s="191" t="s">
        <v>257</v>
      </c>
      <c r="E24" s="191">
        <v>9.9999999999999995E-7</v>
      </c>
      <c r="F24" s="193">
        <f t="shared" si="12"/>
        <v>0</v>
      </c>
      <c r="G24" s="202">
        <v>1.4</v>
      </c>
      <c r="H24" s="189"/>
      <c r="I24" s="1288"/>
      <c r="J24" s="199">
        <v>50</v>
      </c>
      <c r="K24" s="191">
        <v>0.1</v>
      </c>
      <c r="L24" s="191">
        <v>0.1</v>
      </c>
      <c r="M24" s="198">
        <v>0.3</v>
      </c>
      <c r="N24" s="193">
        <f t="shared" si="13"/>
        <v>9.9999999999999992E-2</v>
      </c>
      <c r="O24" s="191">
        <f t="shared" si="15"/>
        <v>0.29499999999999998</v>
      </c>
      <c r="P24" s="189"/>
      <c r="Q24" s="1288"/>
      <c r="R24" s="199">
        <v>50</v>
      </c>
      <c r="S24" s="191">
        <v>0.3</v>
      </c>
      <c r="T24" s="191">
        <v>0.3</v>
      </c>
      <c r="U24" s="191">
        <v>0.16</v>
      </c>
      <c r="V24" s="193">
        <f t="shared" si="14"/>
        <v>6.9999999999999993E-2</v>
      </c>
      <c r="W24" s="202">
        <f t="shared" si="16"/>
        <v>0.85000000000000009</v>
      </c>
    </row>
    <row r="25" spans="1:24" ht="12.75" customHeight="1">
      <c r="A25" s="1288"/>
      <c r="B25" s="199">
        <v>100</v>
      </c>
      <c r="C25" s="191" t="s">
        <v>257</v>
      </c>
      <c r="D25" s="191" t="s">
        <v>257</v>
      </c>
      <c r="E25" s="191">
        <v>-0.3</v>
      </c>
      <c r="F25" s="193">
        <f t="shared" si="12"/>
        <v>0</v>
      </c>
      <c r="G25" s="202">
        <v>1.4</v>
      </c>
      <c r="H25" s="189"/>
      <c r="I25" s="1288"/>
      <c r="J25" s="199">
        <v>100</v>
      </c>
      <c r="K25" s="191">
        <v>0</v>
      </c>
      <c r="L25" s="191">
        <v>0</v>
      </c>
      <c r="M25" s="198">
        <v>0.3</v>
      </c>
      <c r="N25" s="193">
        <f t="shared" si="13"/>
        <v>0.15</v>
      </c>
      <c r="O25" s="191">
        <f t="shared" si="15"/>
        <v>0.59</v>
      </c>
      <c r="P25" s="189"/>
      <c r="Q25" s="1288"/>
      <c r="R25" s="199">
        <v>100</v>
      </c>
      <c r="S25" s="191">
        <v>0.6</v>
      </c>
      <c r="T25" s="191">
        <v>0.6</v>
      </c>
      <c r="U25" s="191">
        <v>0.06</v>
      </c>
      <c r="V25" s="193">
        <f t="shared" si="14"/>
        <v>0.27</v>
      </c>
      <c r="W25" s="202">
        <f t="shared" si="16"/>
        <v>1.7000000000000002</v>
      </c>
    </row>
    <row r="26" spans="1:24" ht="12.75" customHeight="1">
      <c r="A26" s="1288"/>
      <c r="B26" s="1302" t="s">
        <v>355</v>
      </c>
      <c r="C26" s="1303"/>
      <c r="D26" s="1303"/>
      <c r="E26" s="1304"/>
      <c r="F26" s="472" t="s">
        <v>349</v>
      </c>
      <c r="G26" s="472" t="s">
        <v>243</v>
      </c>
      <c r="H26" s="189"/>
      <c r="I26" s="1288"/>
      <c r="J26" s="1302" t="str">
        <f>B26</f>
        <v>Resistance</v>
      </c>
      <c r="K26" s="1303"/>
      <c r="L26" s="1303"/>
      <c r="M26" s="1304"/>
      <c r="N26" s="472" t="s">
        <v>349</v>
      </c>
      <c r="O26" s="472" t="s">
        <v>243</v>
      </c>
      <c r="P26" s="189"/>
      <c r="Q26" s="1288"/>
      <c r="R26" s="1302" t="str">
        <f>B26</f>
        <v>Resistance</v>
      </c>
      <c r="S26" s="1303"/>
      <c r="T26" s="1303"/>
      <c r="U26" s="1304"/>
      <c r="V26" s="472" t="s">
        <v>349</v>
      </c>
      <c r="W26" s="472" t="s">
        <v>243</v>
      </c>
    </row>
    <row r="27" spans="1:24" ht="15" customHeight="1">
      <c r="A27" s="1288"/>
      <c r="B27" s="474" t="s">
        <v>356</v>
      </c>
      <c r="C27" s="472">
        <f>C5</f>
        <v>2019</v>
      </c>
      <c r="D27" s="472">
        <f>D5</f>
        <v>2019</v>
      </c>
      <c r="E27" s="472">
        <f>E5</f>
        <v>2020</v>
      </c>
      <c r="F27" s="472"/>
      <c r="G27" s="472"/>
      <c r="H27" s="189"/>
      <c r="I27" s="1288"/>
      <c r="J27" s="474" t="s">
        <v>356</v>
      </c>
      <c r="K27" s="472">
        <f>K5</f>
        <v>2017</v>
      </c>
      <c r="L27" s="472">
        <f>L5</f>
        <v>2017</v>
      </c>
      <c r="M27" s="472">
        <f>M5</f>
        <v>2019</v>
      </c>
      <c r="N27" s="472"/>
      <c r="O27" s="472"/>
      <c r="P27" s="189"/>
      <c r="Q27" s="1288"/>
      <c r="R27" s="474" t="s">
        <v>356</v>
      </c>
      <c r="S27" s="472">
        <f>S5</f>
        <v>2018</v>
      </c>
      <c r="T27" s="472">
        <f>T5</f>
        <v>2018</v>
      </c>
      <c r="U27" s="472">
        <f>U5</f>
        <v>2021</v>
      </c>
      <c r="V27" s="472"/>
      <c r="W27" s="472"/>
    </row>
    <row r="28" spans="1:24" ht="12.75" customHeight="1">
      <c r="A28" s="1288"/>
      <c r="B28" s="199">
        <v>0.01</v>
      </c>
      <c r="C28" s="203">
        <v>0</v>
      </c>
      <c r="D28" s="203">
        <v>0</v>
      </c>
      <c r="E28" s="203">
        <v>9.9999999999999995E-7</v>
      </c>
      <c r="F28" s="193">
        <f t="shared" ref="F28:F31" si="17">0.5*(MAX(C28:E28)-MIN(C28:E28))</f>
        <v>4.9999999999999998E-7</v>
      </c>
      <c r="G28" s="199">
        <f>B28*$H$28</f>
        <v>1.2E-4</v>
      </c>
      <c r="H28" s="189">
        <f>1.2/100</f>
        <v>1.2E-2</v>
      </c>
      <c r="I28" s="1288"/>
      <c r="J28" s="199">
        <v>0.01</v>
      </c>
      <c r="K28" s="201">
        <v>0</v>
      </c>
      <c r="L28" s="201">
        <v>0</v>
      </c>
      <c r="M28" s="203">
        <v>9.9999999999999995E-7</v>
      </c>
      <c r="N28" s="193">
        <f t="shared" ref="N28:N31" si="18">0.5*(MAX(K28:M28)-MIN(K28:M28))</f>
        <v>4.9999999999999998E-7</v>
      </c>
      <c r="O28" s="199">
        <f>J28*$P$28</f>
        <v>1.2E-4</v>
      </c>
      <c r="P28" s="481">
        <f>1.2/100</f>
        <v>1.2E-2</v>
      </c>
      <c r="Q28" s="1288"/>
      <c r="R28" s="199">
        <v>0.01</v>
      </c>
      <c r="S28" s="201">
        <v>0</v>
      </c>
      <c r="T28" s="201">
        <v>0</v>
      </c>
      <c r="U28" s="203">
        <v>9.9999999999999995E-7</v>
      </c>
      <c r="V28" s="193">
        <f t="shared" ref="V28:V31" si="19">0.5*(MAX(S28:U28)-MIN(S28:U28))</f>
        <v>4.9999999999999998E-7</v>
      </c>
      <c r="W28" s="482">
        <f>R28*$X$28</f>
        <v>1.2E-4</v>
      </c>
      <c r="X28" s="480">
        <f>1.2/100</f>
        <v>1.2E-2</v>
      </c>
    </row>
    <row r="29" spans="1:24" ht="12.75" customHeight="1">
      <c r="A29" s="1288"/>
      <c r="B29" s="199">
        <v>0.1</v>
      </c>
      <c r="C29" s="203">
        <v>2E-3</v>
      </c>
      <c r="D29" s="203">
        <v>2E-3</v>
      </c>
      <c r="E29" s="203">
        <v>-1E-3</v>
      </c>
      <c r="F29" s="193">
        <f t="shared" si="17"/>
        <v>1.5E-3</v>
      </c>
      <c r="G29" s="199">
        <f t="shared" ref="G29:G31" si="20">B29*$H$28</f>
        <v>1.2000000000000001E-3</v>
      </c>
      <c r="H29" s="189"/>
      <c r="I29" s="1288"/>
      <c r="J29" s="199">
        <v>0.1</v>
      </c>
      <c r="K29" s="201">
        <v>5.0000000000000001E-3</v>
      </c>
      <c r="L29" s="201">
        <v>5.0000000000000001E-3</v>
      </c>
      <c r="M29" s="203">
        <v>6.0000000000000001E-3</v>
      </c>
      <c r="N29" s="193">
        <f t="shared" si="18"/>
        <v>5.0000000000000001E-4</v>
      </c>
      <c r="O29" s="199">
        <f t="shared" ref="O29:O31" si="21">J29*$P$28</f>
        <v>1.2000000000000001E-3</v>
      </c>
      <c r="P29" s="189"/>
      <c r="Q29" s="1288"/>
      <c r="R29" s="199">
        <v>0.1</v>
      </c>
      <c r="S29" s="201">
        <v>0</v>
      </c>
      <c r="T29" s="201">
        <v>0</v>
      </c>
      <c r="U29" s="203">
        <v>9.9999999999999995E-7</v>
      </c>
      <c r="V29" s="193">
        <f t="shared" si="19"/>
        <v>4.9999999999999998E-7</v>
      </c>
      <c r="W29" s="482">
        <f t="shared" ref="W29:W31" si="22">R29*$X$28</f>
        <v>1.2000000000000001E-3</v>
      </c>
    </row>
    <row r="30" spans="1:24" ht="12.75" customHeight="1">
      <c r="A30" s="1288"/>
      <c r="B30" s="199">
        <v>1</v>
      </c>
      <c r="C30" s="203">
        <v>1.2E-2</v>
      </c>
      <c r="D30" s="203">
        <v>1.2E-2</v>
      </c>
      <c r="E30" s="203">
        <v>4.0000000000000001E-3</v>
      </c>
      <c r="F30" s="193">
        <f t="shared" si="17"/>
        <v>4.0000000000000001E-3</v>
      </c>
      <c r="G30" s="199">
        <f t="shared" si="20"/>
        <v>1.2E-2</v>
      </c>
      <c r="H30" s="189"/>
      <c r="I30" s="1288"/>
      <c r="J30" s="199">
        <v>1</v>
      </c>
      <c r="K30" s="201">
        <v>5.5E-2</v>
      </c>
      <c r="L30" s="201">
        <v>5.5E-2</v>
      </c>
      <c r="M30" s="203">
        <v>4.4999999999999998E-2</v>
      </c>
      <c r="N30" s="193">
        <f t="shared" si="18"/>
        <v>5.000000000000001E-3</v>
      </c>
      <c r="O30" s="199">
        <f t="shared" si="21"/>
        <v>1.2E-2</v>
      </c>
      <c r="P30" s="189"/>
      <c r="Q30" s="1288"/>
      <c r="R30" s="199">
        <v>1</v>
      </c>
      <c r="S30" s="201">
        <v>0</v>
      </c>
      <c r="T30" s="201">
        <v>0</v>
      </c>
      <c r="U30" s="201">
        <v>6.0000000000000001E-3</v>
      </c>
      <c r="V30" s="193">
        <f t="shared" si="19"/>
        <v>3.0000000000000001E-3</v>
      </c>
      <c r="W30" s="482">
        <f t="shared" si="22"/>
        <v>1.2E-2</v>
      </c>
    </row>
    <row r="31" spans="1:24" ht="12.75" customHeight="1">
      <c r="A31" s="1289"/>
      <c r="B31" s="199">
        <v>2</v>
      </c>
      <c r="C31" s="203">
        <v>0</v>
      </c>
      <c r="D31" s="203">
        <v>0</v>
      </c>
      <c r="E31" s="203">
        <v>7.0000000000000001E-3</v>
      </c>
      <c r="F31" s="193">
        <f t="shared" si="17"/>
        <v>3.5000000000000001E-3</v>
      </c>
      <c r="G31" s="199">
        <f t="shared" si="20"/>
        <v>2.4E-2</v>
      </c>
      <c r="H31" s="189"/>
      <c r="I31" s="1289"/>
      <c r="J31" s="199">
        <v>2</v>
      </c>
      <c r="K31" s="201">
        <v>0</v>
      </c>
      <c r="L31" s="201">
        <v>0</v>
      </c>
      <c r="M31" s="203">
        <v>9.9999999999999995E-7</v>
      </c>
      <c r="N31" s="193">
        <f t="shared" si="18"/>
        <v>4.9999999999999998E-7</v>
      </c>
      <c r="O31" s="483">
        <f t="shared" si="21"/>
        <v>2.4E-2</v>
      </c>
      <c r="P31" s="189"/>
      <c r="Q31" s="1289"/>
      <c r="R31" s="199">
        <v>2</v>
      </c>
      <c r="S31" s="201">
        <v>0</v>
      </c>
      <c r="T31" s="201">
        <v>0</v>
      </c>
      <c r="U31" s="201">
        <v>1.2999999999999999E-2</v>
      </c>
      <c r="V31" s="193">
        <f t="shared" si="19"/>
        <v>6.4999999999999997E-3</v>
      </c>
      <c r="W31" s="482">
        <f t="shared" si="22"/>
        <v>2.4E-2</v>
      </c>
    </row>
    <row r="32" spans="1:24">
      <c r="A32" s="484"/>
      <c r="B32" s="189"/>
      <c r="C32" s="189"/>
      <c r="E32" s="189"/>
      <c r="F32" s="189"/>
      <c r="G32" s="189"/>
      <c r="H32" s="189"/>
      <c r="I32" s="189"/>
      <c r="J32" s="189"/>
      <c r="K32" s="189"/>
      <c r="M32" s="189"/>
      <c r="N32" s="189"/>
      <c r="O32" s="189"/>
      <c r="P32" s="189"/>
      <c r="Q32" s="189"/>
      <c r="R32" s="189"/>
      <c r="S32" s="189"/>
      <c r="U32" s="189"/>
      <c r="V32" s="189"/>
      <c r="W32" s="204"/>
    </row>
    <row r="33" spans="1:24" ht="15" customHeight="1">
      <c r="A33" s="1287" t="s">
        <v>273</v>
      </c>
      <c r="B33" s="1323" t="s">
        <v>357</v>
      </c>
      <c r="C33" s="1323"/>
      <c r="D33" s="1323"/>
      <c r="E33" s="1323"/>
      <c r="F33" s="1323"/>
      <c r="G33" s="1323"/>
      <c r="H33" s="205"/>
      <c r="I33" s="1287" t="s">
        <v>274</v>
      </c>
      <c r="J33" s="1324" t="s">
        <v>358</v>
      </c>
      <c r="K33" s="1324"/>
      <c r="L33" s="1324"/>
      <c r="M33" s="1324"/>
      <c r="N33" s="1324"/>
      <c r="O33" s="1324"/>
      <c r="P33" s="186"/>
      <c r="Q33" s="1287" t="s">
        <v>275</v>
      </c>
      <c r="R33" s="1323" t="s">
        <v>359</v>
      </c>
      <c r="S33" s="1323"/>
      <c r="T33" s="1323"/>
      <c r="U33" s="1323"/>
      <c r="V33" s="1323"/>
      <c r="W33" s="1323"/>
    </row>
    <row r="34" spans="1:24" ht="15" customHeight="1">
      <c r="A34" s="1288"/>
      <c r="B34" s="1316" t="s">
        <v>347</v>
      </c>
      <c r="C34" s="1316"/>
      <c r="D34" s="1316"/>
      <c r="E34" s="1316"/>
      <c r="F34" s="485"/>
      <c r="G34" s="485"/>
      <c r="H34" s="187"/>
      <c r="I34" s="1288"/>
      <c r="J34" s="1316" t="s">
        <v>347</v>
      </c>
      <c r="K34" s="1316"/>
      <c r="L34" s="1316"/>
      <c r="M34" s="1316"/>
      <c r="N34" s="485"/>
      <c r="O34" s="485"/>
      <c r="P34" s="188"/>
      <c r="Q34" s="1288"/>
      <c r="R34" s="1316" t="s">
        <v>347</v>
      </c>
      <c r="S34" s="1316"/>
      <c r="T34" s="1316"/>
      <c r="U34" s="1316"/>
      <c r="V34" s="485"/>
      <c r="W34" s="485"/>
    </row>
    <row r="35" spans="1:24" ht="12.75" customHeight="1">
      <c r="A35" s="1288"/>
      <c r="B35" s="1317" t="s">
        <v>348</v>
      </c>
      <c r="C35" s="1318"/>
      <c r="D35" s="1318"/>
      <c r="E35" s="1319"/>
      <c r="F35" s="472" t="s">
        <v>349</v>
      </c>
      <c r="G35" s="472" t="s">
        <v>243</v>
      </c>
      <c r="H35" s="189"/>
      <c r="I35" s="1288"/>
      <c r="J35" s="1317" t="s">
        <v>348</v>
      </c>
      <c r="K35" s="1318"/>
      <c r="L35" s="1318"/>
      <c r="M35" s="1319"/>
      <c r="N35" s="472" t="s">
        <v>349</v>
      </c>
      <c r="O35" s="472" t="s">
        <v>243</v>
      </c>
      <c r="P35" s="189"/>
      <c r="Q35" s="1288"/>
      <c r="R35" s="1317" t="s">
        <v>348</v>
      </c>
      <c r="S35" s="1318"/>
      <c r="T35" s="1318"/>
      <c r="U35" s="1319"/>
      <c r="V35" s="472" t="s">
        <v>349</v>
      </c>
      <c r="W35" s="472" t="s">
        <v>243</v>
      </c>
    </row>
    <row r="36" spans="1:24" ht="15" customHeight="1">
      <c r="A36" s="1288"/>
      <c r="B36" s="474" t="s">
        <v>350</v>
      </c>
      <c r="C36" s="472">
        <v>2019</v>
      </c>
      <c r="D36" s="472">
        <v>2019</v>
      </c>
      <c r="E36" s="472">
        <v>2021</v>
      </c>
      <c r="F36" s="472"/>
      <c r="G36" s="472"/>
      <c r="H36" s="189"/>
      <c r="I36" s="1288"/>
      <c r="J36" s="474" t="s">
        <v>350</v>
      </c>
      <c r="K36" s="472">
        <v>2019</v>
      </c>
      <c r="L36" s="472">
        <v>2019</v>
      </c>
      <c r="M36" s="472">
        <v>2021</v>
      </c>
      <c r="N36" s="472"/>
      <c r="O36" s="472"/>
      <c r="P36" s="189"/>
      <c r="Q36" s="1288"/>
      <c r="R36" s="486" t="s">
        <v>350</v>
      </c>
      <c r="S36" s="475">
        <v>2018</v>
      </c>
      <c r="T36" s="475">
        <v>2018</v>
      </c>
      <c r="U36" s="475">
        <v>2019</v>
      </c>
      <c r="V36" s="472"/>
      <c r="W36" s="472"/>
    </row>
    <row r="37" spans="1:24" ht="12.75" customHeight="1">
      <c r="A37" s="1288"/>
      <c r="B37" s="199">
        <v>150</v>
      </c>
      <c r="C37" s="191">
        <v>0.11</v>
      </c>
      <c r="D37" s="191">
        <v>0.11</v>
      </c>
      <c r="E37" s="191">
        <v>-0.05</v>
      </c>
      <c r="F37" s="193">
        <f>0.5*(MAX(C37:E37)-MIN(C37:E37))</f>
        <v>0.08</v>
      </c>
      <c r="G37" s="196">
        <f>B37*$H$37</f>
        <v>1.8</v>
      </c>
      <c r="H37" s="189">
        <f>1.2/100</f>
        <v>1.2E-2</v>
      </c>
      <c r="I37" s="1288"/>
      <c r="J37" s="206">
        <v>150</v>
      </c>
      <c r="K37" s="191">
        <v>0.02</v>
      </c>
      <c r="L37" s="191">
        <v>0.02</v>
      </c>
      <c r="M37" s="191">
        <v>0.25</v>
      </c>
      <c r="N37" s="193">
        <f t="shared" ref="N37:N42" si="23">0.5*(MAX(K37:M37)-MIN(K37:M37))</f>
        <v>0.115</v>
      </c>
      <c r="O37" s="196">
        <f>J37*$P$37</f>
        <v>1.8</v>
      </c>
      <c r="P37" s="189">
        <f>1.2/100</f>
        <v>1.2E-2</v>
      </c>
      <c r="Q37" s="1288"/>
      <c r="R37" s="190">
        <v>150</v>
      </c>
      <c r="S37" s="191">
        <v>0.03</v>
      </c>
      <c r="T37" s="191">
        <v>0.03</v>
      </c>
      <c r="U37" s="191">
        <v>-0.15</v>
      </c>
      <c r="V37" s="193">
        <f t="shared" ref="V37:V42" si="24">0.5*(MAX(S37:U37)-MIN(S37:U37))</f>
        <v>0.09</v>
      </c>
      <c r="W37" s="197">
        <f>R37*$X$37</f>
        <v>1.8</v>
      </c>
      <c r="X37" s="480">
        <f>1.2/100</f>
        <v>1.2E-2</v>
      </c>
    </row>
    <row r="38" spans="1:24" ht="12.75" customHeight="1">
      <c r="A38" s="1288"/>
      <c r="B38" s="199">
        <v>180</v>
      </c>
      <c r="C38" s="191">
        <v>0.03</v>
      </c>
      <c r="D38" s="191">
        <v>0.03</v>
      </c>
      <c r="E38" s="191">
        <v>-0.04</v>
      </c>
      <c r="F38" s="193">
        <f t="shared" ref="F38:F42" si="25">0.5*(MAX(C38:E38)-MIN(C38:E38))</f>
        <v>3.5000000000000003E-2</v>
      </c>
      <c r="G38" s="196">
        <f t="shared" ref="G38:G42" si="26">B38*$H$37</f>
        <v>2.16</v>
      </c>
      <c r="H38" s="189"/>
      <c r="I38" s="1288"/>
      <c r="J38" s="206">
        <v>180</v>
      </c>
      <c r="K38" s="191">
        <v>0.1</v>
      </c>
      <c r="L38" s="191">
        <v>0.1</v>
      </c>
      <c r="M38" s="191">
        <v>0.09</v>
      </c>
      <c r="N38" s="193">
        <f t="shared" si="23"/>
        <v>5.0000000000000044E-3</v>
      </c>
      <c r="O38" s="196">
        <f t="shared" ref="O38:O42" si="27">J38*$P$37</f>
        <v>2.16</v>
      </c>
      <c r="P38" s="189"/>
      <c r="Q38" s="1288"/>
      <c r="R38" s="190">
        <v>180</v>
      </c>
      <c r="S38" s="191">
        <v>0</v>
      </c>
      <c r="T38" s="191">
        <v>0</v>
      </c>
      <c r="U38" s="191">
        <v>-0.11</v>
      </c>
      <c r="V38" s="193">
        <f t="shared" si="24"/>
        <v>5.5E-2</v>
      </c>
      <c r="W38" s="197">
        <f t="shared" ref="W38:W42" si="28">R38*$X$37</f>
        <v>2.16</v>
      </c>
    </row>
    <row r="39" spans="1:24" ht="12.75" customHeight="1">
      <c r="A39" s="1288"/>
      <c r="B39" s="199">
        <v>200</v>
      </c>
      <c r="C39" s="191">
        <v>0.05</v>
      </c>
      <c r="D39" s="191">
        <v>0.05</v>
      </c>
      <c r="E39" s="191">
        <v>-6.7000000000000004E-2</v>
      </c>
      <c r="F39" s="193">
        <f t="shared" si="25"/>
        <v>5.8500000000000003E-2</v>
      </c>
      <c r="G39" s="196">
        <f t="shared" si="26"/>
        <v>2.4</v>
      </c>
      <c r="H39" s="189"/>
      <c r="I39" s="1288"/>
      <c r="J39" s="206">
        <v>200</v>
      </c>
      <c r="K39" s="191">
        <v>-0.03</v>
      </c>
      <c r="L39" s="191">
        <v>-0.03</v>
      </c>
      <c r="M39" s="191">
        <v>0.18</v>
      </c>
      <c r="N39" s="193">
        <f t="shared" si="23"/>
        <v>0.105</v>
      </c>
      <c r="O39" s="196">
        <f t="shared" si="27"/>
        <v>2.4</v>
      </c>
      <c r="P39" s="189"/>
      <c r="Q39" s="1288"/>
      <c r="R39" s="190">
        <v>200</v>
      </c>
      <c r="S39" s="191">
        <v>0.05</v>
      </c>
      <c r="T39" s="191">
        <v>0.05</v>
      </c>
      <c r="U39" s="191">
        <v>-0.1</v>
      </c>
      <c r="V39" s="193">
        <f t="shared" si="24"/>
        <v>7.5000000000000011E-2</v>
      </c>
      <c r="W39" s="197">
        <f t="shared" si="28"/>
        <v>2.4</v>
      </c>
    </row>
    <row r="40" spans="1:24" ht="12.75" customHeight="1">
      <c r="A40" s="1288"/>
      <c r="B40" s="199">
        <v>220</v>
      </c>
      <c r="C40" s="191">
        <v>0.1</v>
      </c>
      <c r="D40" s="191">
        <v>0.1</v>
      </c>
      <c r="E40" s="191">
        <v>0</v>
      </c>
      <c r="F40" s="193">
        <f t="shared" si="25"/>
        <v>0.05</v>
      </c>
      <c r="G40" s="196">
        <f t="shared" si="26"/>
        <v>2.64</v>
      </c>
      <c r="H40" s="189"/>
      <c r="I40" s="1288"/>
      <c r="J40" s="206">
        <v>220</v>
      </c>
      <c r="K40" s="191">
        <v>0.38</v>
      </c>
      <c r="L40" s="191">
        <v>0.38</v>
      </c>
      <c r="M40" s="191">
        <v>0.56000000000000005</v>
      </c>
      <c r="N40" s="193">
        <f t="shared" si="23"/>
        <v>9.0000000000000024E-2</v>
      </c>
      <c r="O40" s="196">
        <f t="shared" si="27"/>
        <v>2.64</v>
      </c>
      <c r="P40" s="189"/>
      <c r="Q40" s="1288"/>
      <c r="R40" s="190">
        <v>220</v>
      </c>
      <c r="S40" s="191">
        <v>0.05</v>
      </c>
      <c r="T40" s="191">
        <v>0.05</v>
      </c>
      <c r="U40" s="191">
        <v>-0.13</v>
      </c>
      <c r="V40" s="193">
        <f t="shared" si="24"/>
        <v>0.09</v>
      </c>
      <c r="W40" s="197">
        <f t="shared" si="28"/>
        <v>2.64</v>
      </c>
    </row>
    <row r="41" spans="1:24" ht="12.75" customHeight="1">
      <c r="A41" s="1288"/>
      <c r="B41" s="199">
        <v>230</v>
      </c>
      <c r="C41" s="191">
        <v>0.36799999999999999</v>
      </c>
      <c r="D41" s="191">
        <v>0.36799999999999999</v>
      </c>
      <c r="E41" s="191">
        <v>-0.11</v>
      </c>
      <c r="F41" s="193">
        <f t="shared" si="25"/>
        <v>0.23899999999999999</v>
      </c>
      <c r="G41" s="196">
        <f t="shared" si="26"/>
        <v>2.7600000000000002</v>
      </c>
      <c r="H41" s="189"/>
      <c r="I41" s="1288"/>
      <c r="J41" s="206">
        <v>230</v>
      </c>
      <c r="K41" s="191">
        <v>-0.16</v>
      </c>
      <c r="L41" s="191">
        <v>-0.16</v>
      </c>
      <c r="M41" s="191">
        <v>0.73</v>
      </c>
      <c r="N41" s="193">
        <f t="shared" si="23"/>
        <v>0.44500000000000001</v>
      </c>
      <c r="O41" s="196">
        <f t="shared" si="27"/>
        <v>2.7600000000000002</v>
      </c>
      <c r="P41" s="189"/>
      <c r="Q41" s="1288"/>
      <c r="R41" s="190">
        <v>230</v>
      </c>
      <c r="S41" s="191">
        <v>-0.05</v>
      </c>
      <c r="T41" s="191">
        <v>-0.05</v>
      </c>
      <c r="U41" s="191">
        <v>-0.15</v>
      </c>
      <c r="V41" s="193">
        <f t="shared" si="24"/>
        <v>4.9999999999999996E-2</v>
      </c>
      <c r="W41" s="197">
        <f t="shared" si="28"/>
        <v>2.7600000000000002</v>
      </c>
    </row>
    <row r="42" spans="1:24" ht="12.75" customHeight="1">
      <c r="A42" s="1288"/>
      <c r="B42" s="199">
        <v>250</v>
      </c>
      <c r="C42" s="191">
        <v>0</v>
      </c>
      <c r="D42" s="191">
        <v>0</v>
      </c>
      <c r="E42" s="203">
        <v>9.9999999999999995E-7</v>
      </c>
      <c r="F42" s="193">
        <f t="shared" si="25"/>
        <v>4.9999999999999998E-7</v>
      </c>
      <c r="G42" s="196">
        <f t="shared" si="26"/>
        <v>3</v>
      </c>
      <c r="H42" s="189"/>
      <c r="I42" s="1288"/>
      <c r="J42" s="206">
        <v>250</v>
      </c>
      <c r="K42" s="191">
        <v>0</v>
      </c>
      <c r="L42" s="191">
        <v>0</v>
      </c>
      <c r="M42" s="191">
        <v>0</v>
      </c>
      <c r="N42" s="193">
        <f t="shared" si="23"/>
        <v>0</v>
      </c>
      <c r="O42" s="196">
        <f t="shared" si="27"/>
        <v>3</v>
      </c>
      <c r="P42" s="189"/>
      <c r="Q42" s="1288"/>
      <c r="R42" s="190">
        <v>250</v>
      </c>
      <c r="S42" s="191">
        <v>0</v>
      </c>
      <c r="T42" s="191">
        <v>0</v>
      </c>
      <c r="U42" s="191">
        <v>0</v>
      </c>
      <c r="V42" s="193">
        <f t="shared" si="24"/>
        <v>0</v>
      </c>
      <c r="W42" s="197">
        <f t="shared" si="28"/>
        <v>3</v>
      </c>
    </row>
    <row r="43" spans="1:24" ht="12.75" customHeight="1">
      <c r="A43" s="1288"/>
      <c r="B43" s="1302" t="s">
        <v>351</v>
      </c>
      <c r="C43" s="1303"/>
      <c r="D43" s="1303"/>
      <c r="E43" s="1304"/>
      <c r="F43" s="472" t="s">
        <v>349</v>
      </c>
      <c r="G43" s="472" t="s">
        <v>243</v>
      </c>
      <c r="H43" s="189"/>
      <c r="I43" s="1288"/>
      <c r="J43" s="1302" t="s">
        <v>351</v>
      </c>
      <c r="K43" s="1303"/>
      <c r="L43" s="1303"/>
      <c r="M43" s="1304"/>
      <c r="N43" s="472" t="s">
        <v>349</v>
      </c>
      <c r="O43" s="472" t="s">
        <v>243</v>
      </c>
      <c r="P43" s="189"/>
      <c r="Q43" s="1288"/>
      <c r="R43" s="1302" t="s">
        <v>351</v>
      </c>
      <c r="S43" s="1303"/>
      <c r="T43" s="1303"/>
      <c r="U43" s="1304"/>
      <c r="V43" s="472" t="s">
        <v>349</v>
      </c>
      <c r="W43" s="472" t="s">
        <v>243</v>
      </c>
    </row>
    <row r="44" spans="1:24" ht="15" customHeight="1">
      <c r="A44" s="1288"/>
      <c r="B44" s="474" t="s">
        <v>352</v>
      </c>
      <c r="C44" s="472">
        <f>C36</f>
        <v>2019</v>
      </c>
      <c r="D44" s="472">
        <f>D36</f>
        <v>2019</v>
      </c>
      <c r="E44" s="472">
        <f>E36</f>
        <v>2021</v>
      </c>
      <c r="F44" s="472"/>
      <c r="G44" s="472"/>
      <c r="H44" s="189"/>
      <c r="I44" s="1288"/>
      <c r="J44" s="474" t="s">
        <v>352</v>
      </c>
      <c r="K44" s="472">
        <f>K36</f>
        <v>2019</v>
      </c>
      <c r="L44" s="472">
        <f>L36</f>
        <v>2019</v>
      </c>
      <c r="M44" s="472">
        <f>M36</f>
        <v>2021</v>
      </c>
      <c r="N44" s="472"/>
      <c r="O44" s="472"/>
      <c r="P44" s="189"/>
      <c r="Q44" s="1288"/>
      <c r="R44" s="474" t="s">
        <v>352</v>
      </c>
      <c r="S44" s="472">
        <f>S36</f>
        <v>2018</v>
      </c>
      <c r="T44" s="472">
        <f>T36</f>
        <v>2018</v>
      </c>
      <c r="U44" s="472">
        <f>U36</f>
        <v>2019</v>
      </c>
      <c r="V44" s="472"/>
      <c r="W44" s="472"/>
    </row>
    <row r="45" spans="1:24" ht="12.75" customHeight="1">
      <c r="A45" s="1288"/>
      <c r="B45" s="199">
        <v>0</v>
      </c>
      <c r="C45" s="196">
        <v>0</v>
      </c>
      <c r="D45" s="196">
        <v>0</v>
      </c>
      <c r="E45" s="203">
        <v>9.9999999999999995E-7</v>
      </c>
      <c r="F45" s="193">
        <f>0.5*(MAX(C45:E45)-MIN(C45:E45))</f>
        <v>4.9999999999999998E-7</v>
      </c>
      <c r="G45" s="196">
        <f>B45*$H$45</f>
        <v>0</v>
      </c>
      <c r="H45" s="189">
        <f>0.59/100</f>
        <v>5.8999999999999999E-3</v>
      </c>
      <c r="I45" s="1288"/>
      <c r="J45" s="206">
        <v>0</v>
      </c>
      <c r="K45" s="196">
        <v>0</v>
      </c>
      <c r="L45" s="196">
        <v>0</v>
      </c>
      <c r="M45" s="196">
        <v>0</v>
      </c>
      <c r="N45" s="193">
        <f t="shared" ref="N45:N50" si="29">0.5*(MAX(K45:M45)-MIN(K45:M45))</f>
        <v>0</v>
      </c>
      <c r="O45" s="196">
        <f>J45*$P$45</f>
        <v>0</v>
      </c>
      <c r="P45" s="189">
        <f>0.59/100</f>
        <v>5.8999999999999999E-3</v>
      </c>
      <c r="Q45" s="1288"/>
      <c r="R45" s="199">
        <v>0</v>
      </c>
      <c r="S45" s="196">
        <v>0</v>
      </c>
      <c r="T45" s="196">
        <v>0</v>
      </c>
      <c r="U45" s="196">
        <v>0</v>
      </c>
      <c r="V45" s="193">
        <f t="shared" ref="V45:V50" si="30">0.5*(MAX(S45:U45)-MIN(S45:U45))</f>
        <v>0</v>
      </c>
      <c r="W45" s="196">
        <f>R45*$X$45</f>
        <v>0</v>
      </c>
      <c r="X45" s="480">
        <f>0.59/100</f>
        <v>5.8999999999999999E-3</v>
      </c>
    </row>
    <row r="46" spans="1:24" ht="12.75" customHeight="1">
      <c r="A46" s="1288"/>
      <c r="B46" s="199">
        <v>50</v>
      </c>
      <c r="C46" s="191">
        <v>0.2</v>
      </c>
      <c r="D46" s="191">
        <v>0.2</v>
      </c>
      <c r="E46" s="191">
        <v>0.4</v>
      </c>
      <c r="F46" s="193">
        <f t="shared" ref="F46:F50" si="31">0.5*(MAX(C46:E46)-MIN(C46:E46))</f>
        <v>0.1</v>
      </c>
      <c r="G46" s="196">
        <f t="shared" ref="G46:G50" si="32">B46*$H$45</f>
        <v>0.29499999999999998</v>
      </c>
      <c r="H46" s="189"/>
      <c r="I46" s="1288"/>
      <c r="J46" s="206">
        <v>50</v>
      </c>
      <c r="K46" s="191">
        <v>-0.33</v>
      </c>
      <c r="L46" s="191">
        <v>-0.33</v>
      </c>
      <c r="M46" s="191">
        <v>1.2</v>
      </c>
      <c r="N46" s="193">
        <f t="shared" si="29"/>
        <v>0.76500000000000001</v>
      </c>
      <c r="O46" s="196">
        <f t="shared" ref="O46:O50" si="33">J46*$P$45</f>
        <v>0.29499999999999998</v>
      </c>
      <c r="P46" s="189"/>
      <c r="Q46" s="1288"/>
      <c r="R46" s="199">
        <v>50</v>
      </c>
      <c r="S46" s="191">
        <v>2.1</v>
      </c>
      <c r="T46" s="191">
        <v>2.1</v>
      </c>
      <c r="U46" s="191">
        <v>2.6</v>
      </c>
      <c r="V46" s="193">
        <f t="shared" si="30"/>
        <v>0.25</v>
      </c>
      <c r="W46" s="196">
        <f t="shared" ref="W46:W50" si="34">R46*$X$45</f>
        <v>0.29499999999999998</v>
      </c>
    </row>
    <row r="47" spans="1:24" ht="12.75" customHeight="1">
      <c r="A47" s="1288"/>
      <c r="B47" s="199">
        <v>100</v>
      </c>
      <c r="C47" s="191">
        <v>0.3</v>
      </c>
      <c r="D47" s="191">
        <v>0.3</v>
      </c>
      <c r="E47" s="191">
        <v>0.4</v>
      </c>
      <c r="F47" s="193">
        <f t="shared" si="31"/>
        <v>5.0000000000000017E-2</v>
      </c>
      <c r="G47" s="196">
        <f t="shared" si="32"/>
        <v>0.59</v>
      </c>
      <c r="H47" s="189"/>
      <c r="I47" s="1288"/>
      <c r="J47" s="206">
        <v>100</v>
      </c>
      <c r="K47" s="191">
        <v>-0.42</v>
      </c>
      <c r="L47" s="191">
        <v>-0.42</v>
      </c>
      <c r="M47" s="191">
        <v>3.9</v>
      </c>
      <c r="N47" s="193">
        <f t="shared" si="29"/>
        <v>2.16</v>
      </c>
      <c r="O47" s="196">
        <f t="shared" si="33"/>
        <v>0.59</v>
      </c>
      <c r="P47" s="189"/>
      <c r="Q47" s="1288"/>
      <c r="R47" s="199">
        <v>100</v>
      </c>
      <c r="S47" s="191">
        <v>2.2999999999999998</v>
      </c>
      <c r="T47" s="191">
        <v>2.2999999999999998</v>
      </c>
      <c r="U47" s="191">
        <v>2.6</v>
      </c>
      <c r="V47" s="193">
        <f t="shared" si="30"/>
        <v>0.15000000000000013</v>
      </c>
      <c r="W47" s="196">
        <f t="shared" si="34"/>
        <v>0.59</v>
      </c>
    </row>
    <row r="48" spans="1:24" ht="12.75" customHeight="1">
      <c r="A48" s="1288"/>
      <c r="B48" s="199">
        <v>200</v>
      </c>
      <c r="C48" s="191">
        <v>1.4</v>
      </c>
      <c r="D48" s="191">
        <v>1.4</v>
      </c>
      <c r="E48" s="203">
        <v>9.9999999999999995E-7</v>
      </c>
      <c r="F48" s="193">
        <f t="shared" si="31"/>
        <v>0.6999995</v>
      </c>
      <c r="G48" s="196">
        <f t="shared" si="32"/>
        <v>1.18</v>
      </c>
      <c r="H48" s="189"/>
      <c r="I48" s="1288"/>
      <c r="J48" s="206">
        <v>200</v>
      </c>
      <c r="K48" s="191">
        <v>1.3</v>
      </c>
      <c r="L48" s="191">
        <v>1.3</v>
      </c>
      <c r="M48" s="203">
        <v>9.9999999999999995E-7</v>
      </c>
      <c r="N48" s="193">
        <f t="shared" si="29"/>
        <v>0.64999950000000006</v>
      </c>
      <c r="O48" s="196">
        <f t="shared" si="33"/>
        <v>1.18</v>
      </c>
      <c r="P48" s="189"/>
      <c r="Q48" s="1288"/>
      <c r="R48" s="199">
        <v>200</v>
      </c>
      <c r="S48" s="191">
        <v>0.2</v>
      </c>
      <c r="T48" s="191">
        <v>0.2</v>
      </c>
      <c r="U48" s="191">
        <v>3.1</v>
      </c>
      <c r="V48" s="193">
        <f t="shared" si="30"/>
        <v>1.45</v>
      </c>
      <c r="W48" s="196">
        <f t="shared" si="34"/>
        <v>1.18</v>
      </c>
    </row>
    <row r="49" spans="1:24" ht="12.75" customHeight="1">
      <c r="A49" s="1288"/>
      <c r="B49" s="199">
        <v>500</v>
      </c>
      <c r="C49" s="191">
        <v>2.8</v>
      </c>
      <c r="D49" s="191">
        <v>2.8</v>
      </c>
      <c r="E49" s="191">
        <v>1.5</v>
      </c>
      <c r="F49" s="193">
        <f t="shared" si="31"/>
        <v>0.64999999999999991</v>
      </c>
      <c r="G49" s="196">
        <f t="shared" si="32"/>
        <v>2.9499999999999997</v>
      </c>
      <c r="H49" s="189"/>
      <c r="I49" s="1288"/>
      <c r="J49" s="206">
        <v>500</v>
      </c>
      <c r="K49" s="191">
        <v>0.7</v>
      </c>
      <c r="L49" s="191">
        <v>0.7</v>
      </c>
      <c r="M49" s="191">
        <v>9.3000000000000007</v>
      </c>
      <c r="N49" s="193">
        <f t="shared" si="29"/>
        <v>4.3000000000000007</v>
      </c>
      <c r="O49" s="196">
        <f t="shared" si="33"/>
        <v>2.9499999999999997</v>
      </c>
      <c r="P49" s="189"/>
      <c r="Q49" s="1288"/>
      <c r="R49" s="199">
        <v>500</v>
      </c>
      <c r="S49" s="191">
        <v>2.8</v>
      </c>
      <c r="T49" s="191">
        <v>2.8</v>
      </c>
      <c r="U49" s="191">
        <v>3.9</v>
      </c>
      <c r="V49" s="193">
        <f t="shared" si="30"/>
        <v>0.55000000000000004</v>
      </c>
      <c r="W49" s="196">
        <f t="shared" si="34"/>
        <v>2.9499999999999997</v>
      </c>
    </row>
    <row r="50" spans="1:24" ht="12.75" customHeight="1">
      <c r="A50" s="1288"/>
      <c r="B50" s="199">
        <v>1000</v>
      </c>
      <c r="C50" s="191">
        <v>1.2E-2</v>
      </c>
      <c r="D50" s="191">
        <v>1.2E-2</v>
      </c>
      <c r="E50" s="191">
        <v>2</v>
      </c>
      <c r="F50" s="193">
        <f t="shared" si="31"/>
        <v>0.99399999999999999</v>
      </c>
      <c r="G50" s="196">
        <f t="shared" si="32"/>
        <v>5.8999999999999995</v>
      </c>
      <c r="H50" s="189"/>
      <c r="I50" s="1288"/>
      <c r="J50" s="206">
        <v>1000</v>
      </c>
      <c r="K50" s="191">
        <v>2E-3</v>
      </c>
      <c r="L50" s="191">
        <v>2E-3</v>
      </c>
      <c r="M50" s="191">
        <v>-110</v>
      </c>
      <c r="N50" s="193">
        <f t="shared" si="29"/>
        <v>55.000999999999998</v>
      </c>
      <c r="O50" s="196">
        <f t="shared" si="33"/>
        <v>5.8999999999999995</v>
      </c>
      <c r="P50" s="189"/>
      <c r="Q50" s="1288"/>
      <c r="R50" s="199">
        <v>1000</v>
      </c>
      <c r="S50" s="201">
        <v>13</v>
      </c>
      <c r="T50" s="201">
        <v>13</v>
      </c>
      <c r="U50" s="201">
        <v>5.0000000000000001E-3</v>
      </c>
      <c r="V50" s="193">
        <f t="shared" si="30"/>
        <v>6.4974999999999996</v>
      </c>
      <c r="W50" s="196">
        <f t="shared" si="34"/>
        <v>5.8999999999999995</v>
      </c>
    </row>
    <row r="51" spans="1:24" ht="12.75" customHeight="1">
      <c r="A51" s="1288"/>
      <c r="B51" s="1302" t="str">
        <f>B20</f>
        <v>Main-PE</v>
      </c>
      <c r="C51" s="1303"/>
      <c r="D51" s="1303"/>
      <c r="E51" s="1304"/>
      <c r="F51" s="472" t="s">
        <v>349</v>
      </c>
      <c r="G51" s="472" t="s">
        <v>243</v>
      </c>
      <c r="H51" s="189"/>
      <c r="I51" s="1288"/>
      <c r="J51" s="1302" t="str">
        <f>B51</f>
        <v>Main-PE</v>
      </c>
      <c r="K51" s="1303"/>
      <c r="L51" s="1303"/>
      <c r="M51" s="1304"/>
      <c r="N51" s="472" t="s">
        <v>349</v>
      </c>
      <c r="O51" s="472" t="s">
        <v>243</v>
      </c>
      <c r="P51" s="189"/>
      <c r="Q51" s="1288"/>
      <c r="R51" s="1302" t="str">
        <f>J51</f>
        <v>Main-PE</v>
      </c>
      <c r="S51" s="1303"/>
      <c r="T51" s="1303"/>
      <c r="U51" s="1304"/>
      <c r="V51" s="472" t="s">
        <v>349</v>
      </c>
      <c r="W51" s="472" t="s">
        <v>243</v>
      </c>
    </row>
    <row r="52" spans="1:24" ht="15" customHeight="1">
      <c r="A52" s="1288"/>
      <c r="B52" s="474" t="s">
        <v>354</v>
      </c>
      <c r="C52" s="472">
        <f>C36</f>
        <v>2019</v>
      </c>
      <c r="D52" s="472">
        <f>D36</f>
        <v>2019</v>
      </c>
      <c r="E52" s="472">
        <f>E36</f>
        <v>2021</v>
      </c>
      <c r="F52" s="472"/>
      <c r="G52" s="472"/>
      <c r="H52" s="189"/>
      <c r="I52" s="1288"/>
      <c r="J52" s="474" t="s">
        <v>354</v>
      </c>
      <c r="K52" s="472">
        <f>K36</f>
        <v>2019</v>
      </c>
      <c r="L52" s="472">
        <f>L36</f>
        <v>2019</v>
      </c>
      <c r="M52" s="472">
        <f>M36</f>
        <v>2021</v>
      </c>
      <c r="N52" s="472"/>
      <c r="O52" s="472"/>
      <c r="P52" s="189"/>
      <c r="Q52" s="1288"/>
      <c r="R52" s="474" t="s">
        <v>354</v>
      </c>
      <c r="S52" s="472">
        <f>S36</f>
        <v>2018</v>
      </c>
      <c r="T52" s="472">
        <f>T36</f>
        <v>2018</v>
      </c>
      <c r="U52" s="472">
        <f>U36</f>
        <v>2019</v>
      </c>
      <c r="V52" s="472"/>
      <c r="W52" s="472"/>
    </row>
    <row r="53" spans="1:24" ht="12.75" customHeight="1">
      <c r="A53" s="1288"/>
      <c r="B53" s="199">
        <v>10</v>
      </c>
      <c r="C53" s="191">
        <v>0.1</v>
      </c>
      <c r="D53" s="191">
        <v>0.1</v>
      </c>
      <c r="E53" s="203">
        <v>9.9999999999999995E-7</v>
      </c>
      <c r="F53" s="193">
        <f>0.5*(MAX(C53:E53)-MIN(C53:E53))</f>
        <v>4.9999500000000002E-2</v>
      </c>
      <c r="G53" s="202">
        <f>B53*$H$53</f>
        <v>0.17</v>
      </c>
      <c r="H53" s="189">
        <f>1.7/100</f>
        <v>1.7000000000000001E-2</v>
      </c>
      <c r="I53" s="1288"/>
      <c r="J53" s="199">
        <v>10</v>
      </c>
      <c r="K53" s="191">
        <v>0.1</v>
      </c>
      <c r="L53" s="191">
        <v>0.1</v>
      </c>
      <c r="M53" s="191">
        <v>0</v>
      </c>
      <c r="N53" s="193">
        <f>0.5*(MAX(K53:M53)-MIN(K53:M53))</f>
        <v>0.05</v>
      </c>
      <c r="O53" s="202">
        <f>J53*$P$53</f>
        <v>0.17</v>
      </c>
      <c r="P53" s="189">
        <f>1.7/100</f>
        <v>1.7000000000000001E-2</v>
      </c>
      <c r="Q53" s="1288"/>
      <c r="R53" s="199">
        <v>10</v>
      </c>
      <c r="S53" s="191">
        <v>0</v>
      </c>
      <c r="T53" s="191">
        <v>0</v>
      </c>
      <c r="U53" s="191">
        <v>0.1</v>
      </c>
      <c r="V53" s="193">
        <f t="shared" ref="V53:V56" si="35">0.5*(MAX(S53:U53)-MIN(S53:U53))</f>
        <v>0.05</v>
      </c>
      <c r="W53" s="202">
        <f>R53*$X$53</f>
        <v>0.17</v>
      </c>
      <c r="X53" s="480">
        <f>1.7/100</f>
        <v>1.7000000000000001E-2</v>
      </c>
    </row>
    <row r="54" spans="1:24" ht="12.75" customHeight="1">
      <c r="A54" s="1288"/>
      <c r="B54" s="199">
        <v>20</v>
      </c>
      <c r="C54" s="191">
        <v>0.2</v>
      </c>
      <c r="D54" s="191">
        <v>0.2</v>
      </c>
      <c r="E54" s="191">
        <v>0.1</v>
      </c>
      <c r="F54" s="193">
        <f t="shared" ref="F54:F56" si="36">0.5*(MAX(C54:E54)-MIN(C54:E54))</f>
        <v>0.05</v>
      </c>
      <c r="G54" s="202">
        <f t="shared" ref="G54:G56" si="37">B54*$H$53</f>
        <v>0.34</v>
      </c>
      <c r="H54" s="189"/>
      <c r="I54" s="1288"/>
      <c r="J54" s="199">
        <v>20</v>
      </c>
      <c r="K54" s="191">
        <v>0.1</v>
      </c>
      <c r="L54" s="191">
        <v>0.1</v>
      </c>
      <c r="M54" s="191">
        <v>0.1</v>
      </c>
      <c r="N54" s="193">
        <f>0.5*(MAX(K54:M54)-MIN(K54:M54))</f>
        <v>0</v>
      </c>
      <c r="O54" s="202">
        <f t="shared" ref="O54:O56" si="38">J54*$P$53</f>
        <v>0.34</v>
      </c>
      <c r="P54" s="189"/>
      <c r="Q54" s="1288"/>
      <c r="R54" s="199">
        <v>20</v>
      </c>
      <c r="S54" s="191">
        <v>0.1</v>
      </c>
      <c r="T54" s="191">
        <v>0.1</v>
      </c>
      <c r="U54" s="191">
        <v>0.1</v>
      </c>
      <c r="V54" s="193">
        <f t="shared" si="35"/>
        <v>0</v>
      </c>
      <c r="W54" s="202">
        <f t="shared" ref="W54:W56" si="39">R54*$X$53</f>
        <v>0.34</v>
      </c>
    </row>
    <row r="55" spans="1:24" ht="12.75" customHeight="1">
      <c r="A55" s="1288"/>
      <c r="B55" s="199">
        <v>50</v>
      </c>
      <c r="C55" s="191">
        <v>0.5</v>
      </c>
      <c r="D55" s="191">
        <v>0.5</v>
      </c>
      <c r="E55" s="191">
        <v>0.4</v>
      </c>
      <c r="F55" s="193">
        <f t="shared" si="36"/>
        <v>4.9999999999999989E-2</v>
      </c>
      <c r="G55" s="202">
        <f t="shared" si="37"/>
        <v>0.85000000000000009</v>
      </c>
      <c r="H55" s="189"/>
      <c r="I55" s="1288"/>
      <c r="J55" s="199">
        <v>50</v>
      </c>
      <c r="K55" s="191">
        <v>0.4</v>
      </c>
      <c r="L55" s="191">
        <v>0.4</v>
      </c>
      <c r="M55" s="191">
        <v>0.6</v>
      </c>
      <c r="N55" s="193">
        <f>0.5*(MAX(K55:M55)-MIN(K55:M55))</f>
        <v>9.9999999999999978E-2</v>
      </c>
      <c r="O55" s="202">
        <f t="shared" si="38"/>
        <v>0.85000000000000009</v>
      </c>
      <c r="P55" s="189"/>
      <c r="Q55" s="1288"/>
      <c r="R55" s="199">
        <v>50</v>
      </c>
      <c r="S55" s="191">
        <v>0.3</v>
      </c>
      <c r="T55" s="191">
        <v>0.3</v>
      </c>
      <c r="U55" s="191">
        <v>0.3</v>
      </c>
      <c r="V55" s="193">
        <f t="shared" si="35"/>
        <v>0</v>
      </c>
      <c r="W55" s="202">
        <f t="shared" si="39"/>
        <v>0.85000000000000009</v>
      </c>
    </row>
    <row r="56" spans="1:24" ht="12.75" customHeight="1">
      <c r="A56" s="1288"/>
      <c r="B56" s="199">
        <v>100</v>
      </c>
      <c r="C56" s="191">
        <v>1</v>
      </c>
      <c r="D56" s="191">
        <v>1</v>
      </c>
      <c r="E56" s="191">
        <v>1.4</v>
      </c>
      <c r="F56" s="193">
        <f t="shared" si="36"/>
        <v>0.19999999999999996</v>
      </c>
      <c r="G56" s="202">
        <f t="shared" si="37"/>
        <v>1.7000000000000002</v>
      </c>
      <c r="H56" s="189"/>
      <c r="I56" s="1288"/>
      <c r="J56" s="199">
        <v>100</v>
      </c>
      <c r="K56" s="191">
        <v>0.8</v>
      </c>
      <c r="L56" s="191">
        <v>0.8</v>
      </c>
      <c r="M56" s="191">
        <v>1.5</v>
      </c>
      <c r="N56" s="193">
        <f>0.5*(MAX(K56:M56)-MIN(K56:M56))</f>
        <v>0.35</v>
      </c>
      <c r="O56" s="202">
        <f t="shared" si="38"/>
        <v>1.7000000000000002</v>
      </c>
      <c r="P56" s="189"/>
      <c r="Q56" s="1288"/>
      <c r="R56" s="199">
        <v>100</v>
      </c>
      <c r="S56" s="191">
        <v>0.9</v>
      </c>
      <c r="T56" s="191">
        <v>0.9</v>
      </c>
      <c r="U56" s="191">
        <v>0.6</v>
      </c>
      <c r="V56" s="193">
        <f t="shared" si="35"/>
        <v>0.15000000000000002</v>
      </c>
      <c r="W56" s="202">
        <f t="shared" si="39"/>
        <v>1.7000000000000002</v>
      </c>
    </row>
    <row r="57" spans="1:24" ht="12.75" customHeight="1">
      <c r="A57" s="1288"/>
      <c r="B57" s="1302" t="str">
        <f>B26</f>
        <v>Resistance</v>
      </c>
      <c r="C57" s="1303"/>
      <c r="D57" s="1303"/>
      <c r="E57" s="1304"/>
      <c r="F57" s="472" t="s">
        <v>349</v>
      </c>
      <c r="G57" s="472" t="s">
        <v>243</v>
      </c>
      <c r="H57" s="189"/>
      <c r="I57" s="1288"/>
      <c r="J57" s="1302" t="str">
        <f>B57</f>
        <v>Resistance</v>
      </c>
      <c r="K57" s="1303"/>
      <c r="L57" s="1303"/>
      <c r="M57" s="1304"/>
      <c r="N57" s="472" t="s">
        <v>349</v>
      </c>
      <c r="O57" s="472" t="s">
        <v>243</v>
      </c>
      <c r="P57" s="189"/>
      <c r="Q57" s="1288"/>
      <c r="R57" s="1302" t="str">
        <f>J57</f>
        <v>Resistance</v>
      </c>
      <c r="S57" s="1303"/>
      <c r="T57" s="1303"/>
      <c r="U57" s="1304"/>
      <c r="V57" s="472" t="s">
        <v>349</v>
      </c>
      <c r="W57" s="472" t="s">
        <v>243</v>
      </c>
    </row>
    <row r="58" spans="1:24" ht="15" customHeight="1">
      <c r="A58" s="1288"/>
      <c r="B58" s="474" t="s">
        <v>356</v>
      </c>
      <c r="C58" s="472">
        <f>C36</f>
        <v>2019</v>
      </c>
      <c r="D58" s="472">
        <f>D36</f>
        <v>2019</v>
      </c>
      <c r="E58" s="472">
        <f>E36</f>
        <v>2021</v>
      </c>
      <c r="F58" s="472"/>
      <c r="G58" s="472"/>
      <c r="H58" s="189"/>
      <c r="I58" s="1288"/>
      <c r="J58" s="474" t="s">
        <v>356</v>
      </c>
      <c r="K58" s="472">
        <f>K36</f>
        <v>2019</v>
      </c>
      <c r="L58" s="472">
        <f>L36</f>
        <v>2019</v>
      </c>
      <c r="M58" s="472">
        <f>M36</f>
        <v>2021</v>
      </c>
      <c r="N58" s="472"/>
      <c r="O58" s="472"/>
      <c r="P58" s="189"/>
      <c r="Q58" s="1288"/>
      <c r="R58" s="474" t="s">
        <v>356</v>
      </c>
      <c r="S58" s="472">
        <f>S36</f>
        <v>2018</v>
      </c>
      <c r="T58" s="472">
        <f>T36</f>
        <v>2018</v>
      </c>
      <c r="U58" s="472">
        <f>U36</f>
        <v>2019</v>
      </c>
      <c r="V58" s="472"/>
      <c r="W58" s="472"/>
    </row>
    <row r="59" spans="1:24" ht="12.75" customHeight="1">
      <c r="A59" s="1288"/>
      <c r="B59" s="199">
        <v>0.01</v>
      </c>
      <c r="C59" s="201">
        <v>0</v>
      </c>
      <c r="D59" s="201">
        <v>0</v>
      </c>
      <c r="E59" s="203">
        <v>9.9999999999999995E-7</v>
      </c>
      <c r="F59" s="193">
        <f>0.5*(MAX(C59:E59)-MIN(C59:E59))</f>
        <v>4.9999999999999998E-7</v>
      </c>
      <c r="G59" s="199">
        <f>B59*$H$59</f>
        <v>1.2E-4</v>
      </c>
      <c r="H59" s="189">
        <f>1.2/100</f>
        <v>1.2E-2</v>
      </c>
      <c r="I59" s="1288"/>
      <c r="J59" s="206">
        <v>0.01</v>
      </c>
      <c r="K59" s="201">
        <v>0</v>
      </c>
      <c r="L59" s="201">
        <v>0</v>
      </c>
      <c r="M59" s="201">
        <v>0</v>
      </c>
      <c r="N59" s="193">
        <f>0.5*(MAX(K59:M59)-MIN(K59:M59))</f>
        <v>0</v>
      </c>
      <c r="O59" s="199">
        <f>J59*$P$59</f>
        <v>1.2E-4</v>
      </c>
      <c r="P59" s="189">
        <f>1.2/100</f>
        <v>1.2E-2</v>
      </c>
      <c r="Q59" s="1288"/>
      <c r="R59" s="199">
        <v>0.01</v>
      </c>
      <c r="S59" s="201">
        <v>0</v>
      </c>
      <c r="T59" s="201">
        <v>0</v>
      </c>
      <c r="U59" s="201">
        <v>0</v>
      </c>
      <c r="V59" s="193">
        <f t="shared" ref="V59:V62" si="40">0.5*(MAX(S59:U59)-MIN(S59:U59))</f>
        <v>0</v>
      </c>
      <c r="W59" s="199">
        <f>R59*$X$59</f>
        <v>1.2E-4</v>
      </c>
      <c r="X59" s="487">
        <f>1.2/100</f>
        <v>1.2E-2</v>
      </c>
    </row>
    <row r="60" spans="1:24" ht="12.75" customHeight="1">
      <c r="A60" s="1288"/>
      <c r="B60" s="199">
        <v>0.1</v>
      </c>
      <c r="C60" s="201">
        <v>0</v>
      </c>
      <c r="D60" s="201">
        <v>0</v>
      </c>
      <c r="E60" s="201">
        <v>-2E-3</v>
      </c>
      <c r="F60" s="193">
        <f t="shared" ref="F60:F62" si="41">0.5*(MAX(C60:E60)-MIN(C60:E60))</f>
        <v>1E-3</v>
      </c>
      <c r="G60" s="199">
        <f t="shared" ref="G60:G62" si="42">B60*$H$59</f>
        <v>1.2000000000000001E-3</v>
      </c>
      <c r="H60" s="189"/>
      <c r="I60" s="1288"/>
      <c r="J60" s="206">
        <v>0.1</v>
      </c>
      <c r="K60" s="201">
        <v>2E-3</v>
      </c>
      <c r="L60" s="201">
        <v>2E-3</v>
      </c>
      <c r="M60" s="201">
        <v>5.0000000000000001E-3</v>
      </c>
      <c r="N60" s="193">
        <f>0.5*(MAX(K60:M60)-MIN(K60:M60))</f>
        <v>1.5E-3</v>
      </c>
      <c r="O60" s="199">
        <f t="shared" ref="O60:O62" si="43">J60*$P$59</f>
        <v>1.2000000000000001E-3</v>
      </c>
      <c r="P60" s="189"/>
      <c r="Q60" s="1288"/>
      <c r="R60" s="199">
        <v>0.1</v>
      </c>
      <c r="S60" s="201">
        <v>1E-3</v>
      </c>
      <c r="T60" s="201">
        <v>1E-3</v>
      </c>
      <c r="U60" s="201">
        <v>-2E-3</v>
      </c>
      <c r="V60" s="193">
        <f t="shared" si="40"/>
        <v>1.5E-3</v>
      </c>
      <c r="W60" s="199">
        <f t="shared" ref="W60:W62" si="44">R60*$X$59</f>
        <v>1.2000000000000001E-3</v>
      </c>
    </row>
    <row r="61" spans="1:24" ht="12.75" customHeight="1">
      <c r="A61" s="1288"/>
      <c r="B61" s="199">
        <v>1</v>
      </c>
      <c r="C61" s="201">
        <v>-1E-3</v>
      </c>
      <c r="D61" s="201">
        <v>-1E-3</v>
      </c>
      <c r="E61" s="201">
        <v>-8.0000000000000002E-3</v>
      </c>
      <c r="F61" s="193">
        <f t="shared" si="41"/>
        <v>3.5000000000000001E-3</v>
      </c>
      <c r="G61" s="199">
        <f t="shared" si="42"/>
        <v>1.2E-2</v>
      </c>
      <c r="H61" s="189"/>
      <c r="I61" s="1288"/>
      <c r="J61" s="206">
        <v>1</v>
      </c>
      <c r="K61" s="201">
        <v>1.2E-2</v>
      </c>
      <c r="L61" s="201">
        <v>1.2E-2</v>
      </c>
      <c r="M61" s="201">
        <v>1.7999999999999999E-2</v>
      </c>
      <c r="N61" s="193">
        <f t="shared" ref="N61:N62" si="45">0.5*(MAX(K61:M61)-MIN(K61:M61))</f>
        <v>2.9999999999999992E-3</v>
      </c>
      <c r="O61" s="199">
        <f t="shared" si="43"/>
        <v>1.2E-2</v>
      </c>
      <c r="P61" s="189"/>
      <c r="Q61" s="1288"/>
      <c r="R61" s="199">
        <v>1</v>
      </c>
      <c r="S61" s="201">
        <v>2E-3</v>
      </c>
      <c r="T61" s="201">
        <v>2E-3</v>
      </c>
      <c r="U61" s="201">
        <v>-1E-3</v>
      </c>
      <c r="V61" s="193">
        <f t="shared" si="40"/>
        <v>1.5E-3</v>
      </c>
      <c r="W61" s="199">
        <f t="shared" si="44"/>
        <v>1.2E-2</v>
      </c>
    </row>
    <row r="62" spans="1:24" ht="12.75" customHeight="1">
      <c r="A62" s="1289"/>
      <c r="B62" s="199">
        <v>2</v>
      </c>
      <c r="C62" s="201">
        <v>0</v>
      </c>
      <c r="D62" s="201">
        <v>0</v>
      </c>
      <c r="E62" s="201">
        <v>-7.0000000000000001E-3</v>
      </c>
      <c r="F62" s="193">
        <f t="shared" si="41"/>
        <v>3.5000000000000001E-3</v>
      </c>
      <c r="G62" s="199">
        <f t="shared" si="42"/>
        <v>2.4E-2</v>
      </c>
      <c r="H62" s="189" t="s">
        <v>108</v>
      </c>
      <c r="I62" s="1289"/>
      <c r="J62" s="206">
        <v>2</v>
      </c>
      <c r="K62" s="201">
        <v>0</v>
      </c>
      <c r="L62" s="201">
        <v>0</v>
      </c>
      <c r="M62" s="201">
        <v>0.113</v>
      </c>
      <c r="N62" s="193">
        <f t="shared" si="45"/>
        <v>5.6500000000000002E-2</v>
      </c>
      <c r="O62" s="199">
        <f t="shared" si="43"/>
        <v>2.4E-2</v>
      </c>
      <c r="P62" s="189"/>
      <c r="Q62" s="1289"/>
      <c r="R62" s="199">
        <v>2</v>
      </c>
      <c r="S62" s="201">
        <v>0</v>
      </c>
      <c r="T62" s="201">
        <v>0</v>
      </c>
      <c r="U62" s="203">
        <v>9.9999999999999995E-7</v>
      </c>
      <c r="V62" s="193">
        <f t="shared" si="40"/>
        <v>4.9999999999999998E-7</v>
      </c>
      <c r="W62" s="199">
        <f t="shared" si="44"/>
        <v>2.4E-2</v>
      </c>
    </row>
    <row r="63" spans="1:24" ht="15.5">
      <c r="A63" s="207"/>
      <c r="B63" s="208"/>
      <c r="C63" s="209"/>
      <c r="E63" s="209"/>
      <c r="F63" s="209"/>
      <c r="G63" s="209"/>
      <c r="H63" s="189"/>
      <c r="I63" s="210"/>
      <c r="J63" s="211"/>
      <c r="K63" s="209"/>
      <c r="M63" s="209"/>
      <c r="N63" s="209"/>
      <c r="O63" s="209"/>
      <c r="P63" s="189"/>
      <c r="Q63" s="210"/>
      <c r="R63" s="208"/>
      <c r="S63" s="209"/>
      <c r="U63" s="189"/>
      <c r="V63" s="189"/>
      <c r="W63" s="204"/>
    </row>
    <row r="64" spans="1:24" ht="15" customHeight="1">
      <c r="A64" s="1287" t="s">
        <v>126</v>
      </c>
      <c r="B64" s="1323" t="s">
        <v>360</v>
      </c>
      <c r="C64" s="1323"/>
      <c r="D64" s="1323"/>
      <c r="E64" s="1323"/>
      <c r="F64" s="1323"/>
      <c r="G64" s="1323"/>
      <c r="H64" s="185"/>
      <c r="I64" s="1287" t="s">
        <v>361</v>
      </c>
      <c r="J64" s="1324" t="s">
        <v>362</v>
      </c>
      <c r="K64" s="1324"/>
      <c r="L64" s="1324"/>
      <c r="M64" s="1324"/>
      <c r="N64" s="1324"/>
      <c r="O64" s="1324"/>
      <c r="P64" s="186"/>
      <c r="Q64" s="1287" t="s">
        <v>77</v>
      </c>
      <c r="R64" s="1324" t="s">
        <v>363</v>
      </c>
      <c r="S64" s="1324"/>
      <c r="T64" s="1324"/>
      <c r="U64" s="1324"/>
      <c r="V64" s="1324"/>
      <c r="W64" s="1324"/>
    </row>
    <row r="65" spans="1:26" ht="15" customHeight="1">
      <c r="A65" s="1288"/>
      <c r="B65" s="1316" t="s">
        <v>347</v>
      </c>
      <c r="C65" s="1316"/>
      <c r="D65" s="1316"/>
      <c r="E65" s="1316"/>
      <c r="F65" s="485"/>
      <c r="G65" s="485"/>
      <c r="H65" s="187"/>
      <c r="I65" s="1288"/>
      <c r="J65" s="1326" t="s">
        <v>347</v>
      </c>
      <c r="K65" s="1327"/>
      <c r="L65" s="1327"/>
      <c r="M65" s="1328"/>
      <c r="N65" s="486"/>
      <c r="O65" s="486"/>
      <c r="P65" s="188"/>
      <c r="Q65" s="1288"/>
      <c r="R65" s="1316" t="s">
        <v>347</v>
      </c>
      <c r="S65" s="1316"/>
      <c r="T65" s="1316"/>
      <c r="U65" s="1316"/>
      <c r="V65" s="486"/>
      <c r="W65" s="486"/>
    </row>
    <row r="66" spans="1:26" ht="12.75" customHeight="1">
      <c r="A66" s="1288"/>
      <c r="B66" s="1317" t="s">
        <v>348</v>
      </c>
      <c r="C66" s="1318"/>
      <c r="D66" s="1318"/>
      <c r="E66" s="1319"/>
      <c r="F66" s="472" t="s">
        <v>349</v>
      </c>
      <c r="G66" s="472" t="s">
        <v>243</v>
      </c>
      <c r="H66" s="189"/>
      <c r="I66" s="1288"/>
      <c r="J66" s="1317" t="s">
        <v>348</v>
      </c>
      <c r="K66" s="1318"/>
      <c r="L66" s="1318"/>
      <c r="M66" s="1319"/>
      <c r="N66" s="472" t="s">
        <v>349</v>
      </c>
      <c r="O66" s="472" t="s">
        <v>243</v>
      </c>
      <c r="P66" s="189"/>
      <c r="Q66" s="1288"/>
      <c r="R66" s="1317" t="s">
        <v>348</v>
      </c>
      <c r="S66" s="1318"/>
      <c r="T66" s="1318"/>
      <c r="U66" s="1319"/>
      <c r="V66" s="472" t="s">
        <v>349</v>
      </c>
      <c r="W66" s="472" t="s">
        <v>243</v>
      </c>
    </row>
    <row r="67" spans="1:26" ht="15" customHeight="1">
      <c r="A67" s="1288"/>
      <c r="B67" s="474" t="s">
        <v>350</v>
      </c>
      <c r="C67" s="472">
        <v>2019</v>
      </c>
      <c r="D67" s="472">
        <v>2019</v>
      </c>
      <c r="E67" s="472">
        <v>2020</v>
      </c>
      <c r="F67" s="472"/>
      <c r="G67" s="472"/>
      <c r="H67" s="189"/>
      <c r="I67" s="1288"/>
      <c r="J67" s="474" t="s">
        <v>350</v>
      </c>
      <c r="K67" s="472">
        <v>2019</v>
      </c>
      <c r="L67" s="472">
        <v>2019</v>
      </c>
      <c r="M67" s="472">
        <v>2020</v>
      </c>
      <c r="N67" s="472"/>
      <c r="O67" s="472"/>
      <c r="P67" s="189"/>
      <c r="Q67" s="1288"/>
      <c r="R67" s="474" t="s">
        <v>350</v>
      </c>
      <c r="S67" s="472">
        <v>2019</v>
      </c>
      <c r="T67" s="472">
        <v>2019</v>
      </c>
      <c r="U67" s="472">
        <v>2020</v>
      </c>
      <c r="V67" s="472"/>
      <c r="W67" s="472"/>
    </row>
    <row r="68" spans="1:26" ht="12.75" customHeight="1">
      <c r="A68" s="1288"/>
      <c r="B68" s="190">
        <v>150</v>
      </c>
      <c r="C68" s="192">
        <v>0.21</v>
      </c>
      <c r="D68" s="192">
        <v>0.21</v>
      </c>
      <c r="E68" s="192">
        <v>0.21</v>
      </c>
      <c r="F68" s="193">
        <f t="shared" ref="F68:F73" si="46">0.5*(MAX(C68:E68)-MIN(C68:E68))</f>
        <v>0</v>
      </c>
      <c r="G68" s="197">
        <f>B68*$H$68</f>
        <v>1.8</v>
      </c>
      <c r="H68" s="189">
        <f>1.2/100</f>
        <v>1.2E-2</v>
      </c>
      <c r="I68" s="1288"/>
      <c r="J68" s="190">
        <v>150</v>
      </c>
      <c r="K68" s="194">
        <v>0</v>
      </c>
      <c r="L68" s="194">
        <v>0</v>
      </c>
      <c r="M68" s="192">
        <v>-0.17</v>
      </c>
      <c r="N68" s="193">
        <f>0.5*(MAX(K68:M68)-MIN(K68:M68))</f>
        <v>8.5000000000000006E-2</v>
      </c>
      <c r="O68" s="202">
        <f>J68*$P$68</f>
        <v>1.8</v>
      </c>
      <c r="P68" s="189">
        <f>1.2/100</f>
        <v>1.2E-2</v>
      </c>
      <c r="Q68" s="1288"/>
      <c r="R68" s="190">
        <v>150</v>
      </c>
      <c r="S68" s="194">
        <v>0</v>
      </c>
      <c r="T68" s="194">
        <v>0</v>
      </c>
      <c r="U68" s="192">
        <v>-0.24</v>
      </c>
      <c r="V68" s="193">
        <f t="shared" ref="V68:V73" si="47">0.5*(MAX(S68:U68)-MIN(S68:U68))</f>
        <v>0.12</v>
      </c>
      <c r="W68" s="202">
        <f>R68*$X$68</f>
        <v>1.8</v>
      </c>
      <c r="X68" s="480">
        <f>1.2/100</f>
        <v>1.2E-2</v>
      </c>
    </row>
    <row r="69" spans="1:26" ht="12.75" customHeight="1">
      <c r="A69" s="1288"/>
      <c r="B69" s="190">
        <v>180</v>
      </c>
      <c r="C69" s="198">
        <v>0.33</v>
      </c>
      <c r="D69" s="198">
        <v>0.33</v>
      </c>
      <c r="E69" s="198">
        <v>0.33</v>
      </c>
      <c r="F69" s="193">
        <f t="shared" si="46"/>
        <v>0</v>
      </c>
      <c r="G69" s="197">
        <f t="shared" ref="G69:G73" si="48">B69*$H$68</f>
        <v>2.16</v>
      </c>
      <c r="H69" s="189"/>
      <c r="I69" s="1288"/>
      <c r="J69" s="190">
        <v>180</v>
      </c>
      <c r="K69" s="194">
        <v>0</v>
      </c>
      <c r="L69" s="194">
        <v>0</v>
      </c>
      <c r="M69" s="198">
        <v>-0.22</v>
      </c>
      <c r="N69" s="193">
        <f t="shared" ref="N69:N73" si="49">0.5*(MAX(K69:M69)-MIN(K69:M69))</f>
        <v>0.11</v>
      </c>
      <c r="O69" s="202">
        <f t="shared" ref="O69:O73" si="50">J69*$P$68</f>
        <v>2.16</v>
      </c>
      <c r="P69" s="189"/>
      <c r="Q69" s="1288"/>
      <c r="R69" s="190">
        <v>180</v>
      </c>
      <c r="S69" s="194">
        <v>0</v>
      </c>
      <c r="T69" s="194">
        <v>0</v>
      </c>
      <c r="U69" s="198">
        <v>-0.14000000000000001</v>
      </c>
      <c r="V69" s="193">
        <f t="shared" si="47"/>
        <v>7.0000000000000007E-2</v>
      </c>
      <c r="W69" s="202">
        <f t="shared" ref="W69:W72" si="51">R69*$X$68</f>
        <v>2.16</v>
      </c>
    </row>
    <row r="70" spans="1:26" ht="12.75" customHeight="1">
      <c r="A70" s="1288"/>
      <c r="B70" s="190">
        <v>200</v>
      </c>
      <c r="C70" s="198">
        <v>0.34</v>
      </c>
      <c r="D70" s="198">
        <v>0.34</v>
      </c>
      <c r="E70" s="198">
        <v>0.34</v>
      </c>
      <c r="F70" s="193">
        <f t="shared" si="46"/>
        <v>0</v>
      </c>
      <c r="G70" s="197">
        <f t="shared" si="48"/>
        <v>2.4</v>
      </c>
      <c r="H70" s="189"/>
      <c r="I70" s="1288"/>
      <c r="J70" s="190">
        <v>200</v>
      </c>
      <c r="K70" s="191">
        <v>0</v>
      </c>
      <c r="L70" s="191">
        <v>0</v>
      </c>
      <c r="M70" s="488">
        <v>-0.33</v>
      </c>
      <c r="N70" s="193">
        <f t="shared" si="49"/>
        <v>0.16500000000000001</v>
      </c>
      <c r="O70" s="202">
        <f t="shared" si="50"/>
        <v>2.4</v>
      </c>
      <c r="P70" s="189"/>
      <c r="Q70" s="1288"/>
      <c r="R70" s="190">
        <v>200</v>
      </c>
      <c r="S70" s="191">
        <v>0</v>
      </c>
      <c r="T70" s="191">
        <v>0</v>
      </c>
      <c r="U70" s="198">
        <v>-0.33</v>
      </c>
      <c r="V70" s="193">
        <f t="shared" si="47"/>
        <v>0.16500000000000001</v>
      </c>
      <c r="W70" s="202">
        <f t="shared" si="51"/>
        <v>2.4</v>
      </c>
    </row>
    <row r="71" spans="1:26" ht="12.75" customHeight="1">
      <c r="A71" s="1288"/>
      <c r="B71" s="190">
        <v>220</v>
      </c>
      <c r="C71" s="198">
        <v>0.37</v>
      </c>
      <c r="D71" s="198">
        <v>0.37</v>
      </c>
      <c r="E71" s="198">
        <v>0.37</v>
      </c>
      <c r="F71" s="193">
        <f t="shared" si="46"/>
        <v>0</v>
      </c>
      <c r="G71" s="197">
        <f t="shared" si="48"/>
        <v>2.64</v>
      </c>
      <c r="H71" s="189"/>
      <c r="I71" s="1288"/>
      <c r="J71" s="190">
        <v>220</v>
      </c>
      <c r="K71" s="191">
        <v>0</v>
      </c>
      <c r="L71" s="191">
        <v>0</v>
      </c>
      <c r="M71" s="198">
        <v>-0.39</v>
      </c>
      <c r="N71" s="193">
        <f t="shared" si="49"/>
        <v>0.19500000000000001</v>
      </c>
      <c r="O71" s="202">
        <f t="shared" si="50"/>
        <v>2.64</v>
      </c>
      <c r="P71" s="189"/>
      <c r="Q71" s="1288"/>
      <c r="R71" s="190">
        <v>220</v>
      </c>
      <c r="S71" s="191">
        <v>0</v>
      </c>
      <c r="T71" s="191">
        <v>0</v>
      </c>
      <c r="U71" s="198">
        <v>-0.45</v>
      </c>
      <c r="V71" s="193">
        <f t="shared" si="47"/>
        <v>0.22500000000000001</v>
      </c>
      <c r="W71" s="202">
        <f t="shared" si="51"/>
        <v>2.64</v>
      </c>
    </row>
    <row r="72" spans="1:26" ht="12.75" customHeight="1">
      <c r="A72" s="1288"/>
      <c r="B72" s="190">
        <v>230</v>
      </c>
      <c r="C72" s="198">
        <v>0.47</v>
      </c>
      <c r="D72" s="198">
        <v>0.47</v>
      </c>
      <c r="E72" s="198">
        <v>0.47</v>
      </c>
      <c r="F72" s="193">
        <f t="shared" si="46"/>
        <v>0</v>
      </c>
      <c r="G72" s="197">
        <f t="shared" si="48"/>
        <v>2.7600000000000002</v>
      </c>
      <c r="H72" s="189"/>
      <c r="I72" s="1288"/>
      <c r="J72" s="190">
        <v>230</v>
      </c>
      <c r="K72" s="191">
        <v>0</v>
      </c>
      <c r="L72" s="191">
        <v>0</v>
      </c>
      <c r="M72" s="489">
        <v>-0.39</v>
      </c>
      <c r="N72" s="193">
        <f t="shared" si="49"/>
        <v>0.19500000000000001</v>
      </c>
      <c r="O72" s="202">
        <f t="shared" si="50"/>
        <v>2.7600000000000002</v>
      </c>
      <c r="P72" s="189"/>
      <c r="Q72" s="1288"/>
      <c r="R72" s="190">
        <v>230</v>
      </c>
      <c r="S72" s="191">
        <v>0</v>
      </c>
      <c r="T72" s="191">
        <v>0</v>
      </c>
      <c r="U72" s="198">
        <v>-0.54</v>
      </c>
      <c r="V72" s="193">
        <f t="shared" si="47"/>
        <v>0.27</v>
      </c>
      <c r="W72" s="202">
        <f t="shared" si="51"/>
        <v>2.7600000000000002</v>
      </c>
    </row>
    <row r="73" spans="1:26" ht="12.75" customHeight="1">
      <c r="A73" s="1288"/>
      <c r="B73" s="190">
        <v>250</v>
      </c>
      <c r="C73" s="198">
        <v>0</v>
      </c>
      <c r="D73" s="198">
        <v>0</v>
      </c>
      <c r="E73" s="198">
        <v>0</v>
      </c>
      <c r="F73" s="193">
        <f t="shared" si="46"/>
        <v>0</v>
      </c>
      <c r="G73" s="197">
        <f t="shared" si="48"/>
        <v>3</v>
      </c>
      <c r="H73" s="189"/>
      <c r="I73" s="1288"/>
      <c r="J73" s="190">
        <v>250</v>
      </c>
      <c r="K73" s="191">
        <v>0</v>
      </c>
      <c r="L73" s="191">
        <v>0</v>
      </c>
      <c r="M73" s="198">
        <v>0</v>
      </c>
      <c r="N73" s="193">
        <f t="shared" si="49"/>
        <v>0</v>
      </c>
      <c r="O73" s="202">
        <f t="shared" si="50"/>
        <v>3</v>
      </c>
      <c r="P73" s="189"/>
      <c r="Q73" s="1288"/>
      <c r="R73" s="190">
        <v>250</v>
      </c>
      <c r="S73" s="191">
        <v>0</v>
      </c>
      <c r="T73" s="191">
        <v>0</v>
      </c>
      <c r="U73" s="198">
        <v>0</v>
      </c>
      <c r="V73" s="193">
        <f t="shared" si="47"/>
        <v>0</v>
      </c>
      <c r="W73" s="202" t="s">
        <v>257</v>
      </c>
    </row>
    <row r="74" spans="1:26" ht="12.75" customHeight="1">
      <c r="A74" s="1288"/>
      <c r="B74" s="1302" t="s">
        <v>351</v>
      </c>
      <c r="C74" s="1303"/>
      <c r="D74" s="1303"/>
      <c r="E74" s="1304"/>
      <c r="F74" s="472" t="s">
        <v>349</v>
      </c>
      <c r="G74" s="472" t="s">
        <v>243</v>
      </c>
      <c r="H74" s="189"/>
      <c r="I74" s="1288"/>
      <c r="J74" s="1302" t="s">
        <v>351</v>
      </c>
      <c r="K74" s="1303"/>
      <c r="L74" s="1303"/>
      <c r="M74" s="1304"/>
      <c r="N74" s="472" t="s">
        <v>349</v>
      </c>
      <c r="O74" s="202" t="s">
        <v>243</v>
      </c>
      <c r="P74" s="189"/>
      <c r="Q74" s="1288"/>
      <c r="R74" s="1302" t="s">
        <v>351</v>
      </c>
      <c r="S74" s="1303"/>
      <c r="T74" s="1303"/>
      <c r="U74" s="1304"/>
      <c r="V74" s="472" t="s">
        <v>349</v>
      </c>
      <c r="W74" s="202" t="s">
        <v>243</v>
      </c>
      <c r="Z74" s="563"/>
    </row>
    <row r="75" spans="1:26" ht="15" customHeight="1">
      <c r="A75" s="1288"/>
      <c r="B75" s="474" t="s">
        <v>352</v>
      </c>
      <c r="C75" s="472">
        <f>C67</f>
        <v>2019</v>
      </c>
      <c r="D75" s="472">
        <f>D67</f>
        <v>2019</v>
      </c>
      <c r="E75" s="472">
        <f>E67</f>
        <v>2020</v>
      </c>
      <c r="F75" s="472"/>
      <c r="G75" s="472"/>
      <c r="H75" s="189"/>
      <c r="I75" s="1288"/>
      <c r="J75" s="474" t="s">
        <v>352</v>
      </c>
      <c r="K75" s="472">
        <f>K67</f>
        <v>2019</v>
      </c>
      <c r="L75" s="472">
        <f>L67</f>
        <v>2019</v>
      </c>
      <c r="M75" s="472">
        <f>M67</f>
        <v>2020</v>
      </c>
      <c r="N75" s="472"/>
      <c r="O75" s="202"/>
      <c r="P75" s="189"/>
      <c r="Q75" s="1288"/>
      <c r="R75" s="474" t="s">
        <v>352</v>
      </c>
      <c r="S75" s="472">
        <f>S67</f>
        <v>2019</v>
      </c>
      <c r="T75" s="472">
        <f>T67</f>
        <v>2019</v>
      </c>
      <c r="U75" s="472">
        <f>U67</f>
        <v>2020</v>
      </c>
      <c r="V75" s="472"/>
      <c r="W75" s="202"/>
    </row>
    <row r="76" spans="1:26" ht="12.75" customHeight="1">
      <c r="A76" s="1288"/>
      <c r="B76" s="199">
        <v>0</v>
      </c>
      <c r="C76" s="200">
        <v>0</v>
      </c>
      <c r="D76" s="200">
        <v>0</v>
      </c>
      <c r="E76" s="200">
        <v>0</v>
      </c>
      <c r="F76" s="193">
        <f t="shared" ref="F76:F81" si="52">0.5*(MAX(C76:E76)-MIN(C76:E76))</f>
        <v>0</v>
      </c>
      <c r="G76" s="196">
        <f>B76*$H$76</f>
        <v>0</v>
      </c>
      <c r="H76" s="189">
        <f>0.59/100</f>
        <v>5.8999999999999999E-3</v>
      </c>
      <c r="I76" s="1288"/>
      <c r="J76" s="199">
        <v>0</v>
      </c>
      <c r="K76" s="191">
        <v>0</v>
      </c>
      <c r="L76" s="191">
        <v>0</v>
      </c>
      <c r="M76" s="203">
        <v>9.9999999999999995E-7</v>
      </c>
      <c r="N76" s="193">
        <f t="shared" ref="N76:N81" si="53">0.5*(MAX(K76:M76)-MIN(K76:M76))</f>
        <v>4.9999999999999998E-7</v>
      </c>
      <c r="O76" s="202">
        <f>J76*$P$76</f>
        <v>0</v>
      </c>
      <c r="P76" s="189">
        <f>0.59/100</f>
        <v>5.8999999999999999E-3</v>
      </c>
      <c r="Q76" s="1288"/>
      <c r="R76" s="199">
        <v>0</v>
      </c>
      <c r="S76" s="191">
        <v>0</v>
      </c>
      <c r="T76" s="191">
        <v>0</v>
      </c>
      <c r="U76" s="203">
        <v>9.9999999999999995E-7</v>
      </c>
      <c r="V76" s="193">
        <f t="shared" ref="V76:V81" si="54">0.5*(MAX(S76:U76)-MIN(S76:U76))</f>
        <v>4.9999999999999998E-7</v>
      </c>
      <c r="W76" s="202">
        <f>R76*$X$76</f>
        <v>0</v>
      </c>
      <c r="X76" s="480">
        <f>0.59/100</f>
        <v>5.8999999999999999E-3</v>
      </c>
    </row>
    <row r="77" spans="1:26" ht="12.75" customHeight="1">
      <c r="A77" s="1288"/>
      <c r="B77" s="199">
        <v>50</v>
      </c>
      <c r="C77" s="198">
        <v>1.7</v>
      </c>
      <c r="D77" s="198">
        <v>1.7</v>
      </c>
      <c r="E77" s="198">
        <v>1.7</v>
      </c>
      <c r="F77" s="193">
        <f t="shared" si="52"/>
        <v>0</v>
      </c>
      <c r="G77" s="196">
        <f t="shared" ref="G77:G81" si="55">B77*$H$76</f>
        <v>0.29499999999999998</v>
      </c>
      <c r="H77" s="189"/>
      <c r="I77" s="1288"/>
      <c r="J77" s="199">
        <v>50</v>
      </c>
      <c r="K77" s="191">
        <v>0</v>
      </c>
      <c r="L77" s="191">
        <v>0</v>
      </c>
      <c r="M77" s="198">
        <v>1.7</v>
      </c>
      <c r="N77" s="193">
        <f t="shared" si="53"/>
        <v>0.85</v>
      </c>
      <c r="O77" s="202">
        <f t="shared" ref="O77:O81" si="56">J77*$P$76</f>
        <v>0.29499999999999998</v>
      </c>
      <c r="P77" s="189"/>
      <c r="Q77" s="1288"/>
      <c r="R77" s="199">
        <v>50</v>
      </c>
      <c r="S77" s="191">
        <v>0</v>
      </c>
      <c r="T77" s="191">
        <v>0</v>
      </c>
      <c r="U77" s="198">
        <v>2.1</v>
      </c>
      <c r="V77" s="193">
        <f t="shared" si="54"/>
        <v>1.05</v>
      </c>
      <c r="W77" s="202">
        <f t="shared" ref="W77:W81" si="57">R77*$X$76</f>
        <v>0.29499999999999998</v>
      </c>
    </row>
    <row r="78" spans="1:26" ht="12.75" customHeight="1">
      <c r="A78" s="1288"/>
      <c r="B78" s="199">
        <v>100</v>
      </c>
      <c r="C78" s="198">
        <v>1.7</v>
      </c>
      <c r="D78" s="198">
        <v>1.7</v>
      </c>
      <c r="E78" s="198">
        <v>1.7</v>
      </c>
      <c r="F78" s="193">
        <f t="shared" si="52"/>
        <v>0</v>
      </c>
      <c r="G78" s="196">
        <f t="shared" si="55"/>
        <v>0.59</v>
      </c>
      <c r="H78" s="189"/>
      <c r="I78" s="1288"/>
      <c r="J78" s="199">
        <v>100</v>
      </c>
      <c r="K78" s="191">
        <v>0</v>
      </c>
      <c r="L78" s="191">
        <v>0</v>
      </c>
      <c r="M78" s="198">
        <v>3.4</v>
      </c>
      <c r="N78" s="193">
        <f t="shared" si="53"/>
        <v>1.7</v>
      </c>
      <c r="O78" s="202">
        <f t="shared" si="56"/>
        <v>0.59</v>
      </c>
      <c r="P78" s="189"/>
      <c r="Q78" s="1288"/>
      <c r="R78" s="199">
        <v>100</v>
      </c>
      <c r="S78" s="191">
        <v>0</v>
      </c>
      <c r="T78" s="191">
        <v>0</v>
      </c>
      <c r="U78" s="198">
        <v>3.7</v>
      </c>
      <c r="V78" s="193">
        <f t="shared" si="54"/>
        <v>1.85</v>
      </c>
      <c r="W78" s="202">
        <f t="shared" si="57"/>
        <v>0.59</v>
      </c>
    </row>
    <row r="79" spans="1:26" ht="12.75" customHeight="1">
      <c r="A79" s="1288"/>
      <c r="B79" s="199">
        <v>200</v>
      </c>
      <c r="C79" s="198">
        <v>0.4</v>
      </c>
      <c r="D79" s="198">
        <v>0.4</v>
      </c>
      <c r="E79" s="198">
        <v>0.4</v>
      </c>
      <c r="F79" s="193">
        <f t="shared" si="52"/>
        <v>0</v>
      </c>
      <c r="G79" s="196">
        <f t="shared" si="55"/>
        <v>1.18</v>
      </c>
      <c r="H79" s="189"/>
      <c r="I79" s="1288"/>
      <c r="J79" s="199">
        <v>500</v>
      </c>
      <c r="K79" s="191">
        <v>0</v>
      </c>
      <c r="L79" s="191">
        <v>0</v>
      </c>
      <c r="M79" s="198">
        <v>7.2</v>
      </c>
      <c r="N79" s="193">
        <f t="shared" si="53"/>
        <v>3.6</v>
      </c>
      <c r="O79" s="202">
        <f t="shared" si="56"/>
        <v>2.9499999999999997</v>
      </c>
      <c r="P79" s="189"/>
      <c r="Q79" s="1288"/>
      <c r="R79" s="199">
        <v>500</v>
      </c>
      <c r="S79" s="191">
        <v>0</v>
      </c>
      <c r="T79" s="191">
        <v>0</v>
      </c>
      <c r="U79" s="198">
        <v>8.3000000000000007</v>
      </c>
      <c r="V79" s="193">
        <f t="shared" si="54"/>
        <v>4.1500000000000004</v>
      </c>
      <c r="W79" s="202">
        <f t="shared" si="57"/>
        <v>2.9499999999999997</v>
      </c>
    </row>
    <row r="80" spans="1:26" ht="12.75" customHeight="1">
      <c r="A80" s="1288"/>
      <c r="B80" s="199">
        <v>500</v>
      </c>
      <c r="C80" s="198">
        <v>3</v>
      </c>
      <c r="D80" s="198">
        <v>3</v>
      </c>
      <c r="E80" s="198">
        <v>3</v>
      </c>
      <c r="F80" s="193">
        <f t="shared" si="52"/>
        <v>0</v>
      </c>
      <c r="G80" s="196">
        <f t="shared" si="55"/>
        <v>2.9499999999999997</v>
      </c>
      <c r="H80" s="189"/>
      <c r="I80" s="1288"/>
      <c r="J80" s="199">
        <v>500</v>
      </c>
      <c r="K80" s="191">
        <v>0</v>
      </c>
      <c r="L80" s="191">
        <v>0</v>
      </c>
      <c r="M80" s="198">
        <v>7.2</v>
      </c>
      <c r="N80" s="193">
        <f t="shared" si="53"/>
        <v>3.6</v>
      </c>
      <c r="O80" s="202">
        <f t="shared" si="56"/>
        <v>2.9499999999999997</v>
      </c>
      <c r="P80" s="189"/>
      <c r="Q80" s="1288"/>
      <c r="R80" s="199">
        <v>500</v>
      </c>
      <c r="S80" s="191">
        <v>0</v>
      </c>
      <c r="T80" s="191">
        <v>0</v>
      </c>
      <c r="U80" s="198">
        <v>8.3000000000000007</v>
      </c>
      <c r="V80" s="193">
        <f t="shared" si="54"/>
        <v>4.1500000000000004</v>
      </c>
      <c r="W80" s="202">
        <f t="shared" si="57"/>
        <v>2.9499999999999997</v>
      </c>
    </row>
    <row r="81" spans="1:24" ht="12.75" customHeight="1">
      <c r="A81" s="1288"/>
      <c r="B81" s="199">
        <v>1000</v>
      </c>
      <c r="C81" s="198">
        <v>5</v>
      </c>
      <c r="D81" s="198">
        <v>5</v>
      </c>
      <c r="E81" s="198">
        <v>4</v>
      </c>
      <c r="F81" s="193">
        <f t="shared" si="52"/>
        <v>0.5</v>
      </c>
      <c r="G81" s="196">
        <f t="shared" si="55"/>
        <v>5.8999999999999995</v>
      </c>
      <c r="H81" s="189"/>
      <c r="I81" s="1288"/>
      <c r="J81" s="199">
        <v>1000</v>
      </c>
      <c r="K81" s="191">
        <v>0</v>
      </c>
      <c r="L81" s="191">
        <v>0</v>
      </c>
      <c r="M81" s="198">
        <v>80</v>
      </c>
      <c r="N81" s="193">
        <f t="shared" si="53"/>
        <v>40</v>
      </c>
      <c r="O81" s="202">
        <f t="shared" si="56"/>
        <v>5.8999999999999995</v>
      </c>
      <c r="P81" s="189"/>
      <c r="Q81" s="1288"/>
      <c r="R81" s="199">
        <v>1000</v>
      </c>
      <c r="S81" s="191">
        <v>0</v>
      </c>
      <c r="T81" s="191">
        <v>0</v>
      </c>
      <c r="U81" s="198">
        <v>-97</v>
      </c>
      <c r="V81" s="193">
        <f t="shared" si="54"/>
        <v>48.5</v>
      </c>
      <c r="W81" s="202">
        <f t="shared" si="57"/>
        <v>5.8999999999999995</v>
      </c>
    </row>
    <row r="82" spans="1:24" ht="12.75" customHeight="1">
      <c r="A82" s="1288"/>
      <c r="B82" s="1302" t="s">
        <v>353</v>
      </c>
      <c r="C82" s="1303"/>
      <c r="D82" s="1303"/>
      <c r="E82" s="1304"/>
      <c r="F82" s="472" t="s">
        <v>349</v>
      </c>
      <c r="G82" s="472" t="s">
        <v>243</v>
      </c>
      <c r="H82" s="189"/>
      <c r="I82" s="1288"/>
      <c r="J82" s="1302" t="s">
        <v>353</v>
      </c>
      <c r="K82" s="1303"/>
      <c r="L82" s="1303"/>
      <c r="M82" s="1304"/>
      <c r="N82" s="472" t="s">
        <v>349</v>
      </c>
      <c r="O82" s="202" t="s">
        <v>243</v>
      </c>
      <c r="P82" s="189"/>
      <c r="Q82" s="1288"/>
      <c r="R82" s="1302" t="str">
        <f>B82</f>
        <v>Main-PE</v>
      </c>
      <c r="S82" s="1303"/>
      <c r="T82" s="1303"/>
      <c r="U82" s="1304"/>
      <c r="V82" s="472" t="s">
        <v>349</v>
      </c>
      <c r="W82" s="202" t="s">
        <v>243</v>
      </c>
    </row>
    <row r="83" spans="1:24" ht="15" customHeight="1">
      <c r="A83" s="1288"/>
      <c r="B83" s="474" t="s">
        <v>354</v>
      </c>
      <c r="C83" s="472">
        <v>2020</v>
      </c>
      <c r="D83" s="472">
        <v>2021</v>
      </c>
      <c r="E83" s="472">
        <v>2018</v>
      </c>
      <c r="F83" s="472"/>
      <c r="G83" s="472"/>
      <c r="H83" s="189"/>
      <c r="I83" s="1288"/>
      <c r="J83" s="474" t="s">
        <v>354</v>
      </c>
      <c r="K83" s="472">
        <f>K67</f>
        <v>2019</v>
      </c>
      <c r="L83" s="472">
        <f>L67</f>
        <v>2019</v>
      </c>
      <c r="M83" s="472">
        <f>M67</f>
        <v>2020</v>
      </c>
      <c r="N83" s="472"/>
      <c r="O83" s="202"/>
      <c r="P83" s="189"/>
      <c r="Q83" s="1288"/>
      <c r="R83" s="474" t="s">
        <v>354</v>
      </c>
      <c r="S83" s="472">
        <f>S67</f>
        <v>2019</v>
      </c>
      <c r="T83" s="472">
        <f>T67</f>
        <v>2019</v>
      </c>
      <c r="U83" s="472">
        <f>U67</f>
        <v>2020</v>
      </c>
      <c r="V83" s="472"/>
      <c r="W83" s="202"/>
    </row>
    <row r="84" spans="1:24" ht="12.75" customHeight="1">
      <c r="A84" s="1288"/>
      <c r="B84" s="199">
        <v>10</v>
      </c>
      <c r="C84" s="191" t="s">
        <v>257</v>
      </c>
      <c r="D84" s="191" t="s">
        <v>257</v>
      </c>
      <c r="E84" s="203">
        <v>9.9999999999999995E-7</v>
      </c>
      <c r="F84" s="193">
        <f t="shared" ref="F84:F87" si="58">0.5*(MAX(C84:E84)-MIN(C84:E84))</f>
        <v>0</v>
      </c>
      <c r="G84" s="202">
        <f>B84*$H$84</f>
        <v>0.17</v>
      </c>
      <c r="H84" s="189">
        <f>1.7/100</f>
        <v>1.7000000000000001E-2</v>
      </c>
      <c r="I84" s="1288"/>
      <c r="J84" s="199">
        <v>10</v>
      </c>
      <c r="K84" s="191">
        <v>0</v>
      </c>
      <c r="L84" s="191">
        <v>0</v>
      </c>
      <c r="M84" s="203">
        <v>9.9999999999999995E-7</v>
      </c>
      <c r="N84" s="193">
        <f t="shared" ref="N84:N87" si="59">0.5*(MAX(K84:M84)-MIN(K84:M84))</f>
        <v>4.9999999999999998E-7</v>
      </c>
      <c r="O84" s="202">
        <v>0</v>
      </c>
      <c r="P84" s="189"/>
      <c r="Q84" s="1288"/>
      <c r="R84" s="199">
        <v>10</v>
      </c>
      <c r="S84" s="191">
        <v>0</v>
      </c>
      <c r="T84" s="191">
        <v>0</v>
      </c>
      <c r="U84" s="203">
        <v>9.9999999999999995E-7</v>
      </c>
      <c r="V84" s="193">
        <f t="shared" ref="V84:V87" si="60">0.5*(MAX(S84:U84)-MIN(S84:U84))</f>
        <v>4.9999999999999998E-7</v>
      </c>
      <c r="W84" s="202">
        <v>0</v>
      </c>
    </row>
    <row r="85" spans="1:24" ht="12.75" customHeight="1">
      <c r="A85" s="1288"/>
      <c r="B85" s="199">
        <v>20</v>
      </c>
      <c r="C85" s="191" t="s">
        <v>257</v>
      </c>
      <c r="D85" s="191" t="s">
        <v>257</v>
      </c>
      <c r="E85" s="191">
        <v>0.1</v>
      </c>
      <c r="F85" s="193">
        <f t="shared" si="58"/>
        <v>0</v>
      </c>
      <c r="G85" s="202">
        <f t="shared" ref="G85:G87" si="61">B85*$H$84</f>
        <v>0.34</v>
      </c>
      <c r="H85" s="189"/>
      <c r="I85" s="1288"/>
      <c r="J85" s="199">
        <v>20</v>
      </c>
      <c r="K85" s="191">
        <v>0</v>
      </c>
      <c r="L85" s="191">
        <v>0</v>
      </c>
      <c r="M85" s="203">
        <v>9.9999999999999995E-7</v>
      </c>
      <c r="N85" s="193">
        <f t="shared" si="59"/>
        <v>4.9999999999999998E-7</v>
      </c>
      <c r="O85" s="202">
        <v>0</v>
      </c>
      <c r="P85" s="189"/>
      <c r="Q85" s="1288"/>
      <c r="R85" s="199">
        <v>20</v>
      </c>
      <c r="S85" s="191">
        <v>0</v>
      </c>
      <c r="T85" s="191">
        <v>0</v>
      </c>
      <c r="U85" s="191">
        <v>0</v>
      </c>
      <c r="V85" s="193">
        <f t="shared" si="60"/>
        <v>0</v>
      </c>
      <c r="W85" s="202">
        <v>0</v>
      </c>
    </row>
    <row r="86" spans="1:24" ht="12.75" customHeight="1">
      <c r="A86" s="1288"/>
      <c r="B86" s="199">
        <v>50</v>
      </c>
      <c r="C86" s="191" t="s">
        <v>257</v>
      </c>
      <c r="D86" s="191" t="s">
        <v>257</v>
      </c>
      <c r="E86" s="191">
        <v>0.4</v>
      </c>
      <c r="F86" s="193">
        <f t="shared" si="58"/>
        <v>0</v>
      </c>
      <c r="G86" s="202">
        <f t="shared" si="61"/>
        <v>0.85000000000000009</v>
      </c>
      <c r="H86" s="189"/>
      <c r="I86" s="1288"/>
      <c r="J86" s="199">
        <v>50</v>
      </c>
      <c r="K86" s="191">
        <v>0</v>
      </c>
      <c r="L86" s="191">
        <v>0</v>
      </c>
      <c r="M86" s="203">
        <v>9.9999999999999995E-7</v>
      </c>
      <c r="N86" s="193">
        <f t="shared" si="59"/>
        <v>4.9999999999999998E-7</v>
      </c>
      <c r="O86" s="202">
        <v>0</v>
      </c>
      <c r="P86" s="189"/>
      <c r="Q86" s="1288"/>
      <c r="R86" s="199">
        <v>50</v>
      </c>
      <c r="S86" s="191">
        <v>0</v>
      </c>
      <c r="T86" s="191">
        <v>0</v>
      </c>
      <c r="U86" s="191">
        <v>0</v>
      </c>
      <c r="V86" s="193">
        <f t="shared" si="60"/>
        <v>0</v>
      </c>
      <c r="W86" s="202">
        <v>0</v>
      </c>
    </row>
    <row r="87" spans="1:24" ht="12.75" customHeight="1">
      <c r="A87" s="1288"/>
      <c r="B87" s="199">
        <v>100</v>
      </c>
      <c r="C87" s="191" t="s">
        <v>257</v>
      </c>
      <c r="D87" s="191" t="s">
        <v>257</v>
      </c>
      <c r="E87" s="191">
        <v>1.4</v>
      </c>
      <c r="F87" s="193">
        <f t="shared" si="58"/>
        <v>0</v>
      </c>
      <c r="G87" s="202">
        <f t="shared" si="61"/>
        <v>1.7000000000000002</v>
      </c>
      <c r="H87" s="189"/>
      <c r="I87" s="1288"/>
      <c r="J87" s="199">
        <v>100</v>
      </c>
      <c r="K87" s="191">
        <v>0</v>
      </c>
      <c r="L87" s="191">
        <v>0</v>
      </c>
      <c r="M87" s="203">
        <v>9.9999999999999995E-7</v>
      </c>
      <c r="N87" s="193">
        <f t="shared" si="59"/>
        <v>4.9999999999999998E-7</v>
      </c>
      <c r="O87" s="202">
        <v>0</v>
      </c>
      <c r="P87" s="189"/>
      <c r="Q87" s="1288"/>
      <c r="R87" s="199">
        <v>100</v>
      </c>
      <c r="S87" s="191">
        <v>0</v>
      </c>
      <c r="T87" s="191">
        <v>0</v>
      </c>
      <c r="U87" s="191">
        <v>0</v>
      </c>
      <c r="V87" s="193">
        <f t="shared" si="60"/>
        <v>0</v>
      </c>
      <c r="W87" s="202">
        <v>0</v>
      </c>
    </row>
    <row r="88" spans="1:24" ht="12.75" customHeight="1">
      <c r="A88" s="1288"/>
      <c r="B88" s="1302" t="s">
        <v>355</v>
      </c>
      <c r="C88" s="1303"/>
      <c r="D88" s="1303"/>
      <c r="E88" s="1304"/>
      <c r="F88" s="472" t="s">
        <v>349</v>
      </c>
      <c r="G88" s="472" t="s">
        <v>243</v>
      </c>
      <c r="H88" s="189"/>
      <c r="I88" s="1288"/>
      <c r="J88" s="1302" t="s">
        <v>355</v>
      </c>
      <c r="K88" s="1303"/>
      <c r="L88" s="1303"/>
      <c r="M88" s="1304"/>
      <c r="N88" s="472" t="s">
        <v>349</v>
      </c>
      <c r="O88" s="202" t="s">
        <v>243</v>
      </c>
      <c r="P88" s="189"/>
      <c r="Q88" s="1288"/>
      <c r="R88" s="1302" t="str">
        <f>B88</f>
        <v>Resistance</v>
      </c>
      <c r="S88" s="1303"/>
      <c r="T88" s="1303"/>
      <c r="U88" s="1304"/>
      <c r="V88" s="472" t="s">
        <v>349</v>
      </c>
      <c r="W88" s="202" t="s">
        <v>243</v>
      </c>
    </row>
    <row r="89" spans="1:24" ht="15" customHeight="1">
      <c r="A89" s="1288"/>
      <c r="B89" s="474" t="s">
        <v>356</v>
      </c>
      <c r="C89" s="472">
        <f>C67</f>
        <v>2019</v>
      </c>
      <c r="D89" s="472">
        <f>D67</f>
        <v>2019</v>
      </c>
      <c r="E89" s="472">
        <f>E67</f>
        <v>2020</v>
      </c>
      <c r="F89" s="472"/>
      <c r="G89" s="472"/>
      <c r="H89" s="189"/>
      <c r="I89" s="1288"/>
      <c r="J89" s="474" t="s">
        <v>356</v>
      </c>
      <c r="K89" s="472">
        <f>K67</f>
        <v>2019</v>
      </c>
      <c r="L89" s="472">
        <f>L67</f>
        <v>2019</v>
      </c>
      <c r="M89" s="472">
        <f>M67</f>
        <v>2020</v>
      </c>
      <c r="N89" s="472"/>
      <c r="O89" s="202"/>
      <c r="P89" s="189"/>
      <c r="Q89" s="1288"/>
      <c r="R89" s="474" t="s">
        <v>356</v>
      </c>
      <c r="S89" s="472">
        <f>S67</f>
        <v>2019</v>
      </c>
      <c r="T89" s="472">
        <f>T67</f>
        <v>2019</v>
      </c>
      <c r="U89" s="472">
        <f>U67</f>
        <v>2020</v>
      </c>
      <c r="V89" s="472"/>
      <c r="W89" s="202"/>
    </row>
    <row r="90" spans="1:24" ht="12.75" customHeight="1">
      <c r="A90" s="1288"/>
      <c r="B90" s="199">
        <v>0.01</v>
      </c>
      <c r="C90" s="203">
        <v>0</v>
      </c>
      <c r="D90" s="203">
        <v>0</v>
      </c>
      <c r="E90" s="203">
        <v>9.9999999999999995E-7</v>
      </c>
      <c r="F90" s="193">
        <f t="shared" ref="F90:F93" si="62">0.5*(MAX(C90:E90)-MIN(C90:E90))</f>
        <v>4.9999999999999998E-7</v>
      </c>
      <c r="G90" s="199">
        <f>B90*$H$90</f>
        <v>1.2E-4</v>
      </c>
      <c r="H90" s="189">
        <f>1.2/100</f>
        <v>1.2E-2</v>
      </c>
      <c r="I90" s="1288"/>
      <c r="J90" s="199">
        <v>0.01</v>
      </c>
      <c r="K90" s="199">
        <v>0</v>
      </c>
      <c r="L90" s="199">
        <v>0</v>
      </c>
      <c r="M90" s="203">
        <v>9.9999999999999995E-7</v>
      </c>
      <c r="N90" s="193">
        <f t="shared" ref="N90:N93" si="63">0.5*(MAX(K90:M90)-MIN(K90:M90))</f>
        <v>4.9999999999999998E-7</v>
      </c>
      <c r="O90" s="202">
        <f>J90*$P$90</f>
        <v>1.2E-4</v>
      </c>
      <c r="P90" s="189">
        <f>1.2/100</f>
        <v>1.2E-2</v>
      </c>
      <c r="Q90" s="1288"/>
      <c r="R90" s="199">
        <v>0.01</v>
      </c>
      <c r="S90" s="199">
        <v>0</v>
      </c>
      <c r="T90" s="199">
        <v>0</v>
      </c>
      <c r="U90" s="203">
        <v>9.9999999999999995E-7</v>
      </c>
      <c r="V90" s="193">
        <f t="shared" ref="V90:V93" si="64">0.5*(MAX(S90:U90)-MIN(S90:U90))</f>
        <v>4.9999999999999998E-7</v>
      </c>
      <c r="W90" s="202">
        <f>R90*$X$90</f>
        <v>1.2E-4</v>
      </c>
      <c r="X90" s="480">
        <f>1.2/100</f>
        <v>1.2E-2</v>
      </c>
    </row>
    <row r="91" spans="1:24" ht="12.75" customHeight="1">
      <c r="A91" s="1288"/>
      <c r="B91" s="199">
        <v>0.1</v>
      </c>
      <c r="C91" s="203">
        <v>0</v>
      </c>
      <c r="D91" s="203">
        <v>0</v>
      </c>
      <c r="E91" s="203">
        <v>9.9999999999999995E-7</v>
      </c>
      <c r="F91" s="193">
        <f t="shared" si="62"/>
        <v>4.9999999999999998E-7</v>
      </c>
      <c r="G91" s="199">
        <f t="shared" ref="G91:G93" si="65">B91*$H$90</f>
        <v>1.2000000000000001E-3</v>
      </c>
      <c r="H91" s="189"/>
      <c r="I91" s="1288"/>
      <c r="J91" s="199">
        <v>0.1</v>
      </c>
      <c r="K91" s="201">
        <v>0</v>
      </c>
      <c r="L91" s="201">
        <v>0</v>
      </c>
      <c r="M91" s="203">
        <v>-2E-3</v>
      </c>
      <c r="N91" s="193">
        <f t="shared" si="63"/>
        <v>1E-3</v>
      </c>
      <c r="O91" s="202">
        <f t="shared" ref="O91:O93" si="66">J91*$P$90</f>
        <v>1.2000000000000001E-3</v>
      </c>
      <c r="P91" s="189"/>
      <c r="Q91" s="1288"/>
      <c r="R91" s="199">
        <v>0.1</v>
      </c>
      <c r="S91" s="201">
        <v>0</v>
      </c>
      <c r="T91" s="201">
        <v>0</v>
      </c>
      <c r="U91" s="203">
        <v>-3.0000000000000001E-3</v>
      </c>
      <c r="V91" s="193">
        <f t="shared" si="64"/>
        <v>1.5E-3</v>
      </c>
      <c r="W91" s="202">
        <f t="shared" ref="W91:W93" si="67">R91*$X$90</f>
        <v>1.2000000000000001E-3</v>
      </c>
    </row>
    <row r="92" spans="1:24" ht="12.75" customHeight="1">
      <c r="A92" s="1288"/>
      <c r="B92" s="199">
        <v>1</v>
      </c>
      <c r="C92" s="203">
        <v>-2.3E-3</v>
      </c>
      <c r="D92" s="203">
        <v>-2.3E-3</v>
      </c>
      <c r="E92" s="203">
        <v>-2.3E-3</v>
      </c>
      <c r="F92" s="193">
        <f t="shared" si="62"/>
        <v>0</v>
      </c>
      <c r="G92" s="199">
        <f t="shared" si="65"/>
        <v>1.2E-2</v>
      </c>
      <c r="H92" s="189"/>
      <c r="I92" s="1288"/>
      <c r="J92" s="199">
        <v>1</v>
      </c>
      <c r="K92" s="201">
        <v>0</v>
      </c>
      <c r="L92" s="201">
        <v>0</v>
      </c>
      <c r="M92" s="203">
        <v>-1E-3</v>
      </c>
      <c r="N92" s="193">
        <f t="shared" si="63"/>
        <v>5.0000000000000001E-4</v>
      </c>
      <c r="O92" s="202">
        <f t="shared" si="66"/>
        <v>1.2E-2</v>
      </c>
      <c r="P92" s="189"/>
      <c r="Q92" s="1288"/>
      <c r="R92" s="199">
        <v>1</v>
      </c>
      <c r="S92" s="201">
        <v>0</v>
      </c>
      <c r="T92" s="201">
        <v>0</v>
      </c>
      <c r="U92" s="203">
        <v>-1E-3</v>
      </c>
      <c r="V92" s="193">
        <f t="shared" si="64"/>
        <v>5.0000000000000001E-4</v>
      </c>
      <c r="W92" s="202">
        <f t="shared" si="67"/>
        <v>1.2E-2</v>
      </c>
    </row>
    <row r="93" spans="1:24" ht="12.75" customHeight="1">
      <c r="A93" s="1289"/>
      <c r="B93" s="199">
        <v>2</v>
      </c>
      <c r="C93" s="203">
        <v>0</v>
      </c>
      <c r="D93" s="203">
        <v>0</v>
      </c>
      <c r="E93" s="203">
        <v>9.9999999999999995E-7</v>
      </c>
      <c r="F93" s="193">
        <f t="shared" si="62"/>
        <v>4.9999999999999998E-7</v>
      </c>
      <c r="G93" s="199">
        <f t="shared" si="65"/>
        <v>2.4E-2</v>
      </c>
      <c r="H93" s="189"/>
      <c r="I93" s="1289"/>
      <c r="J93" s="199">
        <v>2</v>
      </c>
      <c r="K93" s="201">
        <v>0</v>
      </c>
      <c r="L93" s="201">
        <v>0</v>
      </c>
      <c r="M93" s="203">
        <v>-6.0000000000000001E-3</v>
      </c>
      <c r="N93" s="193">
        <f t="shared" si="63"/>
        <v>3.0000000000000001E-3</v>
      </c>
      <c r="O93" s="202">
        <f t="shared" si="66"/>
        <v>2.4E-2</v>
      </c>
      <c r="P93" s="189"/>
      <c r="Q93" s="1289"/>
      <c r="R93" s="199">
        <v>2</v>
      </c>
      <c r="S93" s="201">
        <v>0</v>
      </c>
      <c r="T93" s="201">
        <v>0</v>
      </c>
      <c r="U93" s="203">
        <v>-6.0000000000000001E-3</v>
      </c>
      <c r="V93" s="193">
        <f t="shared" si="64"/>
        <v>3.0000000000000001E-3</v>
      </c>
      <c r="W93" s="202">
        <f t="shared" si="67"/>
        <v>2.4E-2</v>
      </c>
    </row>
    <row r="94" spans="1:24" ht="15.5">
      <c r="A94" s="207"/>
      <c r="B94" s="208"/>
      <c r="C94" s="209"/>
      <c r="E94" s="209"/>
      <c r="F94" s="209"/>
      <c r="G94" s="209"/>
      <c r="H94" s="189"/>
      <c r="I94" s="210"/>
      <c r="J94" s="211"/>
      <c r="K94" s="209"/>
      <c r="M94" s="209"/>
      <c r="N94" s="209"/>
      <c r="O94" s="209"/>
      <c r="P94" s="189"/>
      <c r="Q94" s="210"/>
      <c r="R94" s="208"/>
      <c r="S94" s="209"/>
      <c r="U94" s="189"/>
      <c r="V94" s="189"/>
      <c r="W94" s="204"/>
    </row>
    <row r="95" spans="1:24" ht="15" customHeight="1">
      <c r="A95" s="1287" t="s">
        <v>364</v>
      </c>
      <c r="B95" s="1323" t="s">
        <v>365</v>
      </c>
      <c r="C95" s="1323"/>
      <c r="D95" s="1323"/>
      <c r="E95" s="1323"/>
      <c r="F95" s="1323"/>
      <c r="G95" s="1323"/>
      <c r="H95" s="185"/>
      <c r="I95" s="1287" t="s">
        <v>366</v>
      </c>
      <c r="J95" s="1324" t="s">
        <v>365</v>
      </c>
      <c r="K95" s="1324"/>
      <c r="L95" s="1324"/>
      <c r="M95" s="1324"/>
      <c r="N95" s="1324"/>
      <c r="O95" s="1324"/>
      <c r="P95" s="186"/>
      <c r="Q95" s="1287" t="s">
        <v>367</v>
      </c>
      <c r="R95" s="1324" t="s">
        <v>368</v>
      </c>
      <c r="S95" s="1324"/>
      <c r="T95" s="1324"/>
      <c r="U95" s="1324"/>
      <c r="V95" s="1324"/>
      <c r="W95" s="1324"/>
    </row>
    <row r="96" spans="1:24" ht="15" customHeight="1">
      <c r="A96" s="1288"/>
      <c r="B96" s="1316" t="s">
        <v>347</v>
      </c>
      <c r="C96" s="1316"/>
      <c r="D96" s="1316"/>
      <c r="E96" s="1316"/>
      <c r="F96" s="485"/>
      <c r="G96" s="485"/>
      <c r="H96" s="187"/>
      <c r="I96" s="1288"/>
      <c r="J96" s="1325" t="s">
        <v>347</v>
      </c>
      <c r="K96" s="1325"/>
      <c r="L96" s="1325"/>
      <c r="M96" s="1325"/>
      <c r="N96" s="486"/>
      <c r="O96" s="486"/>
      <c r="P96" s="188"/>
      <c r="Q96" s="1288"/>
      <c r="R96" s="1316" t="s">
        <v>347</v>
      </c>
      <c r="S96" s="1316"/>
      <c r="T96" s="1316"/>
      <c r="U96" s="1316"/>
      <c r="V96" s="486"/>
      <c r="W96" s="486"/>
    </row>
    <row r="97" spans="1:23" ht="12.75" customHeight="1">
      <c r="A97" s="1288"/>
      <c r="B97" s="1317" t="s">
        <v>348</v>
      </c>
      <c r="C97" s="1318"/>
      <c r="D97" s="1318"/>
      <c r="E97" s="1319"/>
      <c r="F97" s="472" t="s">
        <v>349</v>
      </c>
      <c r="G97" s="472" t="s">
        <v>243</v>
      </c>
      <c r="H97" s="189"/>
      <c r="I97" s="1288"/>
      <c r="J97" s="1320" t="s">
        <v>348</v>
      </c>
      <c r="K97" s="1321"/>
      <c r="L97" s="1321"/>
      <c r="M97" s="1322"/>
      <c r="N97" s="472" t="s">
        <v>349</v>
      </c>
      <c r="O97" s="472" t="s">
        <v>243</v>
      </c>
      <c r="P97" s="189"/>
      <c r="Q97" s="1288"/>
      <c r="R97" s="1317" t="s">
        <v>348</v>
      </c>
      <c r="S97" s="1318"/>
      <c r="T97" s="1318"/>
      <c r="U97" s="1319"/>
      <c r="V97" s="472" t="s">
        <v>349</v>
      </c>
      <c r="W97" s="472" t="s">
        <v>243</v>
      </c>
    </row>
    <row r="98" spans="1:23" ht="15" customHeight="1">
      <c r="A98" s="1288"/>
      <c r="B98" s="474" t="s">
        <v>350</v>
      </c>
      <c r="C98" s="472">
        <v>2019</v>
      </c>
      <c r="D98" s="472">
        <v>2019</v>
      </c>
      <c r="E98" s="472">
        <v>2020</v>
      </c>
      <c r="F98" s="472"/>
      <c r="G98" s="472"/>
      <c r="H98" s="189"/>
      <c r="I98" s="1288"/>
      <c r="J98" s="474" t="s">
        <v>350</v>
      </c>
      <c r="K98" s="472">
        <v>2019</v>
      </c>
      <c r="L98" s="472">
        <v>2019</v>
      </c>
      <c r="M98" s="472">
        <v>2020</v>
      </c>
      <c r="N98" s="472"/>
      <c r="O98" s="472"/>
      <c r="P98" s="189"/>
      <c r="Q98" s="1288"/>
      <c r="R98" s="474" t="s">
        <v>350</v>
      </c>
      <c r="S98" s="472">
        <v>2019</v>
      </c>
      <c r="T98" s="472">
        <v>2019</v>
      </c>
      <c r="U98" s="472">
        <v>2020</v>
      </c>
      <c r="V98" s="472"/>
      <c r="W98" s="472"/>
    </row>
    <row r="99" spans="1:23" ht="12.75" customHeight="1">
      <c r="A99" s="1288"/>
      <c r="B99" s="190">
        <v>150</v>
      </c>
      <c r="C99" s="192">
        <v>0.21</v>
      </c>
      <c r="D99" s="192">
        <v>0.21</v>
      </c>
      <c r="E99" s="192">
        <v>0.21</v>
      </c>
      <c r="F99" s="193">
        <f t="shared" ref="F99:F104" si="68">0.5*(MAX(C99:E99)-MIN(C99:E99))</f>
        <v>0</v>
      </c>
      <c r="G99" s="197">
        <v>1.2</v>
      </c>
      <c r="H99" s="189"/>
      <c r="I99" s="1288"/>
      <c r="J99" s="190">
        <v>150</v>
      </c>
      <c r="K99" s="194">
        <v>0</v>
      </c>
      <c r="L99" s="194">
        <v>0</v>
      </c>
      <c r="M99" s="192">
        <v>-0.17</v>
      </c>
      <c r="N99" s="193">
        <f>0.5*(MAX(K99:M99)-MIN(K99:M99))</f>
        <v>8.5000000000000006E-2</v>
      </c>
      <c r="O99" s="192">
        <v>1.2</v>
      </c>
      <c r="P99" s="189"/>
      <c r="Q99" s="1288"/>
      <c r="R99" s="190">
        <v>150</v>
      </c>
      <c r="S99" s="194">
        <v>0</v>
      </c>
      <c r="T99" s="194">
        <v>0</v>
      </c>
      <c r="U99" s="192">
        <v>-0.24</v>
      </c>
      <c r="V99" s="193">
        <f t="shared" ref="V99:V104" si="69">0.5*(MAX(S99:U99)-MIN(S99:U99))</f>
        <v>0.12</v>
      </c>
      <c r="W99" s="192">
        <v>1.2</v>
      </c>
    </row>
    <row r="100" spans="1:23" ht="12.75" customHeight="1">
      <c r="A100" s="1288"/>
      <c r="B100" s="190">
        <v>180</v>
      </c>
      <c r="C100" s="198">
        <v>0.33</v>
      </c>
      <c r="D100" s="198">
        <v>0.33</v>
      </c>
      <c r="E100" s="198">
        <v>0.33</v>
      </c>
      <c r="F100" s="193">
        <f t="shared" si="68"/>
        <v>0</v>
      </c>
      <c r="G100" s="197">
        <v>1.2</v>
      </c>
      <c r="H100" s="189"/>
      <c r="I100" s="1288"/>
      <c r="J100" s="190">
        <v>180</v>
      </c>
      <c r="K100" s="194">
        <v>0</v>
      </c>
      <c r="L100" s="194">
        <v>0</v>
      </c>
      <c r="M100" s="198">
        <v>-0.22</v>
      </c>
      <c r="N100" s="193">
        <f t="shared" ref="N100:N104" si="70">0.5*(MAX(K100:M100)-MIN(K100:M100))</f>
        <v>0.11</v>
      </c>
      <c r="O100" s="192">
        <v>1.2</v>
      </c>
      <c r="P100" s="189"/>
      <c r="Q100" s="1288"/>
      <c r="R100" s="190">
        <v>180</v>
      </c>
      <c r="S100" s="194">
        <v>0</v>
      </c>
      <c r="T100" s="194">
        <v>0</v>
      </c>
      <c r="U100" s="198">
        <v>-0.14000000000000001</v>
      </c>
      <c r="V100" s="193">
        <f t="shared" si="69"/>
        <v>7.0000000000000007E-2</v>
      </c>
      <c r="W100" s="192">
        <v>1.2</v>
      </c>
    </row>
    <row r="101" spans="1:23" ht="12.75" customHeight="1">
      <c r="A101" s="1288"/>
      <c r="B101" s="190">
        <v>200</v>
      </c>
      <c r="C101" s="198">
        <v>0.34</v>
      </c>
      <c r="D101" s="198">
        <v>0.34</v>
      </c>
      <c r="E101" s="198">
        <v>0.34</v>
      </c>
      <c r="F101" s="193">
        <f t="shared" si="68"/>
        <v>0</v>
      </c>
      <c r="G101" s="197">
        <v>1.2</v>
      </c>
      <c r="H101" s="189"/>
      <c r="I101" s="1288"/>
      <c r="J101" s="190">
        <v>200</v>
      </c>
      <c r="K101" s="191">
        <v>0</v>
      </c>
      <c r="L101" s="191">
        <v>0</v>
      </c>
      <c r="M101" s="198">
        <v>-0.33</v>
      </c>
      <c r="N101" s="193">
        <f t="shared" si="70"/>
        <v>0.16500000000000001</v>
      </c>
      <c r="O101" s="192">
        <v>1.2</v>
      </c>
      <c r="P101" s="189"/>
      <c r="Q101" s="1288"/>
      <c r="R101" s="190">
        <v>200</v>
      </c>
      <c r="S101" s="191">
        <v>0</v>
      </c>
      <c r="T101" s="191">
        <v>0</v>
      </c>
      <c r="U101" s="198">
        <v>-0.33</v>
      </c>
      <c r="V101" s="193">
        <f t="shared" si="69"/>
        <v>0.16500000000000001</v>
      </c>
      <c r="W101" s="192">
        <v>1.2</v>
      </c>
    </row>
    <row r="102" spans="1:23" ht="12.75" customHeight="1">
      <c r="A102" s="1288"/>
      <c r="B102" s="190">
        <v>220</v>
      </c>
      <c r="C102" s="198">
        <v>0.37</v>
      </c>
      <c r="D102" s="198">
        <v>0.37</v>
      </c>
      <c r="E102" s="198">
        <v>0.37</v>
      </c>
      <c r="F102" s="193">
        <f t="shared" si="68"/>
        <v>0</v>
      </c>
      <c r="G102" s="197">
        <v>1.2</v>
      </c>
      <c r="H102" s="189"/>
      <c r="I102" s="1288"/>
      <c r="J102" s="190">
        <v>220</v>
      </c>
      <c r="K102" s="191">
        <v>0</v>
      </c>
      <c r="L102" s="191">
        <v>0</v>
      </c>
      <c r="M102" s="198">
        <v>-0.39</v>
      </c>
      <c r="N102" s="193">
        <f t="shared" si="70"/>
        <v>0.19500000000000001</v>
      </c>
      <c r="O102" s="192">
        <v>1.2</v>
      </c>
      <c r="P102" s="189"/>
      <c r="Q102" s="1288"/>
      <c r="R102" s="190">
        <v>220</v>
      </c>
      <c r="S102" s="191">
        <v>0</v>
      </c>
      <c r="T102" s="191">
        <v>0</v>
      </c>
      <c r="U102" s="198">
        <v>-0.45</v>
      </c>
      <c r="V102" s="193">
        <f t="shared" si="69"/>
        <v>0.22500000000000001</v>
      </c>
      <c r="W102" s="192">
        <v>1.2</v>
      </c>
    </row>
    <row r="103" spans="1:23" ht="12.75" customHeight="1">
      <c r="A103" s="1288"/>
      <c r="B103" s="190">
        <v>230</v>
      </c>
      <c r="C103" s="198">
        <v>0.47</v>
      </c>
      <c r="D103" s="198">
        <v>0.47</v>
      </c>
      <c r="E103" s="198">
        <v>0.47</v>
      </c>
      <c r="F103" s="193">
        <f t="shared" si="68"/>
        <v>0</v>
      </c>
      <c r="G103" s="197">
        <v>1.2</v>
      </c>
      <c r="H103" s="189"/>
      <c r="I103" s="1288"/>
      <c r="J103" s="190">
        <v>230</v>
      </c>
      <c r="K103" s="191">
        <v>0</v>
      </c>
      <c r="L103" s="191">
        <v>0</v>
      </c>
      <c r="M103" s="198">
        <v>-0.39</v>
      </c>
      <c r="N103" s="193">
        <f t="shared" si="70"/>
        <v>0.19500000000000001</v>
      </c>
      <c r="O103" s="192">
        <v>1.2</v>
      </c>
      <c r="P103" s="189"/>
      <c r="Q103" s="1288"/>
      <c r="R103" s="190">
        <v>230</v>
      </c>
      <c r="S103" s="191">
        <v>0</v>
      </c>
      <c r="T103" s="191">
        <v>0</v>
      </c>
      <c r="U103" s="198">
        <v>-0.54</v>
      </c>
      <c r="V103" s="193">
        <f t="shared" si="69"/>
        <v>0.27</v>
      </c>
      <c r="W103" s="192">
        <v>1.2</v>
      </c>
    </row>
    <row r="104" spans="1:23" ht="12.75" customHeight="1">
      <c r="A104" s="1288"/>
      <c r="B104" s="190">
        <v>250</v>
      </c>
      <c r="C104" s="198">
        <v>0</v>
      </c>
      <c r="D104" s="198">
        <v>0</v>
      </c>
      <c r="E104" s="203">
        <v>9.9999999999999995E-7</v>
      </c>
      <c r="F104" s="193">
        <f t="shared" si="68"/>
        <v>4.9999999999999998E-7</v>
      </c>
      <c r="G104" s="197">
        <v>1.2</v>
      </c>
      <c r="H104" s="189"/>
      <c r="I104" s="1288"/>
      <c r="J104" s="190">
        <v>250</v>
      </c>
      <c r="K104" s="191">
        <v>0</v>
      </c>
      <c r="L104" s="191">
        <v>0</v>
      </c>
      <c r="M104" s="203">
        <v>9.9999999999999995E-7</v>
      </c>
      <c r="N104" s="193">
        <f t="shared" si="70"/>
        <v>4.9999999999999998E-7</v>
      </c>
      <c r="O104" s="192">
        <v>1.2</v>
      </c>
      <c r="P104" s="189"/>
      <c r="Q104" s="1288"/>
      <c r="R104" s="190">
        <v>250</v>
      </c>
      <c r="S104" s="191">
        <v>0</v>
      </c>
      <c r="T104" s="191">
        <v>0</v>
      </c>
      <c r="U104" s="198">
        <v>0</v>
      </c>
      <c r="V104" s="193">
        <f t="shared" si="69"/>
        <v>0</v>
      </c>
      <c r="W104" s="198" t="s">
        <v>257</v>
      </c>
    </row>
    <row r="105" spans="1:23" ht="12.75" customHeight="1">
      <c r="A105" s="1288"/>
      <c r="B105" s="1302" t="s">
        <v>351</v>
      </c>
      <c r="C105" s="1303"/>
      <c r="D105" s="1303"/>
      <c r="E105" s="1304"/>
      <c r="F105" s="472" t="s">
        <v>349</v>
      </c>
      <c r="G105" s="472" t="s">
        <v>243</v>
      </c>
      <c r="H105" s="189"/>
      <c r="I105" s="1288"/>
      <c r="J105" s="1302" t="s">
        <v>351</v>
      </c>
      <c r="K105" s="1303"/>
      <c r="L105" s="1303"/>
      <c r="M105" s="1304"/>
      <c r="N105" s="472" t="s">
        <v>349</v>
      </c>
      <c r="O105" s="472" t="s">
        <v>243</v>
      </c>
      <c r="P105" s="189"/>
      <c r="Q105" s="1288"/>
      <c r="R105" s="1302" t="s">
        <v>351</v>
      </c>
      <c r="S105" s="1303"/>
      <c r="T105" s="1303"/>
      <c r="U105" s="1304"/>
      <c r="V105" s="472" t="s">
        <v>349</v>
      </c>
      <c r="W105" s="472" t="s">
        <v>243</v>
      </c>
    </row>
    <row r="106" spans="1:23" ht="15" customHeight="1">
      <c r="A106" s="1288"/>
      <c r="B106" s="474" t="s">
        <v>352</v>
      </c>
      <c r="C106" s="472">
        <f>C98</f>
        <v>2019</v>
      </c>
      <c r="D106" s="472">
        <f>D98</f>
        <v>2019</v>
      </c>
      <c r="E106" s="472">
        <f>E98</f>
        <v>2020</v>
      </c>
      <c r="F106" s="472"/>
      <c r="G106" s="472"/>
      <c r="H106" s="189"/>
      <c r="I106" s="1288"/>
      <c r="J106" s="474" t="s">
        <v>352</v>
      </c>
      <c r="K106" s="472">
        <f>K98</f>
        <v>2019</v>
      </c>
      <c r="L106" s="472">
        <f>L98</f>
        <v>2019</v>
      </c>
      <c r="M106" s="472">
        <f>M98</f>
        <v>2020</v>
      </c>
      <c r="N106" s="472"/>
      <c r="O106" s="472"/>
      <c r="P106" s="189"/>
      <c r="Q106" s="1288"/>
      <c r="R106" s="474" t="s">
        <v>352</v>
      </c>
      <c r="S106" s="472">
        <f>S98</f>
        <v>2019</v>
      </c>
      <c r="T106" s="472">
        <f>T98</f>
        <v>2019</v>
      </c>
      <c r="U106" s="472">
        <f>U98</f>
        <v>2020</v>
      </c>
      <c r="V106" s="472"/>
      <c r="W106" s="472"/>
    </row>
    <row r="107" spans="1:23" ht="12.75" customHeight="1">
      <c r="A107" s="1288"/>
      <c r="B107" s="199">
        <v>0</v>
      </c>
      <c r="C107" s="200">
        <v>0</v>
      </c>
      <c r="D107" s="200">
        <v>0</v>
      </c>
      <c r="E107" s="203">
        <v>9.9999999999999995E-7</v>
      </c>
      <c r="F107" s="193">
        <f t="shared" ref="F107:F112" si="71">0.5*(MAX(C107:E107)-MIN(C107:E107))</f>
        <v>4.9999999999999998E-7</v>
      </c>
      <c r="G107" s="196">
        <v>0.59</v>
      </c>
      <c r="H107" s="189"/>
      <c r="I107" s="1288"/>
      <c r="J107" s="199">
        <v>0</v>
      </c>
      <c r="K107" s="191">
        <v>0</v>
      </c>
      <c r="L107" s="191">
        <v>0</v>
      </c>
      <c r="M107" s="203">
        <v>9.9999999999999995E-7</v>
      </c>
      <c r="N107" s="193">
        <f t="shared" ref="N107:N112" si="72">0.5*(MAX(K107:M107)-MIN(K107:M107))</f>
        <v>4.9999999999999998E-7</v>
      </c>
      <c r="O107" s="200">
        <v>0.59</v>
      </c>
      <c r="P107" s="189"/>
      <c r="Q107" s="1288"/>
      <c r="R107" s="199">
        <v>0</v>
      </c>
      <c r="S107" s="191">
        <v>0</v>
      </c>
      <c r="T107" s="191">
        <v>0</v>
      </c>
      <c r="U107" s="203">
        <v>9.9999999999999995E-7</v>
      </c>
      <c r="V107" s="193">
        <f t="shared" ref="V107:V112" si="73">0.5*(MAX(S107:U107)-MIN(S107:U107))</f>
        <v>4.9999999999999998E-7</v>
      </c>
      <c r="W107" s="200">
        <v>0.59</v>
      </c>
    </row>
    <row r="108" spans="1:23" ht="12.75" customHeight="1">
      <c r="A108" s="1288"/>
      <c r="B108" s="199">
        <v>50</v>
      </c>
      <c r="C108" s="198">
        <v>1.7</v>
      </c>
      <c r="D108" s="198">
        <v>1.7</v>
      </c>
      <c r="E108" s="198">
        <v>1.7</v>
      </c>
      <c r="F108" s="193">
        <f t="shared" si="71"/>
        <v>0</v>
      </c>
      <c r="G108" s="196">
        <v>0.59</v>
      </c>
      <c r="H108" s="189"/>
      <c r="I108" s="1288"/>
      <c r="J108" s="199">
        <v>50</v>
      </c>
      <c r="K108" s="191">
        <v>0</v>
      </c>
      <c r="L108" s="191">
        <v>0</v>
      </c>
      <c r="M108" s="198">
        <v>1.7</v>
      </c>
      <c r="N108" s="193">
        <f t="shared" si="72"/>
        <v>0.85</v>
      </c>
      <c r="O108" s="200">
        <v>0.59</v>
      </c>
      <c r="P108" s="189"/>
      <c r="Q108" s="1288"/>
      <c r="R108" s="199">
        <v>50</v>
      </c>
      <c r="S108" s="191">
        <v>0</v>
      </c>
      <c r="T108" s="191">
        <v>0</v>
      </c>
      <c r="U108" s="198">
        <v>2.1</v>
      </c>
      <c r="V108" s="193">
        <f t="shared" si="73"/>
        <v>1.05</v>
      </c>
      <c r="W108" s="198">
        <v>0.59</v>
      </c>
    </row>
    <row r="109" spans="1:23" ht="12.75" customHeight="1">
      <c r="A109" s="1288"/>
      <c r="B109" s="199">
        <v>100</v>
      </c>
      <c r="C109" s="198">
        <v>1.7</v>
      </c>
      <c r="D109" s="198">
        <v>1.7</v>
      </c>
      <c r="E109" s="198">
        <v>1.7</v>
      </c>
      <c r="F109" s="193">
        <f t="shared" si="71"/>
        <v>0</v>
      </c>
      <c r="G109" s="196">
        <v>0.59</v>
      </c>
      <c r="H109" s="189"/>
      <c r="I109" s="1288"/>
      <c r="J109" s="199">
        <v>100</v>
      </c>
      <c r="K109" s="191">
        <v>0</v>
      </c>
      <c r="L109" s="191">
        <v>0</v>
      </c>
      <c r="M109" s="198">
        <v>3.4</v>
      </c>
      <c r="N109" s="193">
        <f t="shared" si="72"/>
        <v>1.7</v>
      </c>
      <c r="O109" s="200">
        <v>0.59</v>
      </c>
      <c r="P109" s="189"/>
      <c r="Q109" s="1288"/>
      <c r="R109" s="199">
        <v>100</v>
      </c>
      <c r="S109" s="191">
        <v>0</v>
      </c>
      <c r="T109" s="191">
        <v>0</v>
      </c>
      <c r="U109" s="198">
        <v>3.7</v>
      </c>
      <c r="V109" s="193">
        <f t="shared" si="73"/>
        <v>1.85</v>
      </c>
      <c r="W109" s="198">
        <v>0.59</v>
      </c>
    </row>
    <row r="110" spans="1:23" ht="12.75" customHeight="1">
      <c r="A110" s="1288"/>
      <c r="B110" s="199">
        <v>200</v>
      </c>
      <c r="C110" s="198">
        <v>0.4</v>
      </c>
      <c r="D110" s="198">
        <v>0.4</v>
      </c>
      <c r="E110" s="198">
        <v>0.4</v>
      </c>
      <c r="F110" s="193">
        <f t="shared" si="71"/>
        <v>0</v>
      </c>
      <c r="G110" s="196">
        <v>0.59</v>
      </c>
      <c r="H110" s="189"/>
      <c r="I110" s="1288"/>
      <c r="J110" s="199">
        <v>500</v>
      </c>
      <c r="K110" s="191">
        <v>0</v>
      </c>
      <c r="L110" s="191">
        <v>0</v>
      </c>
      <c r="M110" s="198">
        <v>7.2</v>
      </c>
      <c r="N110" s="193">
        <f t="shared" si="72"/>
        <v>3.6</v>
      </c>
      <c r="O110" s="200">
        <v>0.59</v>
      </c>
      <c r="P110" s="189"/>
      <c r="Q110" s="1288"/>
      <c r="R110" s="199">
        <v>500</v>
      </c>
      <c r="S110" s="191">
        <v>0</v>
      </c>
      <c r="T110" s="191">
        <v>0</v>
      </c>
      <c r="U110" s="198">
        <v>8.3000000000000007</v>
      </c>
      <c r="V110" s="193">
        <f t="shared" si="73"/>
        <v>4.1500000000000004</v>
      </c>
      <c r="W110" s="198">
        <v>0.59</v>
      </c>
    </row>
    <row r="111" spans="1:23" ht="12.75" customHeight="1">
      <c r="A111" s="1288"/>
      <c r="B111" s="199">
        <v>500</v>
      </c>
      <c r="C111" s="198">
        <v>3</v>
      </c>
      <c r="D111" s="198">
        <v>3</v>
      </c>
      <c r="E111" s="198">
        <v>3</v>
      </c>
      <c r="F111" s="193">
        <f t="shared" si="71"/>
        <v>0</v>
      </c>
      <c r="G111" s="196">
        <v>0.59</v>
      </c>
      <c r="H111" s="189"/>
      <c r="I111" s="1288"/>
      <c r="J111" s="199">
        <v>500</v>
      </c>
      <c r="K111" s="191">
        <v>0</v>
      </c>
      <c r="L111" s="191">
        <v>0</v>
      </c>
      <c r="M111" s="198">
        <v>7.2</v>
      </c>
      <c r="N111" s="193">
        <f t="shared" si="72"/>
        <v>3.6</v>
      </c>
      <c r="O111" s="200">
        <v>0.59</v>
      </c>
      <c r="P111" s="189"/>
      <c r="Q111" s="1288"/>
      <c r="R111" s="199">
        <v>500</v>
      </c>
      <c r="S111" s="191">
        <v>0</v>
      </c>
      <c r="T111" s="191">
        <v>0</v>
      </c>
      <c r="U111" s="198">
        <v>8.3000000000000007</v>
      </c>
      <c r="V111" s="193">
        <f t="shared" si="73"/>
        <v>4.1500000000000004</v>
      </c>
      <c r="W111" s="198">
        <v>0.59</v>
      </c>
    </row>
    <row r="112" spans="1:23" ht="12.75" customHeight="1">
      <c r="A112" s="1288"/>
      <c r="B112" s="199">
        <v>1000</v>
      </c>
      <c r="C112" s="198">
        <v>5</v>
      </c>
      <c r="D112" s="198">
        <v>5</v>
      </c>
      <c r="E112" s="198">
        <v>4</v>
      </c>
      <c r="F112" s="193">
        <f t="shared" si="71"/>
        <v>0.5</v>
      </c>
      <c r="G112" s="196">
        <v>0.59</v>
      </c>
      <c r="H112" s="189"/>
      <c r="I112" s="1288"/>
      <c r="J112" s="199">
        <v>1000</v>
      </c>
      <c r="K112" s="191">
        <v>0</v>
      </c>
      <c r="L112" s="191">
        <v>0</v>
      </c>
      <c r="M112" s="198">
        <v>80</v>
      </c>
      <c r="N112" s="193">
        <f t="shared" si="72"/>
        <v>40</v>
      </c>
      <c r="O112" s="200">
        <v>0.59</v>
      </c>
      <c r="P112" s="189"/>
      <c r="Q112" s="1288"/>
      <c r="R112" s="199">
        <v>1000</v>
      </c>
      <c r="S112" s="191">
        <v>0</v>
      </c>
      <c r="T112" s="191">
        <v>0</v>
      </c>
      <c r="U112" s="198">
        <v>-97</v>
      </c>
      <c r="V112" s="193">
        <f t="shared" si="73"/>
        <v>48.5</v>
      </c>
      <c r="W112" s="198">
        <v>0.59</v>
      </c>
    </row>
    <row r="113" spans="1:23" ht="12.75" customHeight="1">
      <c r="A113" s="1288"/>
      <c r="B113" s="1302" t="s">
        <v>353</v>
      </c>
      <c r="C113" s="1303"/>
      <c r="D113" s="1303"/>
      <c r="E113" s="1304"/>
      <c r="F113" s="472" t="s">
        <v>349</v>
      </c>
      <c r="G113" s="472" t="s">
        <v>243</v>
      </c>
      <c r="H113" s="189"/>
      <c r="I113" s="1288"/>
      <c r="J113" s="1302" t="s">
        <v>353</v>
      </c>
      <c r="K113" s="1303"/>
      <c r="L113" s="1303"/>
      <c r="M113" s="1304"/>
      <c r="N113" s="472" t="s">
        <v>349</v>
      </c>
      <c r="O113" s="472" t="s">
        <v>243</v>
      </c>
      <c r="P113" s="189"/>
      <c r="Q113" s="1288"/>
      <c r="R113" s="1302" t="s">
        <v>353</v>
      </c>
      <c r="S113" s="1303"/>
      <c r="T113" s="1303"/>
      <c r="U113" s="1304"/>
      <c r="V113" s="472" t="s">
        <v>349</v>
      </c>
      <c r="W113" s="472" t="s">
        <v>243</v>
      </c>
    </row>
    <row r="114" spans="1:23" ht="15" customHeight="1">
      <c r="A114" s="1288"/>
      <c r="B114" s="474" t="s">
        <v>354</v>
      </c>
      <c r="C114" s="472">
        <v>2020</v>
      </c>
      <c r="D114" s="472">
        <v>2021</v>
      </c>
      <c r="E114" s="472">
        <v>2018</v>
      </c>
      <c r="F114" s="472"/>
      <c r="G114" s="472"/>
      <c r="H114" s="189"/>
      <c r="I114" s="1288"/>
      <c r="J114" s="474" t="s">
        <v>354</v>
      </c>
      <c r="K114" s="472">
        <f>K98</f>
        <v>2019</v>
      </c>
      <c r="L114" s="472">
        <f>L98</f>
        <v>2019</v>
      </c>
      <c r="M114" s="472">
        <f>M98</f>
        <v>2020</v>
      </c>
      <c r="N114" s="472"/>
      <c r="O114" s="472"/>
      <c r="P114" s="189"/>
      <c r="Q114" s="1288"/>
      <c r="R114" s="474" t="s">
        <v>354</v>
      </c>
      <c r="S114" s="472">
        <f>S98</f>
        <v>2019</v>
      </c>
      <c r="T114" s="472">
        <f>T98</f>
        <v>2019</v>
      </c>
      <c r="U114" s="472">
        <f>U98</f>
        <v>2020</v>
      </c>
      <c r="V114" s="472"/>
      <c r="W114" s="472"/>
    </row>
    <row r="115" spans="1:23" ht="12.75" customHeight="1">
      <c r="A115" s="1288"/>
      <c r="B115" s="199">
        <v>10</v>
      </c>
      <c r="C115" s="191" t="s">
        <v>257</v>
      </c>
      <c r="D115" s="191" t="s">
        <v>257</v>
      </c>
      <c r="E115" s="203">
        <v>9.9999999999999995E-7</v>
      </c>
      <c r="F115" s="193">
        <f t="shared" ref="F115:F118" si="74">0.5*(MAX(C115:E115)-MIN(C115:E115))</f>
        <v>0</v>
      </c>
      <c r="G115" s="202">
        <v>1.7</v>
      </c>
      <c r="H115" s="189"/>
      <c r="I115" s="1288"/>
      <c r="J115" s="199">
        <v>10</v>
      </c>
      <c r="K115" s="191">
        <v>0</v>
      </c>
      <c r="L115" s="191">
        <v>0</v>
      </c>
      <c r="M115" s="203">
        <v>9.9999999999999995E-7</v>
      </c>
      <c r="N115" s="193">
        <f t="shared" ref="N115:N118" si="75">0.5*(MAX(K115:M115)-MIN(K115:M115))</f>
        <v>4.9999999999999998E-7</v>
      </c>
      <c r="O115" s="198">
        <v>0</v>
      </c>
      <c r="P115" s="189"/>
      <c r="Q115" s="1288"/>
      <c r="R115" s="199">
        <v>10</v>
      </c>
      <c r="S115" s="191">
        <v>0</v>
      </c>
      <c r="T115" s="191">
        <v>0</v>
      </c>
      <c r="U115" s="203">
        <v>9.9999999999999995E-7</v>
      </c>
      <c r="V115" s="193">
        <f t="shared" ref="V115:V118" si="76">0.5*(MAX(S115:U115)-MIN(S115:U115))</f>
        <v>4.9999999999999998E-7</v>
      </c>
      <c r="W115" s="198">
        <v>0</v>
      </c>
    </row>
    <row r="116" spans="1:23" ht="12.75" customHeight="1">
      <c r="A116" s="1288"/>
      <c r="B116" s="199">
        <v>20</v>
      </c>
      <c r="C116" s="191" t="s">
        <v>257</v>
      </c>
      <c r="D116" s="191" t="s">
        <v>257</v>
      </c>
      <c r="E116" s="191">
        <v>0.1</v>
      </c>
      <c r="F116" s="193">
        <f t="shared" si="74"/>
        <v>0</v>
      </c>
      <c r="G116" s="202">
        <v>1.7</v>
      </c>
      <c r="H116" s="189"/>
      <c r="I116" s="1288"/>
      <c r="J116" s="199">
        <v>20</v>
      </c>
      <c r="K116" s="191">
        <v>0</v>
      </c>
      <c r="L116" s="191">
        <v>0</v>
      </c>
      <c r="M116" s="203">
        <v>9.9999999999999995E-7</v>
      </c>
      <c r="N116" s="193">
        <f t="shared" si="75"/>
        <v>4.9999999999999998E-7</v>
      </c>
      <c r="O116" s="198">
        <v>0</v>
      </c>
      <c r="P116" s="189"/>
      <c r="Q116" s="1288"/>
      <c r="R116" s="199">
        <v>20</v>
      </c>
      <c r="S116" s="191">
        <v>0</v>
      </c>
      <c r="T116" s="191">
        <v>0</v>
      </c>
      <c r="U116" s="203">
        <v>9.9999999999999995E-7</v>
      </c>
      <c r="V116" s="193">
        <f t="shared" si="76"/>
        <v>4.9999999999999998E-7</v>
      </c>
      <c r="W116" s="198">
        <v>0</v>
      </c>
    </row>
    <row r="117" spans="1:23" ht="12.75" customHeight="1">
      <c r="A117" s="1288"/>
      <c r="B117" s="199">
        <v>50</v>
      </c>
      <c r="C117" s="191" t="s">
        <v>257</v>
      </c>
      <c r="D117" s="191" t="s">
        <v>257</v>
      </c>
      <c r="E117" s="191">
        <v>0.4</v>
      </c>
      <c r="F117" s="193">
        <f t="shared" si="74"/>
        <v>0</v>
      </c>
      <c r="G117" s="202">
        <v>1.7</v>
      </c>
      <c r="H117" s="189"/>
      <c r="I117" s="1288"/>
      <c r="J117" s="199">
        <v>50</v>
      </c>
      <c r="K117" s="191">
        <v>0</v>
      </c>
      <c r="L117" s="191">
        <v>0</v>
      </c>
      <c r="M117" s="203">
        <v>9.9999999999999995E-7</v>
      </c>
      <c r="N117" s="193">
        <f t="shared" si="75"/>
        <v>4.9999999999999998E-7</v>
      </c>
      <c r="O117" s="198">
        <v>0</v>
      </c>
      <c r="P117" s="189"/>
      <c r="Q117" s="1288"/>
      <c r="R117" s="199">
        <v>50</v>
      </c>
      <c r="S117" s="191">
        <v>0</v>
      </c>
      <c r="T117" s="191">
        <v>0</v>
      </c>
      <c r="U117" s="203">
        <v>9.9999999999999995E-7</v>
      </c>
      <c r="V117" s="193">
        <f t="shared" si="76"/>
        <v>4.9999999999999998E-7</v>
      </c>
      <c r="W117" s="198">
        <v>0</v>
      </c>
    </row>
    <row r="118" spans="1:23" ht="12.75" customHeight="1">
      <c r="A118" s="1288"/>
      <c r="B118" s="199">
        <v>100</v>
      </c>
      <c r="C118" s="191" t="s">
        <v>257</v>
      </c>
      <c r="D118" s="191" t="s">
        <v>257</v>
      </c>
      <c r="E118" s="191">
        <v>1.4</v>
      </c>
      <c r="F118" s="193">
        <f t="shared" si="74"/>
        <v>0</v>
      </c>
      <c r="G118" s="202">
        <v>1.7</v>
      </c>
      <c r="H118" s="189"/>
      <c r="I118" s="1288"/>
      <c r="J118" s="199">
        <v>100</v>
      </c>
      <c r="K118" s="191">
        <v>0</v>
      </c>
      <c r="L118" s="191">
        <v>0</v>
      </c>
      <c r="M118" s="203">
        <v>9.9999999999999995E-7</v>
      </c>
      <c r="N118" s="193">
        <f t="shared" si="75"/>
        <v>4.9999999999999998E-7</v>
      </c>
      <c r="O118" s="198">
        <v>0</v>
      </c>
      <c r="P118" s="189"/>
      <c r="Q118" s="1288"/>
      <c r="R118" s="199">
        <v>100</v>
      </c>
      <c r="S118" s="191">
        <v>0</v>
      </c>
      <c r="T118" s="191">
        <v>0</v>
      </c>
      <c r="U118" s="203">
        <v>9.9999999999999995E-7</v>
      </c>
      <c r="V118" s="193">
        <f t="shared" si="76"/>
        <v>4.9999999999999998E-7</v>
      </c>
      <c r="W118" s="198">
        <v>0</v>
      </c>
    </row>
    <row r="119" spans="1:23" ht="12.75" customHeight="1">
      <c r="A119" s="1288"/>
      <c r="B119" s="1302" t="s">
        <v>355</v>
      </c>
      <c r="C119" s="1303"/>
      <c r="D119" s="1303"/>
      <c r="E119" s="1304"/>
      <c r="F119" s="472" t="s">
        <v>349</v>
      </c>
      <c r="G119" s="472" t="s">
        <v>243</v>
      </c>
      <c r="H119" s="189"/>
      <c r="I119" s="1288"/>
      <c r="J119" s="1302" t="s">
        <v>355</v>
      </c>
      <c r="K119" s="1303"/>
      <c r="L119" s="1303"/>
      <c r="M119" s="1304"/>
      <c r="N119" s="472" t="s">
        <v>349</v>
      </c>
      <c r="O119" s="472" t="s">
        <v>243</v>
      </c>
      <c r="P119" s="189"/>
      <c r="Q119" s="1288"/>
      <c r="R119" s="1302" t="str">
        <f>B119</f>
        <v>Resistance</v>
      </c>
      <c r="S119" s="1303"/>
      <c r="T119" s="1303"/>
      <c r="U119" s="1304"/>
      <c r="V119" s="472" t="s">
        <v>349</v>
      </c>
      <c r="W119" s="472" t="s">
        <v>243</v>
      </c>
    </row>
    <row r="120" spans="1:23" ht="15" customHeight="1">
      <c r="A120" s="1288"/>
      <c r="B120" s="474" t="s">
        <v>356</v>
      </c>
      <c r="C120" s="472">
        <f>C98</f>
        <v>2019</v>
      </c>
      <c r="D120" s="472">
        <f>D98</f>
        <v>2019</v>
      </c>
      <c r="E120" s="472">
        <f>E98</f>
        <v>2020</v>
      </c>
      <c r="F120" s="472"/>
      <c r="G120" s="472"/>
      <c r="H120" s="189"/>
      <c r="I120" s="1288"/>
      <c r="J120" s="474" t="s">
        <v>356</v>
      </c>
      <c r="K120" s="472">
        <f>K98</f>
        <v>2019</v>
      </c>
      <c r="L120" s="472">
        <f>L98</f>
        <v>2019</v>
      </c>
      <c r="M120" s="472">
        <f>M98</f>
        <v>2020</v>
      </c>
      <c r="N120" s="472"/>
      <c r="O120" s="472"/>
      <c r="P120" s="189"/>
      <c r="Q120" s="1288"/>
      <c r="R120" s="474" t="s">
        <v>356</v>
      </c>
      <c r="S120" s="472">
        <f>S98</f>
        <v>2019</v>
      </c>
      <c r="T120" s="472">
        <f>T98</f>
        <v>2019</v>
      </c>
      <c r="U120" s="472">
        <f>U98</f>
        <v>2020</v>
      </c>
      <c r="V120" s="472"/>
      <c r="W120" s="472"/>
    </row>
    <row r="121" spans="1:23" ht="12.75" customHeight="1">
      <c r="A121" s="1288"/>
      <c r="B121" s="199">
        <v>0.01</v>
      </c>
      <c r="C121" s="203">
        <v>0</v>
      </c>
      <c r="D121" s="203">
        <v>0</v>
      </c>
      <c r="E121" s="203">
        <v>9.9999999999999995E-7</v>
      </c>
      <c r="F121" s="193">
        <f t="shared" ref="F121:F124" si="77">0.5*(MAX(C121:E121)-MIN(C121:E121))</f>
        <v>4.9999999999999998E-7</v>
      </c>
      <c r="G121" s="199">
        <v>1.2</v>
      </c>
      <c r="H121" s="189"/>
      <c r="I121" s="1288"/>
      <c r="J121" s="199">
        <v>0.01</v>
      </c>
      <c r="K121" s="199">
        <v>0</v>
      </c>
      <c r="L121" s="199">
        <v>0</v>
      </c>
      <c r="M121" s="203">
        <v>9.9999999999999995E-7</v>
      </c>
      <c r="N121" s="193">
        <f t="shared" ref="N121:N124" si="78">0.5*(MAX(K121:M121)-MIN(K121:M121))</f>
        <v>4.9999999999999998E-7</v>
      </c>
      <c r="O121" s="374">
        <v>1.2</v>
      </c>
      <c r="P121" s="189"/>
      <c r="Q121" s="1288"/>
      <c r="R121" s="199">
        <v>0.01</v>
      </c>
      <c r="S121" s="199">
        <v>0</v>
      </c>
      <c r="T121" s="199">
        <v>0</v>
      </c>
      <c r="U121" s="203">
        <v>9.9999999999999995E-7</v>
      </c>
      <c r="V121" s="193">
        <f t="shared" ref="V121:V124" si="79">0.5*(MAX(S121:U121)-MIN(S121:U121))</f>
        <v>4.9999999999999998E-7</v>
      </c>
      <c r="W121" s="212">
        <v>1.2</v>
      </c>
    </row>
    <row r="122" spans="1:23" ht="12.75" customHeight="1">
      <c r="A122" s="1288"/>
      <c r="B122" s="199">
        <v>0.1</v>
      </c>
      <c r="C122" s="203">
        <v>0</v>
      </c>
      <c r="D122" s="203">
        <v>0</v>
      </c>
      <c r="E122" s="203">
        <v>9.9999999999999995E-7</v>
      </c>
      <c r="F122" s="193">
        <f t="shared" si="77"/>
        <v>4.9999999999999998E-7</v>
      </c>
      <c r="G122" s="199">
        <v>1.2</v>
      </c>
      <c r="H122" s="189"/>
      <c r="I122" s="1288"/>
      <c r="J122" s="199">
        <v>0.1</v>
      </c>
      <c r="K122" s="201">
        <v>0</v>
      </c>
      <c r="L122" s="201">
        <v>0</v>
      </c>
      <c r="M122" s="203">
        <v>-2E-3</v>
      </c>
      <c r="N122" s="193">
        <f t="shared" si="78"/>
        <v>1E-3</v>
      </c>
      <c r="O122" s="374">
        <v>1.2</v>
      </c>
      <c r="P122" s="189"/>
      <c r="Q122" s="1288"/>
      <c r="R122" s="199">
        <v>0.1</v>
      </c>
      <c r="S122" s="201">
        <v>0</v>
      </c>
      <c r="T122" s="201">
        <v>0</v>
      </c>
      <c r="U122" s="203">
        <v>-3.0000000000000001E-3</v>
      </c>
      <c r="V122" s="193">
        <f t="shared" si="79"/>
        <v>1.5E-3</v>
      </c>
      <c r="W122" s="212">
        <v>1.2</v>
      </c>
    </row>
    <row r="123" spans="1:23" ht="12.75" customHeight="1">
      <c r="A123" s="1288"/>
      <c r="B123" s="199">
        <v>1</v>
      </c>
      <c r="C123" s="203">
        <v>-2.3E-3</v>
      </c>
      <c r="D123" s="203">
        <v>-2.3E-3</v>
      </c>
      <c r="E123" s="203">
        <v>-2.3E-3</v>
      </c>
      <c r="F123" s="193">
        <f t="shared" si="77"/>
        <v>0</v>
      </c>
      <c r="G123" s="199">
        <v>1.2</v>
      </c>
      <c r="H123" s="189"/>
      <c r="I123" s="1288"/>
      <c r="J123" s="199">
        <v>1</v>
      </c>
      <c r="K123" s="201">
        <v>0</v>
      </c>
      <c r="L123" s="201">
        <v>0</v>
      </c>
      <c r="M123" s="203">
        <v>-1E-3</v>
      </c>
      <c r="N123" s="193">
        <f t="shared" si="78"/>
        <v>5.0000000000000001E-4</v>
      </c>
      <c r="O123" s="374">
        <v>1.2</v>
      </c>
      <c r="P123" s="189"/>
      <c r="Q123" s="1288"/>
      <c r="R123" s="199">
        <v>1</v>
      </c>
      <c r="S123" s="201">
        <v>0</v>
      </c>
      <c r="T123" s="201">
        <v>0</v>
      </c>
      <c r="U123" s="203">
        <v>-1E-3</v>
      </c>
      <c r="V123" s="193">
        <f t="shared" si="79"/>
        <v>5.0000000000000001E-4</v>
      </c>
      <c r="W123" s="212">
        <v>1.2</v>
      </c>
    </row>
    <row r="124" spans="1:23" ht="12.75" customHeight="1">
      <c r="A124" s="1289"/>
      <c r="B124" s="199">
        <v>2</v>
      </c>
      <c r="C124" s="203">
        <v>0</v>
      </c>
      <c r="D124" s="203">
        <v>0</v>
      </c>
      <c r="E124" s="203">
        <v>9.9999999999999995E-7</v>
      </c>
      <c r="F124" s="193">
        <f t="shared" si="77"/>
        <v>4.9999999999999998E-7</v>
      </c>
      <c r="G124" s="199">
        <v>1.2</v>
      </c>
      <c r="H124" s="189"/>
      <c r="I124" s="1289"/>
      <c r="J124" s="199">
        <v>2</v>
      </c>
      <c r="K124" s="201">
        <v>0</v>
      </c>
      <c r="L124" s="201">
        <v>0</v>
      </c>
      <c r="M124" s="203">
        <v>-6.0000000000000001E-3</v>
      </c>
      <c r="N124" s="193">
        <f t="shared" si="78"/>
        <v>3.0000000000000001E-3</v>
      </c>
      <c r="O124" s="374">
        <v>1.2</v>
      </c>
      <c r="P124" s="189"/>
      <c r="Q124" s="1289"/>
      <c r="R124" s="199">
        <v>2</v>
      </c>
      <c r="S124" s="201">
        <v>0</v>
      </c>
      <c r="T124" s="201">
        <v>0</v>
      </c>
      <c r="U124" s="203">
        <v>-6.0000000000000001E-3</v>
      </c>
      <c r="V124" s="193">
        <f t="shared" si="79"/>
        <v>3.0000000000000001E-3</v>
      </c>
      <c r="W124" s="212">
        <v>1.2</v>
      </c>
    </row>
    <row r="125" spans="1:23" ht="16" thickBot="1">
      <c r="A125" s="207"/>
      <c r="B125" s="208"/>
      <c r="C125" s="209"/>
      <c r="E125" s="209"/>
      <c r="F125" s="209"/>
      <c r="G125" s="209"/>
      <c r="H125" s="189"/>
      <c r="I125" s="210"/>
      <c r="J125" s="211"/>
      <c r="K125" s="209"/>
      <c r="M125" s="209"/>
      <c r="N125" s="209"/>
      <c r="O125" s="209"/>
      <c r="P125" s="189"/>
      <c r="Q125" s="210"/>
      <c r="R125" s="208"/>
      <c r="S125" s="209"/>
      <c r="U125" s="189"/>
      <c r="V125" s="189"/>
      <c r="W125" s="204"/>
    </row>
    <row r="126" spans="1:23" ht="16" thickBot="1">
      <c r="A126" s="490"/>
      <c r="B126" s="491"/>
      <c r="C126" s="491"/>
      <c r="E126" s="491"/>
      <c r="F126" s="491"/>
      <c r="G126" s="491"/>
      <c r="H126" s="491"/>
      <c r="I126" s="491"/>
      <c r="J126" s="491"/>
      <c r="K126" s="491"/>
      <c r="M126" s="491"/>
      <c r="N126" s="491"/>
      <c r="O126" s="491"/>
      <c r="P126" s="491"/>
      <c r="Q126" s="491"/>
      <c r="R126" s="491"/>
      <c r="S126" s="491"/>
      <c r="U126" s="492"/>
      <c r="V126" s="492"/>
      <c r="W126" s="493"/>
    </row>
    <row r="127" spans="1:23">
      <c r="A127" s="494"/>
      <c r="B127" s="495"/>
      <c r="C127" s="495"/>
    </row>
    <row r="128" spans="1:23" ht="24.75" customHeight="1"/>
    <row r="129" spans="1:19" ht="15.75" customHeight="1"/>
    <row r="131" spans="1:19" ht="15.5">
      <c r="S131" s="496"/>
    </row>
    <row r="132" spans="1:19" ht="15.5">
      <c r="A132" s="1293" t="str">
        <f t="shared" ref="A132:A161" si="80">IF($A$165=$A$166,B2,IF($A$165=$A$167,J2,IF($A$165=$A$168,R2,IF($A$165=$A$169,B33,IF($A$165=$A$170,J33,IF($A$165=$A$171,R33,IF($A$165=$A$172,B64,IF($A$165=$A$173,J64,IF($A$165=$A$174,R64,IF($A$165=$A$175,B95,IF($A$165=$A$176,J95,IF($A$165=$A$177,R95))))))))))))</f>
        <v>ESA (4669058)</v>
      </c>
      <c r="B132" s="1294"/>
      <c r="C132" s="1294"/>
      <c r="D132" s="1294"/>
      <c r="E132" s="1294"/>
      <c r="F132" s="1295"/>
      <c r="S132" s="496"/>
    </row>
    <row r="133" spans="1:19" ht="15.75" customHeight="1" thickBot="1">
      <c r="A133" s="1293" t="str">
        <f t="shared" si="80"/>
        <v>KOREKSI ESA</v>
      </c>
      <c r="B133" s="1294"/>
      <c r="C133" s="1294"/>
      <c r="D133" s="1294"/>
      <c r="E133" s="1294"/>
      <c r="F133" s="1295"/>
      <c r="I133" s="375"/>
      <c r="S133" s="496"/>
    </row>
    <row r="134" spans="1:19" ht="15.5">
      <c r="A134" s="1293" t="str">
        <f t="shared" si="80"/>
        <v>Setting VAC</v>
      </c>
      <c r="B134" s="1294"/>
      <c r="C134" s="1294"/>
      <c r="D134" s="1295"/>
      <c r="E134" s="498" t="str">
        <f>IF($A$165=$A$166,F4,IF($A$165=$A$167,N4,IF($A$165=$A$168,V4,IF($A$165=$A$169,F35,IF($A$165=$A$170,N35,IF($A$165=$A$171,V35,IF($A$165=$A$172,F66,IF($A$165=$A$173,N66,IF($A$165=$A$174,V66,IF($A$165=$A$175,F97,IF($A$165=$A$176,N97,IF($A$165=$A$177,V97))))))))))))</f>
        <v>Driff</v>
      </c>
      <c r="F134" s="498" t="str">
        <f>IF($A$165=$A$166,G4,IF($A$165=$A$167,O4,IF($A$165=$A$168,W4,IF($A$165=$A$169,G35,IF($A$165=$A$170,O35,IF($A$165=$A$171,W35,IF($A$165=$A$172,G66,IF($A$165=$A$173,O66,IF($A$165=$A$174,W66,IF($A$165=$A$175,G97,IF($A$165=$A$176,O97,IF($A$165=$A$177,W97))))))))))))</f>
        <v>U95</v>
      </c>
      <c r="H134" s="1305" t="s">
        <v>369</v>
      </c>
      <c r="I134" s="1306"/>
      <c r="J134" s="1306"/>
      <c r="K134" s="1307"/>
      <c r="L134" s="497"/>
      <c r="M134" s="1308" t="s">
        <v>74</v>
      </c>
      <c r="N134" s="1311" t="s">
        <v>370</v>
      </c>
      <c r="O134" s="1314" t="s">
        <v>371</v>
      </c>
      <c r="S134" s="496"/>
    </row>
    <row r="135" spans="1:19" ht="15.5">
      <c r="A135" s="498" t="str">
        <f t="shared" si="80"/>
        <v>( V )</v>
      </c>
      <c r="B135" s="498">
        <f t="shared" ref="B135:D141" si="81">IF($A$165=$A$166,C5,IF($A$165=$A$167,K5,IF($A$165=$A$168,S5,IF($A$165=$A$169,C36,IF($A$165=$A$170,K36,IF($A$165=$A$171,S36,IF($A$165=$A$172,C67,IF($A$165=$A$173,K67,IF($A$165=$A$174,S67,IF($A$165=$A$175,C98,IF($A$165=$A$176,K98,IF($A$165=$A$177,S98))))))))))))</f>
        <v>2019</v>
      </c>
      <c r="C135" s="498">
        <f t="shared" si="81"/>
        <v>2019</v>
      </c>
      <c r="D135" s="498">
        <f t="shared" si="81"/>
        <v>2020</v>
      </c>
      <c r="E135" s="498"/>
      <c r="F135" s="498"/>
      <c r="H135" s="500">
        <f>M137</f>
        <v>226.4</v>
      </c>
      <c r="I135" s="376"/>
      <c r="J135" s="501">
        <f>IF(H135="-","-",(FORECAST(H135,D136:D141,A136:A141)))</f>
        <v>-0.28954096692111964</v>
      </c>
      <c r="K135" s="499"/>
      <c r="L135" s="375"/>
      <c r="M135" s="1309"/>
      <c r="N135" s="1312"/>
      <c r="O135" s="1315"/>
      <c r="S135" s="496"/>
    </row>
    <row r="136" spans="1:19" ht="16" thickBot="1">
      <c r="A136" s="498">
        <f t="shared" si="80"/>
        <v>150</v>
      </c>
      <c r="B136" s="498">
        <f t="shared" si="81"/>
        <v>0</v>
      </c>
      <c r="C136" s="498">
        <f t="shared" si="81"/>
        <v>0</v>
      </c>
      <c r="D136" s="498">
        <f t="shared" si="81"/>
        <v>-0.24</v>
      </c>
      <c r="E136" s="498">
        <f t="shared" ref="E136:F142" si="82">IF($A$165=$A$166,F6,IF($A$165=$A$167,N6,IF($A$165=$A$168,V6,IF($A$165=$A$169,F37,IF($A$165=$A$170,N37,IF($A$165=$A$171,V37,IF($A$165=$A$172,F68,IF($A$165=$A$173,N68,IF($A$165=$A$174,V68,IF($A$165=$A$175,F99,IF($A$165=$A$176,N99,IF($A$165=$A$177,V99))))))))))))</f>
        <v>0.12</v>
      </c>
      <c r="F136" s="498">
        <f t="shared" si="82"/>
        <v>1.8</v>
      </c>
      <c r="H136" s="1299" t="s">
        <v>372</v>
      </c>
      <c r="I136" s="1300"/>
      <c r="J136" s="1300"/>
      <c r="K136" s="1301"/>
      <c r="L136" s="375"/>
      <c r="M136" s="1310"/>
      <c r="N136" s="1313"/>
      <c r="O136" s="1315"/>
      <c r="S136" s="496"/>
    </row>
    <row r="137" spans="1:19" ht="15.75" customHeight="1">
      <c r="A137" s="498">
        <f t="shared" si="80"/>
        <v>180</v>
      </c>
      <c r="B137" s="498">
        <f t="shared" si="81"/>
        <v>0</v>
      </c>
      <c r="C137" s="498">
        <f t="shared" si="81"/>
        <v>0</v>
      </c>
      <c r="D137" s="498">
        <f t="shared" si="81"/>
        <v>-0.14000000000000001</v>
      </c>
      <c r="E137" s="498">
        <f t="shared" si="82"/>
        <v>7.0000000000000007E-2</v>
      </c>
      <c r="F137" s="498">
        <f t="shared" si="82"/>
        <v>2.16</v>
      </c>
      <c r="H137" s="500">
        <f>M138</f>
        <v>2</v>
      </c>
      <c r="I137" s="376"/>
      <c r="J137" s="507">
        <f>IF(H137="-","-",(FORECAST(H137,D152:D155,A152:A155)))</f>
        <v>5.5714285714285715E-7</v>
      </c>
      <c r="K137" s="499"/>
      <c r="L137" s="375"/>
      <c r="M137" s="502">
        <f>ID!F17</f>
        <v>226.4</v>
      </c>
      <c r="N137" s="924">
        <f>IF(M137="-","-",IF(M137="OL","OL",M137+J135))</f>
        <v>226.11045903307888</v>
      </c>
      <c r="O137" s="552">
        <f>IF(M137="-","-",IF(M137=M137,N137,))</f>
        <v>226.11045903307888</v>
      </c>
      <c r="P137" s="923">
        <f>O137</f>
        <v>226.11045903307888</v>
      </c>
      <c r="S137" s="496"/>
    </row>
    <row r="138" spans="1:19" ht="15.75" customHeight="1">
      <c r="A138" s="498">
        <f t="shared" si="80"/>
        <v>200</v>
      </c>
      <c r="B138" s="498">
        <f t="shared" si="81"/>
        <v>0</v>
      </c>
      <c r="C138" s="498">
        <f t="shared" si="81"/>
        <v>0</v>
      </c>
      <c r="D138" s="498">
        <f t="shared" si="81"/>
        <v>-0.33</v>
      </c>
      <c r="E138" s="498">
        <f t="shared" si="82"/>
        <v>0.16500000000000001</v>
      </c>
      <c r="F138" s="498">
        <f t="shared" si="82"/>
        <v>2.4</v>
      </c>
      <c r="H138" s="1299" t="s">
        <v>223</v>
      </c>
      <c r="I138" s="1300"/>
      <c r="J138" s="1300"/>
      <c r="K138" s="1301"/>
      <c r="L138" s="375"/>
      <c r="M138" s="503">
        <f>ID!L25</f>
        <v>2</v>
      </c>
      <c r="N138" s="504">
        <f>IF(M138="-","-",IF(M138="OL","OL",M138+J137))</f>
        <v>2.0000005571428572</v>
      </c>
      <c r="O138" s="553">
        <f>IF(M138="OL","OL",IF(M138="NC","NC",IF(M138="OR","OR",IF(M138="-","-",IF(M138=M138,N138)))))</f>
        <v>2.0000005571428572</v>
      </c>
      <c r="P138" s="923"/>
    </row>
    <row r="139" spans="1:19" ht="13">
      <c r="A139" s="498">
        <f t="shared" si="80"/>
        <v>220</v>
      </c>
      <c r="B139" s="498">
        <f t="shared" si="81"/>
        <v>0</v>
      </c>
      <c r="C139" s="498">
        <f t="shared" si="81"/>
        <v>0</v>
      </c>
      <c r="D139" s="498">
        <f t="shared" si="81"/>
        <v>-0.45</v>
      </c>
      <c r="E139" s="498">
        <f t="shared" si="82"/>
        <v>0.22500000000000001</v>
      </c>
      <c r="F139" s="498">
        <f t="shared" si="82"/>
        <v>2.64</v>
      </c>
      <c r="H139" s="509">
        <f>M139</f>
        <v>0.23</v>
      </c>
      <c r="I139" s="376"/>
      <c r="J139" s="377">
        <f>IF(H139="-","-",(FORECAST(H139,D158:D161,A158:A161)))</f>
        <v>-1.3325932988050113E-3</v>
      </c>
      <c r="K139" s="508"/>
      <c r="L139" s="375"/>
      <c r="M139" s="505">
        <f>ID!L26</f>
        <v>0.23</v>
      </c>
      <c r="N139" s="506">
        <f>IF(M139="-","-",M139+J139)</f>
        <v>0.22866740670119501</v>
      </c>
      <c r="O139" s="553">
        <f>IF(M139="OL","OL",IF(M139="NC","NC",IF(M139="-","-",IF(M139=M139,N139,))))</f>
        <v>0.22866740670119501</v>
      </c>
      <c r="P139" s="923"/>
    </row>
    <row r="140" spans="1:19" ht="13">
      <c r="A140" s="498">
        <f t="shared" si="80"/>
        <v>230</v>
      </c>
      <c r="B140" s="498">
        <f t="shared" si="81"/>
        <v>0</v>
      </c>
      <c r="C140" s="498">
        <f t="shared" si="81"/>
        <v>0</v>
      </c>
      <c r="D140" s="498">
        <f t="shared" si="81"/>
        <v>-0.54</v>
      </c>
      <c r="E140" s="498">
        <f t="shared" si="82"/>
        <v>0.27</v>
      </c>
      <c r="F140" s="498">
        <f t="shared" si="82"/>
        <v>2.7600000000000002</v>
      </c>
      <c r="H140" s="1299" t="s">
        <v>373</v>
      </c>
      <c r="I140" s="1300"/>
      <c r="J140" s="1300"/>
      <c r="K140" s="1301"/>
      <c r="L140" s="375"/>
      <c r="M140" s="546">
        <f>ID!L27</f>
        <v>600</v>
      </c>
      <c r="N140" s="545">
        <f>IF(M140="-","-",M140+J141)</f>
        <v>567.54076366591801</v>
      </c>
      <c r="O140" s="554">
        <f t="shared" ref="O140:O142" si="83">IF(M140="-","-",IF(M140=M140,N140,))</f>
        <v>567.54076366591801</v>
      </c>
      <c r="P140" s="923"/>
    </row>
    <row r="141" spans="1:19" ht="12.75" customHeight="1" thickBot="1">
      <c r="A141" s="498">
        <f t="shared" si="80"/>
        <v>250</v>
      </c>
      <c r="B141" s="498">
        <f t="shared" si="81"/>
        <v>0</v>
      </c>
      <c r="C141" s="498">
        <f t="shared" si="81"/>
        <v>0</v>
      </c>
      <c r="D141" s="498">
        <f t="shared" si="81"/>
        <v>0</v>
      </c>
      <c r="E141" s="498">
        <f t="shared" si="82"/>
        <v>0</v>
      </c>
      <c r="F141" s="498" t="str">
        <f t="shared" si="82"/>
        <v>-</v>
      </c>
      <c r="H141" s="510">
        <f>M140</f>
        <v>600</v>
      </c>
      <c r="I141" s="376"/>
      <c r="J141" s="378">
        <f>IF(H141="-","-",(FORECAST(H141,D144:D149,A144:A149)))</f>
        <v>-32.459236334081979</v>
      </c>
      <c r="K141" s="499"/>
      <c r="L141" s="375"/>
      <c r="M141" s="546">
        <f>ID!L28</f>
        <v>10</v>
      </c>
      <c r="N141" s="506">
        <f>IF(M141="-","-",M141+J143)</f>
        <v>26.431589329814717</v>
      </c>
      <c r="O141" s="554">
        <f>IF(M141="-","-",IF(M141=M141,N141,))</f>
        <v>26.431589329814717</v>
      </c>
      <c r="P141" s="923"/>
    </row>
    <row r="142" spans="1:19" ht="13.5" thickBot="1">
      <c r="A142" s="1293" t="str">
        <f t="shared" si="80"/>
        <v>Current Leakage</v>
      </c>
      <c r="B142" s="1294"/>
      <c r="C142" s="1294"/>
      <c r="D142" s="1295"/>
      <c r="E142" s="498" t="str">
        <f t="shared" si="82"/>
        <v>Driff</v>
      </c>
      <c r="F142" s="498" t="str">
        <f t="shared" si="82"/>
        <v>U95</v>
      </c>
      <c r="H142" s="1299" t="s">
        <v>373</v>
      </c>
      <c r="I142" s="1300"/>
      <c r="J142" s="1300"/>
      <c r="K142" s="1301"/>
      <c r="L142" s="548" t="s">
        <v>374</v>
      </c>
      <c r="M142" s="547">
        <f>'Penyelia Kalibrasi'!R27</f>
        <v>10</v>
      </c>
      <c r="N142" s="645">
        <f>IF(M142="-","-",M142+J145)</f>
        <v>26.431589329814717</v>
      </c>
      <c r="O142" s="554">
        <f t="shared" si="83"/>
        <v>26.431589329814717</v>
      </c>
      <c r="P142" s="923"/>
    </row>
    <row r="143" spans="1:19" ht="13">
      <c r="A143" s="498" t="str">
        <f t="shared" si="80"/>
        <v>( uA )</v>
      </c>
      <c r="B143" s="498">
        <f t="shared" ref="B143:D149" si="84">IF($A$165=$A$166,C13,IF($A$165=$A$167,K13,IF($A$165=$A$168,S13,IF($A$165=$A$169,C44,IF($A$165=$A$170,K44,IF($A$165=$A$171,S44,IF($A$165=$A$172,C75,IF($A$165=$A$173,K75,IF($A$165=$A$174,S75,IF($A$165=$A$175,C106,IF($A$165=$A$176,K106,IF($A$165=$A$177,S106))))))))))))</f>
        <v>2019</v>
      </c>
      <c r="C143" s="498">
        <f t="shared" si="84"/>
        <v>2019</v>
      </c>
      <c r="D143" s="498">
        <f t="shared" si="84"/>
        <v>2020</v>
      </c>
      <c r="E143" s="498"/>
      <c r="F143" s="498"/>
      <c r="H143" s="510">
        <f>M141</f>
        <v>10</v>
      </c>
      <c r="I143" s="376"/>
      <c r="J143" s="378">
        <f>IF(H143="-","-",(FORECAST(H143,D144:D149,A144:A149)))</f>
        <v>16.431589329814717</v>
      </c>
      <c r="K143" s="499"/>
      <c r="L143" s="1290" t="s">
        <v>375</v>
      </c>
      <c r="M143" s="556">
        <f>O137</f>
        <v>226.11045903307888</v>
      </c>
      <c r="N143" s="557">
        <f>IF(M143="-","-",(FORECAST(M143,F136:F141,A136:A141)))</f>
        <v>2.7133255083969465</v>
      </c>
      <c r="O143" s="550" t="s">
        <v>119</v>
      </c>
      <c r="P143" s="923">
        <f>N143</f>
        <v>2.7133255083969465</v>
      </c>
    </row>
    <row r="144" spans="1:19" ht="13.5" thickBot="1">
      <c r="A144" s="498">
        <f t="shared" si="80"/>
        <v>0</v>
      </c>
      <c r="B144" s="498">
        <f t="shared" si="84"/>
        <v>0</v>
      </c>
      <c r="C144" s="498">
        <f t="shared" si="84"/>
        <v>0</v>
      </c>
      <c r="D144" s="498">
        <f t="shared" si="84"/>
        <v>9.9999999999999995E-7</v>
      </c>
      <c r="E144" s="498">
        <f t="shared" ref="E144:F150" si="85">IF($A$165=$A$166,F14,IF($A$165=$A$167,N14,IF($A$165=$A$168,V14,IF($A$165=$A$169,F45,IF($A$165=$A$170,N45,IF($A$165=$A$171,V45,IF($A$165=$A$172,F76,IF($A$165=$A$173,N76,IF($A$165=$A$174,V76,IF($A$165=$A$175,F107,IF($A$165=$A$176,N107,IF($A$165=$A$177,V107))))))))))))</f>
        <v>4.9999999999999998E-7</v>
      </c>
      <c r="F144" s="498">
        <f t="shared" si="85"/>
        <v>0</v>
      </c>
      <c r="H144" s="1296" t="s">
        <v>373</v>
      </c>
      <c r="I144" s="1297"/>
      <c r="J144" s="1297"/>
      <c r="K144" s="1297"/>
      <c r="L144" s="1291"/>
      <c r="M144" s="555" t="str">
        <f>O144&amp;FIXED(M143,1)&amp;O145&amp;FIXED(N143,1)&amp;O146&amp;O143</f>
        <v>( 226.1 ± 2.7 ) Volt</v>
      </c>
      <c r="N144" s="542"/>
      <c r="O144" s="661" t="s">
        <v>286</v>
      </c>
    </row>
    <row r="145" spans="1:17" ht="13">
      <c r="A145" s="498">
        <f t="shared" si="80"/>
        <v>50</v>
      </c>
      <c r="B145" s="498">
        <f t="shared" si="84"/>
        <v>0</v>
      </c>
      <c r="C145" s="498">
        <f t="shared" si="84"/>
        <v>0</v>
      </c>
      <c r="D145" s="498">
        <f t="shared" si="84"/>
        <v>2.1</v>
      </c>
      <c r="E145" s="498">
        <f t="shared" si="85"/>
        <v>1.05</v>
      </c>
      <c r="F145" s="498">
        <f t="shared" si="85"/>
        <v>0.29499999999999998</v>
      </c>
      <c r="H145" s="544">
        <f>M142</f>
        <v>10</v>
      </c>
      <c r="I145" s="514"/>
      <c r="J145" s="515">
        <f>IF(H145="-","-",FORECAST(H145,D144:D149,A144:A149))</f>
        <v>16.431589329814717</v>
      </c>
      <c r="K145" s="515"/>
      <c r="L145" s="375"/>
      <c r="M145" s="541"/>
      <c r="N145" s="542"/>
      <c r="O145" s="550" t="s">
        <v>287</v>
      </c>
    </row>
    <row r="146" spans="1:17" ht="13.5" thickBot="1">
      <c r="A146" s="498">
        <f t="shared" si="80"/>
        <v>100</v>
      </c>
      <c r="B146" s="498">
        <f t="shared" si="84"/>
        <v>0</v>
      </c>
      <c r="C146" s="498">
        <f t="shared" si="84"/>
        <v>0</v>
      </c>
      <c r="D146" s="498">
        <f t="shared" si="84"/>
        <v>3.7</v>
      </c>
      <c r="E146" s="498">
        <f t="shared" si="85"/>
        <v>1.85</v>
      </c>
      <c r="F146" s="498">
        <f t="shared" si="85"/>
        <v>0.59</v>
      </c>
      <c r="H146" s="494"/>
      <c r="L146" s="375"/>
      <c r="M146" s="543"/>
      <c r="N146" s="543"/>
      <c r="O146" s="551" t="s">
        <v>376</v>
      </c>
    </row>
    <row r="147" spans="1:17" ht="13.5" thickBot="1">
      <c r="A147" s="498">
        <f t="shared" si="80"/>
        <v>500</v>
      </c>
      <c r="B147" s="498">
        <f t="shared" si="84"/>
        <v>0</v>
      </c>
      <c r="C147" s="498">
        <f t="shared" si="84"/>
        <v>0</v>
      </c>
      <c r="D147" s="498">
        <f t="shared" si="84"/>
        <v>8.3000000000000007</v>
      </c>
      <c r="E147" s="498">
        <f t="shared" si="85"/>
        <v>4.1500000000000004</v>
      </c>
      <c r="F147" s="498">
        <f t="shared" si="85"/>
        <v>2.9499999999999997</v>
      </c>
      <c r="H147" s="649"/>
      <c r="I147" s="650"/>
      <c r="J147" s="650"/>
      <c r="K147" s="651"/>
      <c r="L147" s="517"/>
      <c r="M147" s="652">
        <f>MAX(M140:M145)</f>
        <v>600</v>
      </c>
      <c r="N147" s="652">
        <f>MAX(O140:O142)</f>
        <v>567.54076366591801</v>
      </c>
      <c r="O147" s="653">
        <f>IF(M147=0,"-",IF(M147=M147,N147,))</f>
        <v>567.54076366591801</v>
      </c>
    </row>
    <row r="148" spans="1:17" ht="13">
      <c r="A148" s="498">
        <f t="shared" si="80"/>
        <v>500</v>
      </c>
      <c r="B148" s="498">
        <f t="shared" si="84"/>
        <v>0</v>
      </c>
      <c r="C148" s="498">
        <f t="shared" si="84"/>
        <v>0</v>
      </c>
      <c r="D148" s="498">
        <f t="shared" si="84"/>
        <v>8.3000000000000007</v>
      </c>
      <c r="E148" s="498">
        <f t="shared" si="85"/>
        <v>4.1500000000000004</v>
      </c>
      <c r="F148" s="498">
        <f t="shared" si="85"/>
        <v>2.9499999999999997</v>
      </c>
      <c r="H148" s="654"/>
      <c r="I148" s="654"/>
      <c r="J148" s="654"/>
      <c r="K148" s="654"/>
      <c r="L148" s="497"/>
      <c r="M148" s="497"/>
      <c r="N148" s="497"/>
      <c r="O148" s="497"/>
    </row>
    <row r="149" spans="1:17" ht="13">
      <c r="A149" s="498">
        <f t="shared" si="80"/>
        <v>1000</v>
      </c>
      <c r="B149" s="498">
        <f t="shared" si="84"/>
        <v>0</v>
      </c>
      <c r="C149" s="498">
        <f t="shared" si="84"/>
        <v>0</v>
      </c>
      <c r="D149" s="498">
        <f t="shared" si="84"/>
        <v>-97</v>
      </c>
      <c r="E149" s="498">
        <f t="shared" si="85"/>
        <v>48.5</v>
      </c>
      <c r="F149" s="498">
        <f t="shared" si="85"/>
        <v>5.8999999999999995</v>
      </c>
      <c r="H149" s="549"/>
      <c r="I149" s="549"/>
      <c r="J149" s="549"/>
      <c r="K149" s="646"/>
      <c r="L149" s="375"/>
      <c r="M149" s="375"/>
      <c r="N149" s="375"/>
      <c r="O149" s="375"/>
    </row>
    <row r="150" spans="1:17" ht="12.75" customHeight="1">
      <c r="A150" s="1293" t="str">
        <f t="shared" si="80"/>
        <v>Main-PE</v>
      </c>
      <c r="B150" s="1294"/>
      <c r="C150" s="1294"/>
      <c r="D150" s="1295"/>
      <c r="E150" s="498" t="str">
        <f t="shared" si="85"/>
        <v>Driff</v>
      </c>
      <c r="F150" s="498" t="str">
        <f t="shared" si="85"/>
        <v>U95</v>
      </c>
      <c r="L150" s="172"/>
      <c r="M150" s="172"/>
      <c r="N150" s="172"/>
      <c r="O150" s="172"/>
      <c r="P150" s="511"/>
    </row>
    <row r="151" spans="1:17" ht="13">
      <c r="A151" s="498" t="str">
        <f t="shared" si="80"/>
        <v>( MΩ )</v>
      </c>
      <c r="B151" s="498">
        <f t="shared" ref="B151:D155" si="86">IF($A$165=$A$166,C21,IF($A$165=$A$167,K21,IF($A$165=$A$168,S21,IF($A$165=$A$169,C52,IF($A$165=$A$170,K52,IF($A$165=$A$171,S52,IF($A$165=$A$172,C83,IF($A$165=$A$173,K83,IF($A$165=$A$174,S83,IF($A$165=$A$175,C114,IF($A$165=$A$176,K114,IF($A$165=$A$177,S114))))))))))))</f>
        <v>2019</v>
      </c>
      <c r="C151" s="498">
        <f t="shared" si="86"/>
        <v>2019</v>
      </c>
      <c r="D151" s="498">
        <f t="shared" si="86"/>
        <v>2020</v>
      </c>
      <c r="E151" s="498"/>
      <c r="F151" s="498"/>
      <c r="H151" s="549"/>
      <c r="I151" s="549"/>
      <c r="J151" s="549"/>
      <c r="K151" s="646"/>
      <c r="L151" s="549"/>
      <c r="M151" s="549"/>
      <c r="N151" s="549"/>
      <c r="O151" s="646"/>
      <c r="P151" s="512"/>
    </row>
    <row r="152" spans="1:17" ht="12.75" customHeight="1">
      <c r="A152" s="498">
        <f t="shared" si="80"/>
        <v>10</v>
      </c>
      <c r="B152" s="498">
        <f t="shared" si="86"/>
        <v>0</v>
      </c>
      <c r="C152" s="498">
        <f t="shared" si="86"/>
        <v>0</v>
      </c>
      <c r="D152" s="498">
        <f t="shared" si="86"/>
        <v>9.9999999999999995E-7</v>
      </c>
      <c r="E152" s="498">
        <f t="shared" ref="E152:F156" si="87">IF($A$165=$A$166,F22,IF($A$165=$A$167,N22,IF($A$165=$A$168,V22,IF($A$165=$A$169,F53,IF($A$165=$A$170,N53,IF($A$165=$A$171,V53,IF($A$165=$A$172,F84,IF($A$165=$A$173,N84,IF($A$165=$A$174,V84,IF($A$165=$A$175,F115,IF($A$165=$A$176,N115,IF($A$165=$A$177,V115))))))))))))</f>
        <v>4.9999999999999998E-7</v>
      </c>
      <c r="F152" s="498">
        <f t="shared" si="87"/>
        <v>0</v>
      </c>
      <c r="L152" s="375"/>
      <c r="M152" s="549"/>
      <c r="N152" s="375"/>
      <c r="O152" s="646"/>
      <c r="P152" s="513"/>
    </row>
    <row r="153" spans="1:17" ht="13">
      <c r="A153" s="498">
        <f t="shared" si="80"/>
        <v>20</v>
      </c>
      <c r="B153" s="498">
        <f t="shared" si="86"/>
        <v>0</v>
      </c>
      <c r="C153" s="498">
        <f t="shared" si="86"/>
        <v>0</v>
      </c>
      <c r="D153" s="498">
        <f t="shared" si="86"/>
        <v>0</v>
      </c>
      <c r="E153" s="498">
        <f t="shared" si="87"/>
        <v>0</v>
      </c>
      <c r="F153" s="498">
        <f t="shared" si="87"/>
        <v>0</v>
      </c>
      <c r="H153" s="549"/>
      <c r="I153" s="549"/>
      <c r="J153" s="549"/>
      <c r="K153" s="646"/>
      <c r="L153" s="549"/>
      <c r="M153" s="549"/>
      <c r="N153" s="549"/>
      <c r="O153" s="646"/>
      <c r="P153" s="512"/>
    </row>
    <row r="154" spans="1:17" ht="13">
      <c r="A154" s="498">
        <f t="shared" si="80"/>
        <v>50</v>
      </c>
      <c r="B154" s="498">
        <f t="shared" si="86"/>
        <v>0</v>
      </c>
      <c r="C154" s="498">
        <f t="shared" si="86"/>
        <v>0</v>
      </c>
      <c r="D154" s="498">
        <f t="shared" si="86"/>
        <v>0</v>
      </c>
      <c r="E154" s="498">
        <f t="shared" si="87"/>
        <v>0</v>
      </c>
      <c r="F154" s="498">
        <f t="shared" si="87"/>
        <v>0</v>
      </c>
      <c r="L154" s="375"/>
      <c r="M154" s="375"/>
      <c r="N154" s="375"/>
      <c r="O154" s="375"/>
    </row>
    <row r="155" spans="1:17" ht="12.75" customHeight="1">
      <c r="A155" s="498">
        <f t="shared" si="80"/>
        <v>100</v>
      </c>
      <c r="B155" s="498">
        <f t="shared" si="86"/>
        <v>0</v>
      </c>
      <c r="C155" s="498">
        <f t="shared" si="86"/>
        <v>0</v>
      </c>
      <c r="D155" s="498">
        <f t="shared" si="86"/>
        <v>0</v>
      </c>
      <c r="E155" s="498">
        <f t="shared" si="87"/>
        <v>0</v>
      </c>
      <c r="F155" s="498">
        <f t="shared" si="87"/>
        <v>0</v>
      </c>
      <c r="H155" s="647"/>
      <c r="I155" s="647"/>
      <c r="J155" s="647"/>
      <c r="K155" s="648"/>
      <c r="L155" s="375"/>
      <c r="M155" s="375"/>
      <c r="N155" s="375"/>
      <c r="O155" s="375"/>
    </row>
    <row r="156" spans="1:17" ht="13">
      <c r="A156" s="1293" t="str">
        <f t="shared" si="80"/>
        <v>Resistance</v>
      </c>
      <c r="B156" s="1294"/>
      <c r="C156" s="1294"/>
      <c r="D156" s="1295"/>
      <c r="E156" s="498" t="str">
        <f t="shared" si="87"/>
        <v>Driff</v>
      </c>
      <c r="F156" s="498" t="str">
        <f t="shared" si="87"/>
        <v>U95</v>
      </c>
      <c r="L156" s="1298"/>
      <c r="M156" s="1298"/>
      <c r="O156" s="375"/>
    </row>
    <row r="157" spans="1:17" ht="13">
      <c r="A157" s="498" t="str">
        <f t="shared" si="80"/>
        <v>( Ω )</v>
      </c>
      <c r="B157" s="498">
        <f t="shared" ref="B157:D161" si="88">IF($A$165=$A$166,C27,IF($A$165=$A$167,K27,IF($A$165=$A$168,S27,IF($A$165=$A$169,C58,IF($A$165=$A$170,K58,IF($A$165=$A$171,S58,IF($A$165=$A$172,C89,IF($A$165=$A$173,K89,IF($A$165=$A$174,S89,IF($A$165=$A$175,C120,IF($A$165=$A$176,K120,IF($A$165=$A$177,S120))))))))))))</f>
        <v>2019</v>
      </c>
      <c r="C157" s="498">
        <f t="shared" si="88"/>
        <v>2019</v>
      </c>
      <c r="D157" s="498">
        <f t="shared" si="88"/>
        <v>2020</v>
      </c>
      <c r="E157" s="498"/>
      <c r="F157" s="498"/>
      <c r="H157" s="647"/>
      <c r="I157" s="647"/>
      <c r="J157" s="647"/>
      <c r="K157" s="648"/>
      <c r="L157" s="655"/>
      <c r="M157" s="375"/>
      <c r="N157" s="375"/>
      <c r="O157" s="375"/>
      <c r="Q157" s="375"/>
    </row>
    <row r="158" spans="1:17" ht="13">
      <c r="A158" s="498">
        <f t="shared" si="80"/>
        <v>0.01</v>
      </c>
      <c r="B158" s="498">
        <f t="shared" si="88"/>
        <v>0</v>
      </c>
      <c r="C158" s="498">
        <f t="shared" si="88"/>
        <v>0</v>
      </c>
      <c r="D158" s="498">
        <f t="shared" si="88"/>
        <v>9.9999999999999995E-7</v>
      </c>
      <c r="E158" s="498">
        <f t="shared" ref="E158:F161" si="89">IF($A$165=$A$166,F28,IF($A$165=$A$167,N28,IF($A$165=$A$168,V28,IF($A$165=$A$169,F59,IF($A$165=$A$170,N59,IF($A$165=$A$171,V59,IF($A$165=$A$172,F90,IF($A$165=$A$173,N90,IF($A$165=$A$174,V90,IF($A$165=$A$175,F121,IF($A$165=$A$176,N121,IF($A$165=$A$177,V121))))))))))))</f>
        <v>4.9999999999999998E-7</v>
      </c>
      <c r="F158" s="498">
        <f t="shared" si="89"/>
        <v>1.2E-4</v>
      </c>
      <c r="I158" s="375"/>
      <c r="J158" s="539"/>
      <c r="K158" s="539"/>
      <c r="L158" s="539"/>
      <c r="M158" s="540"/>
      <c r="N158" s="375"/>
      <c r="O158" s="375"/>
      <c r="P158" s="375"/>
      <c r="Q158" s="375"/>
    </row>
    <row r="159" spans="1:17" ht="13">
      <c r="A159" s="498">
        <f t="shared" si="80"/>
        <v>0.1</v>
      </c>
      <c r="B159" s="498">
        <f t="shared" si="88"/>
        <v>0</v>
      </c>
      <c r="C159" s="498">
        <f t="shared" si="88"/>
        <v>0</v>
      </c>
      <c r="D159" s="498">
        <f t="shared" si="88"/>
        <v>-3.0000000000000001E-3</v>
      </c>
      <c r="E159" s="498">
        <f t="shared" si="89"/>
        <v>1.5E-3</v>
      </c>
      <c r="F159" s="498">
        <f t="shared" si="89"/>
        <v>1.2000000000000001E-3</v>
      </c>
      <c r="I159" s="375"/>
      <c r="J159" s="540"/>
      <c r="K159" s="539"/>
      <c r="L159" s="540"/>
      <c r="M159" s="540"/>
      <c r="N159" s="375"/>
      <c r="O159" s="375"/>
      <c r="P159" s="375"/>
      <c r="Q159" s="375"/>
    </row>
    <row r="160" spans="1:17" ht="15.75" customHeight="1">
      <c r="A160" s="498">
        <f t="shared" si="80"/>
        <v>1</v>
      </c>
      <c r="B160" s="498">
        <f t="shared" si="88"/>
        <v>0</v>
      </c>
      <c r="C160" s="498">
        <f t="shared" si="88"/>
        <v>0</v>
      </c>
      <c r="D160" s="498">
        <f t="shared" si="88"/>
        <v>-1E-3</v>
      </c>
      <c r="E160" s="498">
        <f t="shared" si="89"/>
        <v>5.0000000000000001E-4</v>
      </c>
      <c r="F160" s="498">
        <f t="shared" si="89"/>
        <v>1.2E-2</v>
      </c>
      <c r="I160" s="375"/>
      <c r="J160" s="539"/>
      <c r="K160" s="539"/>
      <c r="L160" s="539"/>
      <c r="M160" s="540"/>
      <c r="N160" s="375"/>
      <c r="O160" s="375"/>
      <c r="P160" s="375"/>
      <c r="Q160" s="375"/>
    </row>
    <row r="161" spans="1:38" ht="13">
      <c r="A161" s="498">
        <f t="shared" si="80"/>
        <v>2</v>
      </c>
      <c r="B161" s="498">
        <f t="shared" si="88"/>
        <v>0</v>
      </c>
      <c r="C161" s="498">
        <f t="shared" si="88"/>
        <v>0</v>
      </c>
      <c r="D161" s="498">
        <f t="shared" si="88"/>
        <v>-6.0000000000000001E-3</v>
      </c>
      <c r="E161" s="498">
        <f t="shared" si="89"/>
        <v>3.0000000000000001E-3</v>
      </c>
      <c r="F161" s="498">
        <f t="shared" si="89"/>
        <v>2.4E-2</v>
      </c>
      <c r="I161" s="375"/>
      <c r="J161" s="1292"/>
      <c r="K161" s="1292"/>
      <c r="L161" s="1292"/>
      <c r="M161" s="1292"/>
      <c r="N161" s="375"/>
      <c r="O161" s="375"/>
      <c r="P161" s="375"/>
      <c r="Q161" s="375"/>
    </row>
    <row r="162" spans="1:38">
      <c r="I162" s="375"/>
      <c r="J162" s="539"/>
      <c r="K162" s="539"/>
      <c r="L162" s="539"/>
      <c r="M162" s="540"/>
      <c r="N162" s="375"/>
      <c r="O162" s="375"/>
      <c r="P162" s="375"/>
      <c r="Q162" s="375"/>
    </row>
    <row r="163" spans="1:38">
      <c r="I163" s="375"/>
      <c r="J163" s="540"/>
      <c r="K163" s="539"/>
      <c r="L163" s="540"/>
      <c r="M163" s="540"/>
      <c r="N163" s="375"/>
      <c r="O163" s="375"/>
      <c r="P163" s="375"/>
      <c r="Q163" s="375"/>
    </row>
    <row r="164" spans="1:38" ht="13" thickBot="1">
      <c r="I164" s="375"/>
      <c r="J164" s="539"/>
      <c r="K164" s="539"/>
      <c r="L164" s="539"/>
      <c r="M164" s="540"/>
      <c r="N164" s="375"/>
      <c r="O164" s="375"/>
      <c r="P164" s="375"/>
      <c r="Q164" s="375"/>
    </row>
    <row r="165" spans="1:38" ht="14">
      <c r="A165" s="518" t="str">
        <f>ID!B75</f>
        <v>Electrical Safety Analyzer, Merek : Fluke, Model : ESA 615, SN : 4670010</v>
      </c>
      <c r="B165" s="558"/>
      <c r="C165" s="558"/>
      <c r="D165" s="558"/>
      <c r="E165" s="558"/>
      <c r="F165" s="558"/>
      <c r="G165" s="558"/>
      <c r="H165" s="558"/>
      <c r="I165" s="558"/>
      <c r="J165" s="558"/>
      <c r="K165" s="559"/>
      <c r="N165" s="560">
        <f>A178</f>
        <v>9</v>
      </c>
      <c r="O165" s="561"/>
      <c r="P165" s="561"/>
      <c r="Q165" s="561"/>
      <c r="R165" s="561"/>
      <c r="S165" s="561"/>
      <c r="T165" s="561"/>
      <c r="U165" s="561"/>
      <c r="V165" s="561"/>
      <c r="W165" s="561"/>
      <c r="X165" s="561"/>
      <c r="Y165" s="562"/>
    </row>
    <row r="166" spans="1:38" ht="14">
      <c r="A166" s="518" t="s">
        <v>377</v>
      </c>
      <c r="B166" s="519"/>
      <c r="C166" s="520"/>
      <c r="D166" s="521"/>
      <c r="E166" s="521"/>
      <c r="F166" s="521"/>
      <c r="G166" s="521"/>
      <c r="H166" s="521"/>
      <c r="I166" s="522">
        <f>C5</f>
        <v>2019</v>
      </c>
      <c r="J166" s="522">
        <f>E5</f>
        <v>2020</v>
      </c>
      <c r="K166" s="523">
        <v>1</v>
      </c>
      <c r="N166" s="524">
        <v>1</v>
      </c>
      <c r="O166" s="525" t="s">
        <v>378</v>
      </c>
      <c r="P166" s="526"/>
      <c r="Q166" s="526"/>
      <c r="R166" s="526"/>
      <c r="S166" s="526"/>
      <c r="T166" s="526"/>
      <c r="U166" s="526"/>
      <c r="V166" s="526"/>
      <c r="W166" s="526"/>
      <c r="X166" s="526"/>
      <c r="Y166" s="527"/>
    </row>
    <row r="167" spans="1:38" ht="14">
      <c r="A167" s="518" t="s">
        <v>379</v>
      </c>
      <c r="B167" s="519"/>
      <c r="C167" s="520"/>
      <c r="D167" s="521"/>
      <c r="E167" s="521"/>
      <c r="F167" s="521"/>
      <c r="G167" s="521"/>
      <c r="H167" s="521"/>
      <c r="I167" s="522">
        <f>K5</f>
        <v>2017</v>
      </c>
      <c r="J167" s="522">
        <f>M5</f>
        <v>2019</v>
      </c>
      <c r="K167" s="523">
        <v>2</v>
      </c>
      <c r="N167" s="524">
        <v>2</v>
      </c>
      <c r="O167" s="525" t="s">
        <v>378</v>
      </c>
      <c r="P167" s="526"/>
      <c r="Q167" s="526"/>
      <c r="R167" s="526"/>
      <c r="S167" s="526"/>
      <c r="T167" s="526"/>
      <c r="U167" s="526"/>
      <c r="V167" s="526"/>
      <c r="W167" s="526"/>
      <c r="X167" s="526"/>
      <c r="Y167" s="527"/>
      <c r="AL167" s="516"/>
    </row>
    <row r="168" spans="1:38" ht="14">
      <c r="A168" s="518" t="s">
        <v>380</v>
      </c>
      <c r="B168" s="519"/>
      <c r="C168" s="520"/>
      <c r="D168" s="521"/>
      <c r="E168" s="521"/>
      <c r="F168" s="521"/>
      <c r="G168" s="521"/>
      <c r="H168" s="521"/>
      <c r="I168" s="522">
        <f>S5</f>
        <v>2018</v>
      </c>
      <c r="J168" s="522">
        <f>U5</f>
        <v>2021</v>
      </c>
      <c r="K168" s="523">
        <v>3</v>
      </c>
      <c r="N168" s="524">
        <v>3</v>
      </c>
      <c r="O168" s="525" t="s">
        <v>378</v>
      </c>
      <c r="P168" s="526"/>
      <c r="Q168" s="526"/>
      <c r="R168" s="526"/>
      <c r="S168" s="526"/>
      <c r="T168" s="526"/>
      <c r="U168" s="526"/>
      <c r="V168" s="526"/>
      <c r="W168" s="526"/>
      <c r="X168" s="526"/>
      <c r="Y168" s="527"/>
      <c r="AL168" s="516"/>
    </row>
    <row r="169" spans="1:38" ht="14">
      <c r="A169" s="518" t="s">
        <v>381</v>
      </c>
      <c r="B169" s="519"/>
      <c r="C169" s="520"/>
      <c r="D169" s="521"/>
      <c r="E169" s="521"/>
      <c r="F169" s="521"/>
      <c r="G169" s="521"/>
      <c r="H169" s="521"/>
      <c r="I169" s="522">
        <f>C36</f>
        <v>2019</v>
      </c>
      <c r="J169" s="522">
        <f>E36</f>
        <v>2021</v>
      </c>
      <c r="K169" s="523">
        <v>4</v>
      </c>
      <c r="N169" s="524">
        <v>4</v>
      </c>
      <c r="O169" s="525" t="s">
        <v>378</v>
      </c>
      <c r="P169" s="526"/>
      <c r="Q169" s="526"/>
      <c r="R169" s="526"/>
      <c r="S169" s="526"/>
      <c r="T169" s="526"/>
      <c r="U169" s="526"/>
      <c r="V169" s="526"/>
      <c r="W169" s="526"/>
      <c r="X169" s="526"/>
      <c r="Y169" s="527"/>
      <c r="AL169" s="516"/>
    </row>
    <row r="170" spans="1:38" ht="14">
      <c r="A170" s="518" t="s">
        <v>382</v>
      </c>
      <c r="B170" s="520"/>
      <c r="C170" s="520"/>
      <c r="D170" s="521"/>
      <c r="E170" s="521"/>
      <c r="F170" s="521"/>
      <c r="G170" s="521"/>
      <c r="H170" s="521"/>
      <c r="I170" s="522">
        <f>K36</f>
        <v>2019</v>
      </c>
      <c r="J170" s="522">
        <f>M36</f>
        <v>2021</v>
      </c>
      <c r="K170" s="523">
        <v>5</v>
      </c>
      <c r="N170" s="524">
        <v>5</v>
      </c>
      <c r="O170" s="525" t="s">
        <v>378</v>
      </c>
      <c r="P170" s="526"/>
      <c r="Q170" s="526"/>
      <c r="R170" s="526"/>
      <c r="S170" s="526"/>
      <c r="T170" s="526"/>
      <c r="U170" s="526"/>
      <c r="V170" s="526"/>
      <c r="W170" s="526"/>
      <c r="X170" s="526"/>
      <c r="Y170" s="527"/>
      <c r="AL170" s="516"/>
    </row>
    <row r="171" spans="1:38" ht="14">
      <c r="A171" s="518" t="s">
        <v>383</v>
      </c>
      <c r="B171" s="520"/>
      <c r="C171" s="520"/>
      <c r="D171" s="521"/>
      <c r="E171" s="521"/>
      <c r="F171" s="521"/>
      <c r="G171" s="521"/>
      <c r="H171" s="521"/>
      <c r="I171" s="522">
        <f>S36</f>
        <v>2018</v>
      </c>
      <c r="J171" s="522">
        <f>U36</f>
        <v>2019</v>
      </c>
      <c r="K171" s="523">
        <v>6</v>
      </c>
      <c r="N171" s="524">
        <v>6</v>
      </c>
      <c r="O171" s="525" t="s">
        <v>378</v>
      </c>
      <c r="P171" s="526"/>
      <c r="Q171" s="526"/>
      <c r="R171" s="526"/>
      <c r="S171" s="526"/>
      <c r="T171" s="526"/>
      <c r="U171" s="526"/>
      <c r="V171" s="526"/>
      <c r="W171" s="526"/>
      <c r="X171" s="526"/>
      <c r="Y171" s="527"/>
      <c r="AL171" s="516"/>
    </row>
    <row r="172" spans="1:38" ht="14">
      <c r="A172" s="518" t="s">
        <v>384</v>
      </c>
      <c r="B172" s="520"/>
      <c r="C172" s="520"/>
      <c r="D172" s="521"/>
      <c r="E172" s="521"/>
      <c r="F172" s="521"/>
      <c r="G172" s="521"/>
      <c r="H172" s="521"/>
      <c r="I172" s="522">
        <f>C67</f>
        <v>2019</v>
      </c>
      <c r="J172" s="522">
        <f>E67</f>
        <v>2020</v>
      </c>
      <c r="K172" s="523">
        <v>7</v>
      </c>
      <c r="N172" s="524">
        <v>7</v>
      </c>
      <c r="O172" s="525" t="s">
        <v>378</v>
      </c>
      <c r="P172" s="526"/>
      <c r="Q172" s="526"/>
      <c r="R172" s="526"/>
      <c r="S172" s="526"/>
      <c r="T172" s="526"/>
      <c r="U172" s="526"/>
      <c r="V172" s="526"/>
      <c r="W172" s="526"/>
      <c r="X172" s="526"/>
      <c r="Y172" s="527"/>
      <c r="AL172" s="516"/>
    </row>
    <row r="173" spans="1:38" ht="14">
      <c r="A173" s="518" t="s">
        <v>385</v>
      </c>
      <c r="B173" s="520"/>
      <c r="C173" s="520"/>
      <c r="D173" s="521"/>
      <c r="E173" s="521"/>
      <c r="F173" s="521"/>
      <c r="G173" s="521"/>
      <c r="H173" s="521"/>
      <c r="I173" s="528">
        <f>K67</f>
        <v>2019</v>
      </c>
      <c r="J173" s="528">
        <f>M67</f>
        <v>2020</v>
      </c>
      <c r="K173" s="523">
        <v>8</v>
      </c>
      <c r="N173" s="524">
        <v>8</v>
      </c>
      <c r="O173" s="525" t="s">
        <v>378</v>
      </c>
      <c r="P173" s="526"/>
      <c r="Q173" s="526"/>
      <c r="R173" s="526"/>
      <c r="S173" s="526"/>
      <c r="T173" s="526"/>
      <c r="U173" s="526"/>
      <c r="V173" s="526"/>
      <c r="W173" s="526"/>
      <c r="X173" s="526"/>
      <c r="Y173" s="527"/>
      <c r="AL173" s="516"/>
    </row>
    <row r="174" spans="1:38" ht="14">
      <c r="A174" s="518" t="s">
        <v>153</v>
      </c>
      <c r="B174" s="520"/>
      <c r="C174" s="520"/>
      <c r="D174" s="521"/>
      <c r="E174" s="521"/>
      <c r="F174" s="521"/>
      <c r="G174" s="521"/>
      <c r="H174" s="521"/>
      <c r="I174" s="528">
        <f>S67</f>
        <v>2019</v>
      </c>
      <c r="J174" s="528">
        <f>U67</f>
        <v>2020</v>
      </c>
      <c r="K174" s="523">
        <v>9</v>
      </c>
      <c r="N174" s="524">
        <v>9</v>
      </c>
      <c r="O174" s="525" t="s">
        <v>378</v>
      </c>
      <c r="P174" s="526"/>
      <c r="Q174" s="526"/>
      <c r="R174" s="526"/>
      <c r="S174" s="526"/>
      <c r="T174" s="526"/>
      <c r="U174" s="526"/>
      <c r="V174" s="526"/>
      <c r="W174" s="526"/>
      <c r="X174" s="526"/>
      <c r="Y174" s="527"/>
      <c r="AL174" s="516"/>
    </row>
    <row r="175" spans="1:38" ht="14">
      <c r="A175" s="518" t="s">
        <v>386</v>
      </c>
      <c r="B175" s="529"/>
      <c r="C175" s="529"/>
      <c r="D175" s="530"/>
      <c r="E175" s="530"/>
      <c r="F175" s="530"/>
      <c r="G175" s="530"/>
      <c r="H175" s="530"/>
      <c r="I175" s="528">
        <f>C98</f>
        <v>2019</v>
      </c>
      <c r="J175" s="528">
        <f>E98</f>
        <v>2020</v>
      </c>
      <c r="K175" s="523">
        <v>10</v>
      </c>
      <c r="L175" s="516"/>
      <c r="M175" s="516"/>
      <c r="N175" s="524">
        <v>10</v>
      </c>
      <c r="O175" s="525" t="s">
        <v>378</v>
      </c>
      <c r="P175" s="531"/>
      <c r="Q175" s="531"/>
      <c r="R175" s="531"/>
      <c r="S175" s="531"/>
      <c r="T175" s="531"/>
      <c r="U175" s="531"/>
      <c r="V175" s="531"/>
      <c r="W175" s="531"/>
      <c r="X175" s="531"/>
      <c r="Y175" s="532"/>
      <c r="AL175" s="516"/>
    </row>
    <row r="176" spans="1:38" ht="14">
      <c r="A176" s="518" t="s">
        <v>387</v>
      </c>
      <c r="B176" s="529"/>
      <c r="C176" s="529"/>
      <c r="D176" s="530"/>
      <c r="E176" s="530"/>
      <c r="F176" s="530"/>
      <c r="G176" s="530"/>
      <c r="H176" s="530"/>
      <c r="I176" s="528">
        <f>K98</f>
        <v>2019</v>
      </c>
      <c r="J176" s="528">
        <f>M98</f>
        <v>2020</v>
      </c>
      <c r="K176" s="523">
        <v>11</v>
      </c>
      <c r="N176" s="524">
        <v>11</v>
      </c>
      <c r="O176" s="525" t="s">
        <v>378</v>
      </c>
      <c r="P176" s="531"/>
      <c r="Q176" s="531"/>
      <c r="R176" s="531"/>
      <c r="S176" s="531"/>
      <c r="T176" s="531"/>
      <c r="U176" s="531"/>
      <c r="V176" s="531"/>
      <c r="W176" s="531"/>
      <c r="X176" s="531"/>
      <c r="Y176" s="532"/>
      <c r="AL176" s="516"/>
    </row>
    <row r="177" spans="1:50" ht="14">
      <c r="A177" s="518" t="s">
        <v>388</v>
      </c>
      <c r="B177" s="529"/>
      <c r="C177" s="529"/>
      <c r="D177" s="530"/>
      <c r="E177" s="530"/>
      <c r="F177" s="530"/>
      <c r="G177" s="530"/>
      <c r="H177" s="530"/>
      <c r="I177" s="528">
        <f>S98</f>
        <v>2019</v>
      </c>
      <c r="J177" s="528">
        <f>U98</f>
        <v>2020</v>
      </c>
      <c r="K177" s="523">
        <v>12</v>
      </c>
      <c r="N177" s="524">
        <v>12</v>
      </c>
      <c r="O177" s="525" t="s">
        <v>378</v>
      </c>
      <c r="P177" s="531"/>
      <c r="Q177" s="531"/>
      <c r="R177" s="531"/>
      <c r="S177" s="531"/>
      <c r="T177" s="531"/>
      <c r="U177" s="531"/>
      <c r="V177" s="531"/>
      <c r="W177" s="531"/>
      <c r="X177" s="531"/>
      <c r="Y177" s="532"/>
      <c r="AL177" s="516"/>
    </row>
    <row r="178" spans="1:50" ht="14.5" thickBot="1">
      <c r="A178" s="518">
        <f>VLOOKUP(A165,A166:K177,11,(FALSE))</f>
        <v>9</v>
      </c>
      <c r="B178" s="919"/>
      <c r="C178" s="919"/>
      <c r="D178" s="919"/>
      <c r="E178" s="919"/>
      <c r="F178" s="919"/>
      <c r="G178" s="919"/>
      <c r="H178" s="919"/>
      <c r="I178" s="919"/>
      <c r="J178" s="919"/>
      <c r="K178" s="919"/>
      <c r="N178" s="533" t="str">
        <f>VLOOKUP(N165,N166:Y177,2,FALSE)</f>
        <v>Hasil pengukuran keselamatan listrik tertelusur ke Satuan Internasional ( SI ) melalui PT. Kaliman</v>
      </c>
      <c r="O178" s="534"/>
      <c r="P178" s="534"/>
      <c r="Q178" s="535"/>
      <c r="R178" s="535"/>
      <c r="S178" s="535"/>
      <c r="T178" s="535"/>
      <c r="U178" s="535"/>
      <c r="V178" s="535"/>
      <c r="W178" s="535"/>
      <c r="X178" s="535"/>
      <c r="Y178" s="536"/>
      <c r="AL178" s="516"/>
    </row>
    <row r="179" spans="1:50">
      <c r="AL179" s="516"/>
    </row>
    <row r="180" spans="1:50">
      <c r="AL180" s="516"/>
    </row>
    <row r="181" spans="1:50">
      <c r="AA181" s="516"/>
      <c r="AB181" s="516"/>
      <c r="AC181" s="516"/>
      <c r="AD181" s="516"/>
      <c r="AE181" s="516"/>
      <c r="AF181" s="516"/>
      <c r="AG181" s="516"/>
      <c r="AH181" s="516"/>
      <c r="AI181" s="516"/>
      <c r="AJ181" s="516"/>
      <c r="AK181" s="516"/>
      <c r="AL181" s="516"/>
      <c r="AM181" s="516"/>
      <c r="AN181" s="516"/>
      <c r="AO181" s="516"/>
      <c r="AP181" s="516"/>
      <c r="AQ181" s="516"/>
      <c r="AR181" s="516"/>
      <c r="AS181" s="516"/>
      <c r="AT181" s="516"/>
      <c r="AU181" s="516"/>
      <c r="AV181" s="516"/>
      <c r="AW181" s="516"/>
      <c r="AX181" s="516"/>
    </row>
    <row r="214" spans="27:31">
      <c r="AA214" s="537"/>
      <c r="AB214" s="375"/>
      <c r="AC214" s="375"/>
      <c r="AD214" s="375"/>
      <c r="AE214" s="375"/>
    </row>
    <row r="215" spans="27:31">
      <c r="AA215" s="537"/>
      <c r="AB215" s="375"/>
      <c r="AC215" s="375"/>
      <c r="AD215" s="375"/>
      <c r="AE215" s="375"/>
    </row>
    <row r="216" spans="27:31">
      <c r="AA216" s="537"/>
      <c r="AB216" s="375"/>
      <c r="AC216" s="375"/>
      <c r="AD216" s="375"/>
      <c r="AE216" s="375"/>
    </row>
    <row r="217" spans="27:31">
      <c r="AA217" s="537"/>
      <c r="AB217" s="375"/>
      <c r="AC217" s="375"/>
      <c r="AD217" s="375"/>
      <c r="AE217" s="375"/>
    </row>
    <row r="218" spans="27:31">
      <c r="AA218" s="537"/>
      <c r="AB218" s="375"/>
      <c r="AC218" s="375"/>
      <c r="AD218" s="375"/>
      <c r="AE218" s="375"/>
    </row>
    <row r="219" spans="27:31" ht="13" thickBot="1">
      <c r="AA219" s="538"/>
      <c r="AB219" s="517"/>
      <c r="AC219" s="517"/>
      <c r="AD219" s="517"/>
      <c r="AE219" s="517"/>
    </row>
  </sheetData>
  <mergeCells count="103">
    <mergeCell ref="A1:W1"/>
    <mergeCell ref="B2:G2"/>
    <mergeCell ref="J2:O2"/>
    <mergeCell ref="R2:W2"/>
    <mergeCell ref="B3:E3"/>
    <mergeCell ref="J3:M3"/>
    <mergeCell ref="R3:U3"/>
    <mergeCell ref="A2:A31"/>
    <mergeCell ref="B20:E20"/>
    <mergeCell ref="J20:M20"/>
    <mergeCell ref="R20:U20"/>
    <mergeCell ref="B26:E26"/>
    <mergeCell ref="J26:M26"/>
    <mergeCell ref="R26:U26"/>
    <mergeCell ref="I2:I31"/>
    <mergeCell ref="Q2:Q31"/>
    <mergeCell ref="B4:E4"/>
    <mergeCell ref="J4:M4"/>
    <mergeCell ref="R4:U4"/>
    <mergeCell ref="B12:E12"/>
    <mergeCell ref="J12:M12"/>
    <mergeCell ref="R12:U12"/>
    <mergeCell ref="R51:U51"/>
    <mergeCell ref="B57:E57"/>
    <mergeCell ref="J57:M57"/>
    <mergeCell ref="R57:U57"/>
    <mergeCell ref="B35:E35"/>
    <mergeCell ref="J35:M35"/>
    <mergeCell ref="R35:U35"/>
    <mergeCell ref="B43:E43"/>
    <mergeCell ref="J43:M43"/>
    <mergeCell ref="R43:U43"/>
    <mergeCell ref="Q33:Q62"/>
    <mergeCell ref="I33:I62"/>
    <mergeCell ref="B51:E51"/>
    <mergeCell ref="J51:M51"/>
    <mergeCell ref="B33:G33"/>
    <mergeCell ref="J33:O33"/>
    <mergeCell ref="R33:W33"/>
    <mergeCell ref="B34:E34"/>
    <mergeCell ref="J34:M34"/>
    <mergeCell ref="R34:U34"/>
    <mergeCell ref="R74:U74"/>
    <mergeCell ref="B82:E82"/>
    <mergeCell ref="J82:M82"/>
    <mergeCell ref="R82:U82"/>
    <mergeCell ref="B64:G64"/>
    <mergeCell ref="J64:O64"/>
    <mergeCell ref="R64:W64"/>
    <mergeCell ref="B65:E65"/>
    <mergeCell ref="R65:U65"/>
    <mergeCell ref="B66:E66"/>
    <mergeCell ref="J66:M66"/>
    <mergeCell ref="R66:U66"/>
    <mergeCell ref="J65:M65"/>
    <mergeCell ref="B74:E74"/>
    <mergeCell ref="J74:M74"/>
    <mergeCell ref="R96:U96"/>
    <mergeCell ref="B97:E97"/>
    <mergeCell ref="J97:M97"/>
    <mergeCell ref="R97:U97"/>
    <mergeCell ref="B88:E88"/>
    <mergeCell ref="J88:M88"/>
    <mergeCell ref="R88:U88"/>
    <mergeCell ref="B95:G95"/>
    <mergeCell ref="J95:O95"/>
    <mergeCell ref="R95:W95"/>
    <mergeCell ref="B96:E96"/>
    <mergeCell ref="J96:M96"/>
    <mergeCell ref="R119:U119"/>
    <mergeCell ref="A132:F132"/>
    <mergeCell ref="A133:F133"/>
    <mergeCell ref="H134:K134"/>
    <mergeCell ref="M134:M136"/>
    <mergeCell ref="N134:N136"/>
    <mergeCell ref="O134:O136"/>
    <mergeCell ref="A134:D134"/>
    <mergeCell ref="B105:E105"/>
    <mergeCell ref="J105:M105"/>
    <mergeCell ref="R105:U105"/>
    <mergeCell ref="B113:E113"/>
    <mergeCell ref="J113:M113"/>
    <mergeCell ref="R113:U113"/>
    <mergeCell ref="B119:E119"/>
    <mergeCell ref="J119:M119"/>
    <mergeCell ref="A33:A62"/>
    <mergeCell ref="Q64:Q93"/>
    <mergeCell ref="I64:I93"/>
    <mergeCell ref="A64:A93"/>
    <mergeCell ref="A95:A124"/>
    <mergeCell ref="I95:I124"/>
    <mergeCell ref="Q95:Q124"/>
    <mergeCell ref="L143:L144"/>
    <mergeCell ref="J161:M161"/>
    <mergeCell ref="A150:D150"/>
    <mergeCell ref="H144:K144"/>
    <mergeCell ref="L156:M156"/>
    <mergeCell ref="A156:D156"/>
    <mergeCell ref="H136:K136"/>
    <mergeCell ref="H138:K138"/>
    <mergeCell ref="A142:D142"/>
    <mergeCell ref="H140:K140"/>
    <mergeCell ref="H142:K142"/>
  </mergeCell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0"/>
  <sheetViews>
    <sheetView workbookViewId="0">
      <selection activeCell="C2" sqref="C2:D2"/>
    </sheetView>
  </sheetViews>
  <sheetFormatPr defaultColWidth="9.1796875" defaultRowHeight="12.5"/>
  <cols>
    <col min="1" max="1" width="9.1796875" style="419"/>
    <col min="2" max="2" width="24.453125" style="419" customWidth="1"/>
    <col min="3" max="3" width="42.1796875" style="419" bestFit="1" customWidth="1"/>
    <col min="4" max="4" width="59" style="419" customWidth="1"/>
    <col min="5" max="16384" width="9.1796875" style="419"/>
  </cols>
  <sheetData>
    <row r="2" spans="1:5">
      <c r="A2" s="954" t="s">
        <v>0</v>
      </c>
      <c r="B2" s="954" t="s">
        <v>1</v>
      </c>
      <c r="C2" s="954" t="s">
        <v>2</v>
      </c>
      <c r="D2" s="954"/>
      <c r="E2" s="955" t="s">
        <v>3</v>
      </c>
    </row>
    <row r="3" spans="1:5">
      <c r="A3" s="954"/>
      <c r="B3" s="954"/>
      <c r="C3" s="420" t="s">
        <v>4</v>
      </c>
      <c r="D3" s="420" t="s">
        <v>5</v>
      </c>
      <c r="E3" s="955"/>
    </row>
    <row r="4" spans="1:5" ht="14">
      <c r="A4" s="420">
        <v>1</v>
      </c>
      <c r="B4" s="421">
        <v>44594</v>
      </c>
      <c r="C4" s="422" t="s">
        <v>6</v>
      </c>
      <c r="D4" s="423" t="s">
        <v>7</v>
      </c>
      <c r="E4" s="424" t="s">
        <v>8</v>
      </c>
    </row>
    <row r="5" spans="1:5" ht="15.5">
      <c r="A5" s="420">
        <v>2</v>
      </c>
      <c r="B5" s="425">
        <v>44610</v>
      </c>
      <c r="C5" s="426" t="s">
        <v>9</v>
      </c>
      <c r="D5" s="427" t="s">
        <v>7</v>
      </c>
      <c r="E5" s="424" t="s">
        <v>8</v>
      </c>
    </row>
    <row r="6" spans="1:5" ht="15.5">
      <c r="A6" s="420">
        <v>3</v>
      </c>
      <c r="B6" s="425" t="s">
        <v>10</v>
      </c>
      <c r="C6" s="426" t="s">
        <v>11</v>
      </c>
      <c r="D6" s="427" t="s">
        <v>12</v>
      </c>
      <c r="E6" s="470" t="s">
        <v>8</v>
      </c>
    </row>
    <row r="7" spans="1:5" ht="15.5">
      <c r="A7" s="420">
        <v>4</v>
      </c>
      <c r="B7" s="425" t="s">
        <v>13</v>
      </c>
      <c r="C7" s="672" t="s">
        <v>14</v>
      </c>
      <c r="D7" s="427" t="s">
        <v>12</v>
      </c>
      <c r="E7" s="470" t="s">
        <v>15</v>
      </c>
    </row>
    <row r="8" spans="1:5" ht="15.5">
      <c r="A8" s="420">
        <v>5</v>
      </c>
      <c r="B8" s="425">
        <v>44632</v>
      </c>
      <c r="C8" s="426" t="s">
        <v>16</v>
      </c>
      <c r="D8" s="427" t="s">
        <v>12</v>
      </c>
      <c r="E8" s="470" t="s">
        <v>15</v>
      </c>
    </row>
    <row r="9" spans="1:5" ht="15.5">
      <c r="A9" s="420"/>
      <c r="B9" s="425"/>
      <c r="C9" s="426"/>
      <c r="D9" s="427"/>
      <c r="E9" s="424"/>
    </row>
    <row r="10" spans="1:5" ht="15.5">
      <c r="A10" s="420"/>
      <c r="B10" s="425"/>
      <c r="C10" s="426"/>
      <c r="D10" s="427"/>
      <c r="E10" s="424"/>
    </row>
    <row r="80" spans="1:1">
      <c r="A80" s="428" t="s">
        <v>17</v>
      </c>
    </row>
  </sheetData>
  <sheetProtection algorithmName="SHA-512" hashValue="bzhk3P5AQZdcKLDth8qfvviH/V7c742XYeIwAt+9w8r2OwSBhAuLq3QmGMYY/AM18pVxuzSlTsDxp+lQ33tObg==" saltValue="Q1NEHW3xflDpmfZf//sKEw==" spinCount="100000" sheet="1" objects="1" scenarios="1"/>
  <mergeCells count="4">
    <mergeCell ref="A2:A3"/>
    <mergeCell ref="B2:B3"/>
    <mergeCell ref="C2:D2"/>
    <mergeCell ref="E2:E3"/>
  </mergeCells>
  <phoneticPr fontId="4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73"/>
  <sheetViews>
    <sheetView showGridLines="0" view="pageBreakPreview" topLeftCell="B22" zoomScaleNormal="100" zoomScaleSheetLayoutView="100" workbookViewId="0">
      <selection activeCell="T45" sqref="T45"/>
    </sheetView>
  </sheetViews>
  <sheetFormatPr defaultColWidth="9.1796875" defaultRowHeight="13"/>
  <cols>
    <col min="1" max="1" width="2.1796875" style="230" customWidth="1"/>
    <col min="2" max="2" width="3.54296875" style="384" customWidth="1"/>
    <col min="3" max="3" width="12" style="384" customWidth="1"/>
    <col min="4" max="4" width="11.1796875" style="384" customWidth="1"/>
    <col min="5" max="5" width="3.453125" style="384" customWidth="1"/>
    <col min="6" max="6" width="9.453125" style="384" customWidth="1"/>
    <col min="7" max="7" width="6.81640625" style="384" customWidth="1"/>
    <col min="8" max="8" width="5.7265625" style="384" customWidth="1"/>
    <col min="9" max="9" width="6.453125" style="384" customWidth="1"/>
    <col min="10" max="10" width="8.1796875" style="384" customWidth="1"/>
    <col min="11" max="11" width="6.26953125" style="384" customWidth="1"/>
    <col min="12" max="12" width="8.54296875" style="384" customWidth="1"/>
    <col min="13" max="13" width="6.81640625" style="384" customWidth="1"/>
    <col min="14" max="14" width="8.26953125" style="384" customWidth="1"/>
    <col min="15" max="15" width="12.453125" style="384" customWidth="1"/>
    <col min="16" max="16" width="4.81640625" style="230" customWidth="1"/>
    <col min="17" max="16384" width="9.1796875" style="230"/>
  </cols>
  <sheetData>
    <row r="1" spans="2:15" ht="15.5">
      <c r="B1" s="1002" t="s">
        <v>18</v>
      </c>
      <c r="C1" s="1002"/>
      <c r="D1" s="1002"/>
      <c r="E1" s="1002"/>
      <c r="F1" s="1002"/>
      <c r="G1" s="1002"/>
      <c r="H1" s="1002"/>
      <c r="I1" s="1002"/>
      <c r="J1" s="1002"/>
      <c r="K1" s="1002"/>
      <c r="L1" s="1002"/>
      <c r="M1" s="1002"/>
      <c r="N1" s="1002"/>
      <c r="O1" s="1002"/>
    </row>
    <row r="2" spans="2:15" ht="14">
      <c r="B2" s="1003" t="s">
        <v>19</v>
      </c>
      <c r="C2" s="1003"/>
      <c r="D2" s="1003"/>
      <c r="E2" s="1003"/>
      <c r="F2" s="1003"/>
      <c r="G2" s="1003"/>
      <c r="H2" s="1003"/>
      <c r="I2" s="1003"/>
      <c r="J2" s="1003"/>
      <c r="K2" s="1003"/>
      <c r="L2" s="1003"/>
      <c r="M2" s="1003"/>
      <c r="N2" s="1003"/>
      <c r="O2" s="1003"/>
    </row>
    <row r="3" spans="2:15" ht="6" customHeight="1"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2:15" ht="14">
      <c r="B4" s="380" t="s">
        <v>20</v>
      </c>
      <c r="C4" s="380"/>
      <c r="D4" s="380"/>
      <c r="E4" s="380"/>
      <c r="F4" s="380"/>
      <c r="G4" s="381" t="s">
        <v>21</v>
      </c>
      <c r="H4" s="380" t="s">
        <v>22</v>
      </c>
      <c r="I4" s="380"/>
      <c r="J4" s="380"/>
      <c r="K4" s="380"/>
      <c r="L4" s="380"/>
      <c r="M4" s="380"/>
      <c r="N4" s="380"/>
      <c r="O4" s="380"/>
    </row>
    <row r="5" spans="2:15" ht="14">
      <c r="B5" s="380" t="s">
        <v>23</v>
      </c>
      <c r="C5" s="380"/>
      <c r="D5" s="380"/>
      <c r="E5" s="380"/>
      <c r="F5" s="380"/>
      <c r="G5" s="381" t="s">
        <v>21</v>
      </c>
      <c r="H5" s="380" t="s">
        <v>22</v>
      </c>
      <c r="I5" s="380"/>
      <c r="J5" s="380"/>
      <c r="K5" s="380"/>
      <c r="L5" s="380"/>
      <c r="M5" s="380"/>
      <c r="N5" s="380"/>
      <c r="O5" s="380"/>
    </row>
    <row r="6" spans="2:15" ht="14">
      <c r="B6" s="380" t="s">
        <v>24</v>
      </c>
      <c r="C6" s="380"/>
      <c r="D6" s="380"/>
      <c r="E6" s="380"/>
      <c r="F6" s="380"/>
      <c r="G6" s="381" t="s">
        <v>21</v>
      </c>
      <c r="H6" s="380" t="s">
        <v>22</v>
      </c>
      <c r="I6" s="380"/>
      <c r="J6" s="380"/>
      <c r="K6" s="380"/>
      <c r="L6" s="380"/>
      <c r="M6" s="380"/>
      <c r="N6" s="380"/>
      <c r="O6" s="380"/>
    </row>
    <row r="7" spans="2:15" ht="14">
      <c r="B7" s="380" t="s">
        <v>25</v>
      </c>
      <c r="C7" s="380"/>
      <c r="D7" s="380"/>
      <c r="E7" s="380"/>
      <c r="F7" s="380"/>
      <c r="G7" s="381" t="s">
        <v>21</v>
      </c>
      <c r="H7" s="380" t="s">
        <v>22</v>
      </c>
      <c r="I7" s="380"/>
      <c r="J7" s="380"/>
      <c r="K7" s="380"/>
      <c r="L7" s="380"/>
      <c r="M7" s="380"/>
      <c r="N7" s="380"/>
      <c r="O7" s="380"/>
    </row>
    <row r="8" spans="2:15" ht="14">
      <c r="B8" s="380" t="s">
        <v>26</v>
      </c>
      <c r="C8" s="380"/>
      <c r="D8" s="380"/>
      <c r="E8" s="380"/>
      <c r="F8" s="380"/>
      <c r="G8" s="381" t="s">
        <v>21</v>
      </c>
      <c r="H8" s="380" t="s">
        <v>22</v>
      </c>
      <c r="I8" s="380"/>
      <c r="J8" s="380"/>
      <c r="K8" s="380"/>
      <c r="L8" s="380"/>
      <c r="M8" s="380"/>
      <c r="N8" s="380"/>
      <c r="O8" s="380"/>
    </row>
    <row r="9" spans="2:15" ht="14">
      <c r="B9" s="380" t="s">
        <v>27</v>
      </c>
      <c r="C9" s="380"/>
      <c r="D9" s="380"/>
      <c r="E9" s="380"/>
      <c r="F9" s="380"/>
      <c r="G9" s="381" t="s">
        <v>21</v>
      </c>
      <c r="H9" s="380" t="s">
        <v>22</v>
      </c>
      <c r="I9" s="380"/>
      <c r="J9" s="380"/>
      <c r="K9" s="380"/>
      <c r="L9" s="380"/>
      <c r="M9" s="380"/>
      <c r="N9" s="380"/>
      <c r="O9" s="380"/>
    </row>
    <row r="10" spans="2:15" ht="14">
      <c r="B10" s="380" t="s">
        <v>28</v>
      </c>
      <c r="C10" s="380"/>
      <c r="D10" s="380"/>
      <c r="E10" s="380"/>
      <c r="F10" s="380"/>
      <c r="G10" s="381" t="s">
        <v>21</v>
      </c>
      <c r="H10" s="380" t="s">
        <v>22</v>
      </c>
      <c r="I10" s="380"/>
      <c r="J10" s="380"/>
      <c r="K10" s="380"/>
      <c r="L10" s="380"/>
      <c r="M10" s="380"/>
      <c r="N10" s="380"/>
      <c r="O10" s="380"/>
    </row>
    <row r="11" spans="2:15" ht="14">
      <c r="B11" s="380" t="s">
        <v>29</v>
      </c>
      <c r="C11" s="380"/>
      <c r="D11" s="380"/>
      <c r="E11" s="380"/>
      <c r="F11" s="380"/>
      <c r="G11" s="381" t="s">
        <v>21</v>
      </c>
      <c r="H11" s="380" t="s">
        <v>30</v>
      </c>
      <c r="I11" s="380"/>
      <c r="J11" s="380"/>
      <c r="K11" s="380"/>
      <c r="L11" s="380"/>
      <c r="M11" s="380"/>
      <c r="N11" s="380"/>
      <c r="O11" s="380"/>
    </row>
    <row r="12" spans="2:15" ht="14">
      <c r="B12" s="380"/>
      <c r="C12" s="380"/>
      <c r="D12" s="380"/>
      <c r="E12" s="380"/>
      <c r="F12" s="380"/>
      <c r="G12" s="381"/>
      <c r="H12" s="380"/>
      <c r="I12" s="380"/>
      <c r="J12" s="380"/>
      <c r="K12" s="380"/>
      <c r="L12" s="380"/>
      <c r="M12" s="380"/>
      <c r="N12" s="380"/>
      <c r="O12" s="380"/>
    </row>
    <row r="13" spans="2:15" ht="14">
      <c r="B13" s="382" t="s">
        <v>31</v>
      </c>
      <c r="C13" s="382" t="s">
        <v>32</v>
      </c>
      <c r="D13" s="380"/>
      <c r="E13" s="380"/>
      <c r="F13" s="380"/>
      <c r="G13" s="381"/>
      <c r="H13" s="1004" t="s">
        <v>33</v>
      </c>
      <c r="I13" s="1005"/>
      <c r="J13" s="1006" t="s">
        <v>34</v>
      </c>
      <c r="K13" s="1006"/>
      <c r="L13" s="383"/>
      <c r="M13" s="117"/>
      <c r="N13" s="230"/>
      <c r="O13" s="380"/>
    </row>
    <row r="14" spans="2:15" ht="14">
      <c r="B14" s="380"/>
      <c r="C14" s="380" t="s">
        <v>35</v>
      </c>
      <c r="D14" s="382"/>
      <c r="E14" s="382"/>
      <c r="F14" s="382"/>
      <c r="G14" s="381" t="s">
        <v>21</v>
      </c>
      <c r="H14" s="985"/>
      <c r="I14" s="986"/>
      <c r="J14" s="987"/>
      <c r="K14" s="987"/>
      <c r="L14" s="117" t="s">
        <v>36</v>
      </c>
      <c r="N14" s="230"/>
      <c r="O14" s="380"/>
    </row>
    <row r="15" spans="2:15" ht="14.25" customHeight="1">
      <c r="B15" s="380"/>
      <c r="C15" s="380" t="s">
        <v>37</v>
      </c>
      <c r="D15" s="380"/>
      <c r="E15" s="380"/>
      <c r="F15" s="380"/>
      <c r="G15" s="381" t="s">
        <v>21</v>
      </c>
      <c r="H15" s="985"/>
      <c r="I15" s="986"/>
      <c r="J15" s="987"/>
      <c r="K15" s="987"/>
      <c r="L15" s="117" t="s">
        <v>38</v>
      </c>
      <c r="N15" s="230"/>
      <c r="O15" s="380"/>
    </row>
    <row r="16" spans="2:15" ht="14.25" customHeight="1">
      <c r="B16" s="380"/>
      <c r="C16" s="117" t="s">
        <v>39</v>
      </c>
      <c r="D16" s="117"/>
      <c r="E16" s="385"/>
      <c r="F16" s="117"/>
      <c r="G16" s="381" t="s">
        <v>21</v>
      </c>
      <c r="H16" s="985"/>
      <c r="I16" s="986"/>
      <c r="J16" s="986"/>
      <c r="K16" s="988"/>
      <c r="L16" s="143" t="s">
        <v>40</v>
      </c>
      <c r="N16" s="230"/>
      <c r="O16" s="230"/>
    </row>
    <row r="17" spans="2:16" ht="14">
      <c r="B17" s="380"/>
      <c r="C17" s="380"/>
      <c r="D17" s="380"/>
      <c r="E17" s="380"/>
      <c r="F17" s="380"/>
      <c r="G17" s="380"/>
      <c r="H17" s="380"/>
      <c r="I17" s="386"/>
      <c r="J17" s="386"/>
      <c r="K17" s="386"/>
      <c r="L17" s="386"/>
      <c r="M17" s="386"/>
      <c r="N17" s="117"/>
      <c r="O17" s="380"/>
    </row>
    <row r="18" spans="2:16" ht="14">
      <c r="B18" s="382" t="s">
        <v>41</v>
      </c>
      <c r="C18" s="382" t="s">
        <v>42</v>
      </c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</row>
    <row r="19" spans="2:16" ht="15" customHeight="1">
      <c r="B19" s="380"/>
      <c r="C19" s="380" t="s">
        <v>43</v>
      </c>
      <c r="D19" s="382"/>
      <c r="E19" s="382"/>
      <c r="F19" s="380"/>
      <c r="G19" s="381" t="s">
        <v>21</v>
      </c>
      <c r="H19" s="380" t="s">
        <v>44</v>
      </c>
      <c r="I19" s="380"/>
      <c r="J19" s="380"/>
      <c r="K19" s="380"/>
      <c r="L19" s="989" t="s">
        <v>45</v>
      </c>
      <c r="M19" s="989"/>
      <c r="N19" s="989"/>
      <c r="O19" s="387"/>
      <c r="P19" s="387"/>
    </row>
    <row r="20" spans="2:16" ht="14">
      <c r="B20" s="380"/>
      <c r="C20" s="380" t="s">
        <v>46</v>
      </c>
      <c r="D20" s="380"/>
      <c r="E20" s="380"/>
      <c r="F20" s="380"/>
      <c r="G20" s="381" t="s">
        <v>21</v>
      </c>
      <c r="H20" s="380" t="s">
        <v>44</v>
      </c>
      <c r="I20" s="380"/>
      <c r="J20" s="380"/>
      <c r="K20" s="380"/>
      <c r="L20" s="989"/>
      <c r="M20" s="989"/>
      <c r="N20" s="989"/>
      <c r="O20" s="387"/>
      <c r="P20" s="387"/>
    </row>
    <row r="21" spans="2:16" ht="8.25" customHeight="1">
      <c r="B21" s="382"/>
      <c r="C21" s="382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</row>
    <row r="22" spans="2:16" ht="14">
      <c r="B22" s="382" t="s">
        <v>47</v>
      </c>
      <c r="C22" s="382" t="s">
        <v>48</v>
      </c>
      <c r="D22" s="380"/>
      <c r="E22" s="380"/>
      <c r="F22" s="380"/>
      <c r="G22" s="380"/>
      <c r="H22" s="380"/>
      <c r="I22" s="380"/>
      <c r="J22" s="380"/>
      <c r="K22" s="380"/>
      <c r="L22" s="388"/>
      <c r="M22" s="388"/>
      <c r="N22" s="380"/>
      <c r="O22" s="380"/>
    </row>
    <row r="23" spans="2:16" ht="8.25" customHeight="1">
      <c r="B23" s="382"/>
      <c r="C23" s="382"/>
      <c r="D23" s="380"/>
      <c r="E23" s="380"/>
      <c r="F23" s="380"/>
      <c r="G23" s="380"/>
      <c r="H23" s="380"/>
      <c r="I23" s="380"/>
      <c r="J23" s="380"/>
      <c r="K23" s="380"/>
      <c r="L23" s="388"/>
      <c r="M23" s="388"/>
      <c r="N23" s="380"/>
      <c r="O23" s="380"/>
    </row>
    <row r="24" spans="2:16" ht="15.75" customHeight="1">
      <c r="B24" s="990" t="s">
        <v>49</v>
      </c>
      <c r="C24" s="992" t="s">
        <v>50</v>
      </c>
      <c r="D24" s="993"/>
      <c r="E24" s="993"/>
      <c r="F24" s="993"/>
      <c r="G24" s="993"/>
      <c r="H24" s="993"/>
      <c r="I24" s="993"/>
      <c r="J24" s="993"/>
      <c r="K24" s="994"/>
      <c r="L24" s="998" t="s">
        <v>51</v>
      </c>
      <c r="M24" s="999"/>
      <c r="N24" s="998" t="s">
        <v>52</v>
      </c>
      <c r="O24" s="999"/>
      <c r="P24" s="389"/>
    </row>
    <row r="25" spans="2:16" ht="15.75" customHeight="1">
      <c r="B25" s="991"/>
      <c r="C25" s="995"/>
      <c r="D25" s="996"/>
      <c r="E25" s="996"/>
      <c r="F25" s="996"/>
      <c r="G25" s="996"/>
      <c r="H25" s="996"/>
      <c r="I25" s="996"/>
      <c r="J25" s="996"/>
      <c r="K25" s="997"/>
      <c r="L25" s="1000"/>
      <c r="M25" s="1001"/>
      <c r="N25" s="1000"/>
      <c r="O25" s="1001"/>
      <c r="P25" s="389"/>
    </row>
    <row r="26" spans="2:16" ht="19.5" customHeight="1">
      <c r="B26" s="125">
        <v>1</v>
      </c>
      <c r="C26" s="982" t="s">
        <v>53</v>
      </c>
      <c r="D26" s="983"/>
      <c r="E26" s="983"/>
      <c r="F26" s="983"/>
      <c r="G26" s="983"/>
      <c r="H26" s="983"/>
      <c r="I26" s="983"/>
      <c r="J26" s="983"/>
      <c r="K26" s="984"/>
      <c r="L26" s="390"/>
      <c r="M26" s="391" t="s">
        <v>54</v>
      </c>
      <c r="N26" s="392" t="s">
        <v>55</v>
      </c>
      <c r="O26" s="393" t="s">
        <v>54</v>
      </c>
      <c r="P26" s="394"/>
    </row>
    <row r="27" spans="2:16" ht="19.5" customHeight="1">
      <c r="B27" s="125">
        <v>2</v>
      </c>
      <c r="C27" s="982" t="s">
        <v>56</v>
      </c>
      <c r="D27" s="983"/>
      <c r="E27" s="983"/>
      <c r="F27" s="983"/>
      <c r="G27" s="983"/>
      <c r="H27" s="983"/>
      <c r="I27" s="983"/>
      <c r="J27" s="983"/>
      <c r="K27" s="984"/>
      <c r="L27" s="390"/>
      <c r="M27" s="391" t="s">
        <v>57</v>
      </c>
      <c r="N27" s="392" t="s">
        <v>58</v>
      </c>
      <c r="O27" s="393" t="s">
        <v>57</v>
      </c>
      <c r="P27" s="394"/>
    </row>
    <row r="28" spans="2:16" ht="19.5" customHeight="1">
      <c r="B28" s="125">
        <v>3</v>
      </c>
      <c r="C28" s="982" t="s">
        <v>59</v>
      </c>
      <c r="D28" s="983"/>
      <c r="E28" s="983"/>
      <c r="F28" s="983"/>
      <c r="G28" s="983"/>
      <c r="H28" s="983"/>
      <c r="I28" s="983"/>
      <c r="J28" s="983"/>
      <c r="K28" s="984"/>
      <c r="L28" s="390"/>
      <c r="M28" s="391" t="s">
        <v>57</v>
      </c>
      <c r="N28" s="392" t="s">
        <v>60</v>
      </c>
      <c r="O28" s="393" t="s">
        <v>57</v>
      </c>
      <c r="P28" s="394"/>
    </row>
    <row r="29" spans="2:16" ht="19.5" customHeight="1">
      <c r="B29" s="125">
        <v>4</v>
      </c>
      <c r="C29" s="982" t="s">
        <v>61</v>
      </c>
      <c r="D29" s="983"/>
      <c r="E29" s="983"/>
      <c r="F29" s="983"/>
      <c r="G29" s="983"/>
      <c r="H29" s="983"/>
      <c r="I29" s="983"/>
      <c r="J29" s="983"/>
      <c r="K29" s="984"/>
      <c r="L29" s="390"/>
      <c r="M29" s="391" t="s">
        <v>62</v>
      </c>
      <c r="N29" s="392" t="s">
        <v>63</v>
      </c>
      <c r="O29" s="393" t="s">
        <v>62</v>
      </c>
      <c r="P29" s="394"/>
    </row>
    <row r="30" spans="2:16" ht="19.5" customHeight="1">
      <c r="B30" s="125">
        <v>5</v>
      </c>
      <c r="C30" s="982" t="s">
        <v>64</v>
      </c>
      <c r="D30" s="983"/>
      <c r="E30" s="983"/>
      <c r="F30" s="983"/>
      <c r="G30" s="983"/>
      <c r="H30" s="983"/>
      <c r="I30" s="983"/>
      <c r="J30" s="983"/>
      <c r="K30" s="984"/>
      <c r="L30" s="390"/>
      <c r="M30" s="391" t="s">
        <v>62</v>
      </c>
      <c r="N30" s="392" t="s">
        <v>65</v>
      </c>
      <c r="O30" s="393" t="s">
        <v>62</v>
      </c>
      <c r="P30" s="394"/>
    </row>
    <row r="31" spans="2:16" ht="19.5" customHeight="1">
      <c r="B31" s="125">
        <v>6</v>
      </c>
      <c r="C31" s="982" t="s">
        <v>66</v>
      </c>
      <c r="D31" s="983"/>
      <c r="E31" s="983"/>
      <c r="F31" s="983"/>
      <c r="G31" s="983"/>
      <c r="H31" s="983"/>
      <c r="I31" s="983"/>
      <c r="J31" s="983"/>
      <c r="K31" s="984"/>
      <c r="L31" s="390"/>
      <c r="M31" s="391" t="s">
        <v>62</v>
      </c>
      <c r="N31" s="392" t="s">
        <v>67</v>
      </c>
      <c r="O31" s="393" t="s">
        <v>62</v>
      </c>
      <c r="P31" s="394"/>
    </row>
    <row r="32" spans="2:16" ht="15" customHeight="1">
      <c r="B32" s="395"/>
      <c r="C32" s="117"/>
      <c r="D32" s="117"/>
      <c r="E32" s="117"/>
      <c r="F32" s="117"/>
      <c r="G32" s="117"/>
      <c r="H32" s="143"/>
      <c r="I32" s="143"/>
      <c r="J32" s="396"/>
      <c r="K32" s="396"/>
      <c r="L32" s="117"/>
      <c r="M32" s="117"/>
      <c r="N32" s="397" t="s">
        <v>68</v>
      </c>
      <c r="O32" s="398" t="s">
        <v>69</v>
      </c>
      <c r="P32" s="143"/>
    </row>
    <row r="33" spans="2:16" ht="15.75" customHeight="1">
      <c r="B33" s="395"/>
      <c r="C33" s="117"/>
      <c r="D33" s="117"/>
      <c r="E33" s="117"/>
      <c r="F33" s="117"/>
      <c r="G33" s="117"/>
      <c r="H33" s="143"/>
      <c r="I33" s="143"/>
      <c r="J33" s="396"/>
      <c r="K33" s="396"/>
      <c r="L33" s="117"/>
      <c r="M33" s="117"/>
      <c r="N33" s="399" t="s">
        <v>70</v>
      </c>
      <c r="O33" s="398" t="s">
        <v>69</v>
      </c>
      <c r="P33" s="143"/>
    </row>
    <row r="34" spans="2:16" ht="14">
      <c r="B34" s="400" t="s">
        <v>71</v>
      </c>
      <c r="C34" s="400" t="s">
        <v>72</v>
      </c>
      <c r="D34" s="400"/>
      <c r="E34" s="400"/>
      <c r="F34" s="401"/>
      <c r="G34" s="401"/>
      <c r="H34" s="401"/>
      <c r="I34" s="401"/>
      <c r="J34" s="401"/>
      <c r="K34" s="401"/>
      <c r="L34" s="401"/>
      <c r="M34" s="380"/>
      <c r="N34" s="380"/>
      <c r="O34" s="380"/>
    </row>
    <row r="35" spans="2:16" ht="14">
      <c r="B35" s="974" t="s">
        <v>0</v>
      </c>
      <c r="C35" s="974" t="s">
        <v>50</v>
      </c>
      <c r="D35" s="402" t="s">
        <v>73</v>
      </c>
      <c r="E35" s="977" t="s">
        <v>74</v>
      </c>
      <c r="F35" s="977"/>
      <c r="G35" s="977"/>
      <c r="H35" s="977"/>
      <c r="I35" s="977"/>
      <c r="J35" s="977"/>
      <c r="K35" s="977"/>
      <c r="L35" s="977"/>
      <c r="M35" s="977"/>
      <c r="N35" s="977"/>
      <c r="O35" s="974" t="s">
        <v>75</v>
      </c>
    </row>
    <row r="36" spans="2:16" ht="14">
      <c r="B36" s="975"/>
      <c r="C36" s="975"/>
      <c r="D36" s="403" t="s">
        <v>76</v>
      </c>
      <c r="E36" s="977" t="s">
        <v>77</v>
      </c>
      <c r="F36" s="977"/>
      <c r="G36" s="977" t="s">
        <v>78</v>
      </c>
      <c r="H36" s="977"/>
      <c r="I36" s="977" t="s">
        <v>79</v>
      </c>
      <c r="J36" s="977"/>
      <c r="K36" s="977" t="s">
        <v>80</v>
      </c>
      <c r="L36" s="977"/>
      <c r="M36" s="978" t="s">
        <v>40</v>
      </c>
      <c r="N36" s="979"/>
      <c r="O36" s="975"/>
    </row>
    <row r="37" spans="2:16" ht="14">
      <c r="B37" s="976"/>
      <c r="C37" s="976"/>
      <c r="D37" s="403" t="s">
        <v>81</v>
      </c>
      <c r="E37" s="977"/>
      <c r="F37" s="977"/>
      <c r="G37" s="977"/>
      <c r="H37" s="977"/>
      <c r="I37" s="977"/>
      <c r="J37" s="977"/>
      <c r="K37" s="977"/>
      <c r="L37" s="977"/>
      <c r="M37" s="980"/>
      <c r="N37" s="981"/>
      <c r="O37" s="976"/>
    </row>
    <row r="38" spans="2:16" ht="19.5" customHeight="1">
      <c r="B38" s="404">
        <v>1</v>
      </c>
      <c r="C38" s="967" t="s">
        <v>82</v>
      </c>
      <c r="D38" s="404"/>
      <c r="E38" s="960"/>
      <c r="F38" s="961"/>
      <c r="G38" s="960"/>
      <c r="H38" s="961"/>
      <c r="I38" s="962"/>
      <c r="J38" s="963"/>
      <c r="K38" s="972"/>
      <c r="L38" s="973"/>
      <c r="M38" s="959"/>
      <c r="N38" s="959"/>
      <c r="O38" s="964" t="s">
        <v>83</v>
      </c>
    </row>
    <row r="39" spans="2:16" ht="19.5" customHeight="1">
      <c r="B39" s="404">
        <v>2</v>
      </c>
      <c r="C39" s="970"/>
      <c r="D39" s="404"/>
      <c r="E39" s="960"/>
      <c r="F39" s="961"/>
      <c r="G39" s="960"/>
      <c r="H39" s="961"/>
      <c r="I39" s="962"/>
      <c r="J39" s="963"/>
      <c r="K39" s="958"/>
      <c r="L39" s="958"/>
      <c r="M39" s="959"/>
      <c r="N39" s="959"/>
      <c r="O39" s="965"/>
    </row>
    <row r="40" spans="2:16" ht="19.5" customHeight="1">
      <c r="B40" s="404">
        <v>3</v>
      </c>
      <c r="C40" s="970"/>
      <c r="D40" s="404"/>
      <c r="E40" s="960"/>
      <c r="F40" s="961"/>
      <c r="G40" s="960"/>
      <c r="H40" s="961"/>
      <c r="I40" s="962"/>
      <c r="J40" s="963"/>
      <c r="K40" s="958"/>
      <c r="L40" s="958"/>
      <c r="M40" s="959"/>
      <c r="N40" s="959"/>
      <c r="O40" s="965"/>
    </row>
    <row r="41" spans="2:16" ht="19.5" customHeight="1">
      <c r="B41" s="404">
        <v>4</v>
      </c>
      <c r="C41" s="970"/>
      <c r="D41" s="404"/>
      <c r="E41" s="960"/>
      <c r="F41" s="961"/>
      <c r="G41" s="960"/>
      <c r="H41" s="961"/>
      <c r="I41" s="962"/>
      <c r="J41" s="963"/>
      <c r="K41" s="958"/>
      <c r="L41" s="958"/>
      <c r="M41" s="959"/>
      <c r="N41" s="959"/>
      <c r="O41" s="965"/>
    </row>
    <row r="42" spans="2:16" ht="19.5" customHeight="1">
      <c r="B42" s="404">
        <v>5</v>
      </c>
      <c r="C42" s="971"/>
      <c r="D42" s="404"/>
      <c r="E42" s="960"/>
      <c r="F42" s="961"/>
      <c r="G42" s="960"/>
      <c r="H42" s="961"/>
      <c r="I42" s="962"/>
      <c r="J42" s="963"/>
      <c r="K42" s="958"/>
      <c r="L42" s="958"/>
      <c r="M42" s="959"/>
      <c r="N42" s="959"/>
      <c r="O42" s="966"/>
    </row>
    <row r="43" spans="2:16" ht="19.5" customHeight="1">
      <c r="B43" s="404">
        <v>1</v>
      </c>
      <c r="C43" s="967" t="s">
        <v>84</v>
      </c>
      <c r="D43" s="404"/>
      <c r="E43" s="960"/>
      <c r="F43" s="961"/>
      <c r="G43" s="960"/>
      <c r="H43" s="961"/>
      <c r="I43" s="962"/>
      <c r="J43" s="963"/>
      <c r="K43" s="958"/>
      <c r="L43" s="958"/>
      <c r="M43" s="959"/>
      <c r="N43" s="959"/>
      <c r="O43" s="964" t="s">
        <v>83</v>
      </c>
    </row>
    <row r="44" spans="2:16" ht="19.5" customHeight="1">
      <c r="B44" s="404">
        <v>2</v>
      </c>
      <c r="C44" s="968"/>
      <c r="D44" s="404"/>
      <c r="E44" s="960"/>
      <c r="F44" s="961"/>
      <c r="G44" s="960"/>
      <c r="H44" s="961"/>
      <c r="I44" s="962"/>
      <c r="J44" s="963"/>
      <c r="K44" s="958"/>
      <c r="L44" s="958"/>
      <c r="M44" s="959"/>
      <c r="N44" s="959"/>
      <c r="O44" s="965"/>
    </row>
    <row r="45" spans="2:16" ht="19.5" customHeight="1">
      <c r="B45" s="404">
        <v>3</v>
      </c>
      <c r="C45" s="968"/>
      <c r="D45" s="404"/>
      <c r="E45" s="960"/>
      <c r="F45" s="961"/>
      <c r="G45" s="960"/>
      <c r="H45" s="961"/>
      <c r="I45" s="962"/>
      <c r="J45" s="963"/>
      <c r="K45" s="958"/>
      <c r="L45" s="958"/>
      <c r="M45" s="959"/>
      <c r="N45" s="959"/>
      <c r="O45" s="965"/>
    </row>
    <row r="46" spans="2:16" ht="19.5" customHeight="1">
      <c r="B46" s="404">
        <v>4</v>
      </c>
      <c r="C46" s="968"/>
      <c r="D46" s="404"/>
      <c r="E46" s="960"/>
      <c r="F46" s="961"/>
      <c r="G46" s="960"/>
      <c r="H46" s="961"/>
      <c r="I46" s="962"/>
      <c r="J46" s="963"/>
      <c r="K46" s="958"/>
      <c r="L46" s="958"/>
      <c r="M46" s="959"/>
      <c r="N46" s="959"/>
      <c r="O46" s="965"/>
    </row>
    <row r="47" spans="2:16" ht="19.5" customHeight="1">
      <c r="B47" s="404">
        <v>5</v>
      </c>
      <c r="C47" s="969"/>
      <c r="D47" s="404"/>
      <c r="E47" s="960"/>
      <c r="F47" s="961"/>
      <c r="G47" s="960"/>
      <c r="H47" s="961"/>
      <c r="I47" s="962"/>
      <c r="J47" s="963"/>
      <c r="K47" s="958"/>
      <c r="L47" s="958"/>
      <c r="M47" s="959"/>
      <c r="N47" s="959"/>
      <c r="O47" s="966"/>
    </row>
    <row r="48" spans="2:16" ht="14">
      <c r="B48" s="382"/>
      <c r="C48" s="382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</row>
    <row r="49" spans="2:16" ht="14">
      <c r="B49" s="382" t="s">
        <v>85</v>
      </c>
      <c r="C49" s="382" t="s">
        <v>86</v>
      </c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</row>
    <row r="50" spans="2:16" ht="14.25" customHeight="1">
      <c r="B50" s="380"/>
      <c r="C50" s="956" t="s">
        <v>87</v>
      </c>
      <c r="D50" s="956"/>
      <c r="E50" s="956"/>
      <c r="F50" s="956"/>
      <c r="G50" s="956"/>
      <c r="H50" s="956"/>
      <c r="I50" s="956"/>
      <c r="J50" s="956"/>
      <c r="K50" s="956"/>
      <c r="L50" s="956"/>
      <c r="M50" s="956"/>
      <c r="N50" s="956"/>
      <c r="O50" s="956"/>
      <c r="P50" s="956"/>
    </row>
    <row r="51" spans="2:16" ht="14">
      <c r="B51" s="380"/>
      <c r="C51" s="956" t="s">
        <v>88</v>
      </c>
      <c r="D51" s="956"/>
      <c r="E51" s="956"/>
      <c r="F51" s="956"/>
      <c r="G51" s="956"/>
      <c r="H51" s="956"/>
      <c r="I51" s="956"/>
      <c r="J51" s="956"/>
      <c r="K51" s="956"/>
      <c r="L51" s="956"/>
      <c r="M51" s="956"/>
      <c r="N51" s="956"/>
      <c r="O51" s="405"/>
      <c r="P51" s="406"/>
    </row>
    <row r="52" spans="2:16" ht="3" customHeight="1">
      <c r="B52" s="380"/>
      <c r="C52" s="407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0"/>
      <c r="O52" s="380"/>
    </row>
    <row r="53" spans="2:16" ht="14">
      <c r="B53" s="382" t="s">
        <v>89</v>
      </c>
      <c r="C53" s="382" t="s">
        <v>90</v>
      </c>
      <c r="D53" s="382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</row>
    <row r="54" spans="2:16" ht="14">
      <c r="B54" s="380"/>
      <c r="C54" s="380" t="s">
        <v>91</v>
      </c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</row>
    <row r="55" spans="2:16" ht="14">
      <c r="B55" s="380"/>
      <c r="C55" s="380" t="s">
        <v>92</v>
      </c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</row>
    <row r="56" spans="2:16" ht="14">
      <c r="B56" s="380"/>
      <c r="C56" s="380" t="s">
        <v>93</v>
      </c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</row>
    <row r="57" spans="2:16" ht="14">
      <c r="B57" s="380"/>
      <c r="C57" s="408" t="s">
        <v>94</v>
      </c>
      <c r="D57" s="380"/>
      <c r="E57" s="380"/>
      <c r="F57" s="380"/>
      <c r="G57" s="380"/>
      <c r="H57" s="380"/>
      <c r="I57" s="380"/>
      <c r="J57" s="380"/>
      <c r="K57" s="380"/>
      <c r="L57" s="380"/>
      <c r="M57" s="380"/>
      <c r="N57" s="380"/>
      <c r="O57" s="380"/>
    </row>
    <row r="58" spans="2:16" ht="14">
      <c r="B58" s="380"/>
      <c r="C58" s="408" t="s">
        <v>95</v>
      </c>
      <c r="D58" s="380"/>
      <c r="E58" s="380"/>
      <c r="F58" s="380"/>
      <c r="G58" s="380"/>
      <c r="H58" s="380"/>
      <c r="I58" s="380"/>
      <c r="J58" s="380"/>
      <c r="K58" s="380"/>
      <c r="L58" s="380"/>
      <c r="M58" s="380"/>
      <c r="N58" s="380"/>
      <c r="O58" s="380"/>
    </row>
    <row r="59" spans="2:16" ht="14">
      <c r="B59" s="380"/>
      <c r="C59" s="380" t="s">
        <v>96</v>
      </c>
      <c r="E59" s="380"/>
      <c r="F59" s="380"/>
      <c r="G59" s="380"/>
      <c r="H59" s="380"/>
      <c r="I59" s="380"/>
      <c r="J59" s="380"/>
      <c r="K59" s="380"/>
      <c r="L59" s="380"/>
      <c r="M59" s="380"/>
      <c r="N59" s="380"/>
      <c r="O59" s="380"/>
    </row>
    <row r="60" spans="2:16" ht="14">
      <c r="B60" s="230"/>
      <c r="C60" s="380" t="s">
        <v>97</v>
      </c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0"/>
      <c r="O60" s="380"/>
    </row>
    <row r="61" spans="2:16" ht="14">
      <c r="B61" s="230"/>
      <c r="C61" s="380" t="s">
        <v>98</v>
      </c>
      <c r="D61" s="230"/>
      <c r="E61" s="230"/>
      <c r="F61" s="230"/>
      <c r="G61" s="230"/>
      <c r="H61" s="230"/>
      <c r="I61" s="230"/>
      <c r="J61" s="230"/>
      <c r="K61" s="230"/>
      <c r="L61" s="230"/>
      <c r="M61" s="230"/>
      <c r="N61" s="409"/>
      <c r="O61" s="230"/>
    </row>
    <row r="62" spans="2:16" ht="14">
      <c r="B62" s="230"/>
      <c r="C62" s="380" t="s">
        <v>99</v>
      </c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410"/>
      <c r="O62" s="230"/>
    </row>
    <row r="63" spans="2:16" ht="14">
      <c r="B63" s="230"/>
      <c r="C63" s="380" t="s">
        <v>100</v>
      </c>
      <c r="D63" s="230"/>
      <c r="E63" s="230"/>
      <c r="F63" s="230"/>
      <c r="G63" s="230"/>
      <c r="H63" s="230"/>
      <c r="I63" s="230"/>
      <c r="J63" s="230"/>
      <c r="K63" s="230"/>
      <c r="L63" s="230"/>
      <c r="M63" s="230"/>
      <c r="N63" s="410"/>
      <c r="O63" s="230"/>
    </row>
    <row r="64" spans="2:16" ht="15.5">
      <c r="B64" s="230"/>
      <c r="C64" s="380" t="s">
        <v>101</v>
      </c>
      <c r="D64" s="411"/>
      <c r="E64" s="411"/>
      <c r="F64" s="411"/>
      <c r="G64" s="411"/>
      <c r="H64" s="411"/>
      <c r="I64" s="230"/>
      <c r="J64" s="230"/>
      <c r="K64" s="230"/>
      <c r="L64" s="230"/>
      <c r="M64" s="230"/>
      <c r="N64" s="409"/>
      <c r="O64" s="230"/>
    </row>
    <row r="65" spans="2:15" ht="14">
      <c r="B65" s="382" t="s">
        <v>102</v>
      </c>
      <c r="C65" s="382" t="s">
        <v>103</v>
      </c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N65" s="409"/>
      <c r="O65" s="230"/>
    </row>
    <row r="66" spans="2:15" ht="14">
      <c r="B66" s="380"/>
      <c r="C66" s="380" t="s">
        <v>104</v>
      </c>
      <c r="D66" s="412"/>
      <c r="E66" s="412"/>
      <c r="F66" s="412"/>
      <c r="G66" s="412"/>
      <c r="H66" s="413"/>
      <c r="I66" s="230"/>
      <c r="J66" s="230"/>
      <c r="K66" s="230"/>
      <c r="L66" s="230"/>
      <c r="M66" s="230"/>
      <c r="N66" s="409"/>
      <c r="O66" s="230"/>
    </row>
    <row r="67" spans="2:15">
      <c r="C67" s="414"/>
      <c r="D67" s="414"/>
      <c r="E67" s="414"/>
      <c r="F67" s="414"/>
      <c r="G67" s="414"/>
      <c r="H67" s="414"/>
      <c r="N67" s="415"/>
    </row>
    <row r="68" spans="2:15">
      <c r="C68" s="414"/>
      <c r="D68" s="414"/>
      <c r="E68" s="414"/>
      <c r="F68" s="414"/>
      <c r="G68" s="414"/>
      <c r="H68" s="414"/>
      <c r="N68" s="416"/>
    </row>
    <row r="69" spans="2:15">
      <c r="C69" s="414"/>
      <c r="D69" s="414"/>
      <c r="E69" s="414"/>
      <c r="F69" s="414"/>
      <c r="G69" s="414"/>
      <c r="H69" s="414"/>
      <c r="N69" s="417"/>
    </row>
    <row r="70" spans="2:15">
      <c r="C70" s="414"/>
      <c r="D70" s="414"/>
      <c r="E70" s="414"/>
      <c r="F70" s="414"/>
      <c r="G70" s="414"/>
      <c r="H70" s="414"/>
    </row>
    <row r="71" spans="2:15">
      <c r="G71" s="230"/>
      <c r="O71" s="418"/>
    </row>
    <row r="72" spans="2:15" ht="12.5">
      <c r="B72" s="957"/>
      <c r="C72" s="957"/>
      <c r="D72" s="957"/>
      <c r="E72" s="957"/>
      <c r="F72" s="957"/>
      <c r="G72" s="957"/>
      <c r="H72" s="957"/>
      <c r="I72" s="957"/>
      <c r="J72" s="957"/>
      <c r="K72" s="957"/>
      <c r="L72" s="957"/>
      <c r="M72" s="957"/>
      <c r="N72" s="957"/>
      <c r="O72" s="957"/>
    </row>
    <row r="73" spans="2:15" ht="12.5">
      <c r="B73" s="957"/>
      <c r="C73" s="957"/>
      <c r="D73" s="957"/>
      <c r="E73" s="957"/>
      <c r="F73" s="957"/>
      <c r="G73" s="957"/>
      <c r="H73" s="957"/>
      <c r="I73" s="957"/>
      <c r="J73" s="957"/>
      <c r="K73" s="957"/>
      <c r="L73" s="957"/>
      <c r="M73" s="957"/>
      <c r="N73" s="957"/>
      <c r="O73" s="957"/>
    </row>
  </sheetData>
  <mergeCells count="87">
    <mergeCell ref="B24:B25"/>
    <mergeCell ref="C24:K25"/>
    <mergeCell ref="L24:M25"/>
    <mergeCell ref="N24:O25"/>
    <mergeCell ref="B1:O1"/>
    <mergeCell ref="B2:O2"/>
    <mergeCell ref="H13:I13"/>
    <mergeCell ref="J13:K13"/>
    <mergeCell ref="H14:I14"/>
    <mergeCell ref="J14:K14"/>
    <mergeCell ref="C31:K31"/>
    <mergeCell ref="H15:I15"/>
    <mergeCell ref="J15:K15"/>
    <mergeCell ref="H16:K16"/>
    <mergeCell ref="L19:N20"/>
    <mergeCell ref="C26:K26"/>
    <mergeCell ref="C27:K27"/>
    <mergeCell ref="C28:K28"/>
    <mergeCell ref="C29:K29"/>
    <mergeCell ref="C30:K30"/>
    <mergeCell ref="B35:B37"/>
    <mergeCell ref="C35:C37"/>
    <mergeCell ref="E35:N35"/>
    <mergeCell ref="O35:O37"/>
    <mergeCell ref="E36:F37"/>
    <mergeCell ref="G36:H37"/>
    <mergeCell ref="I36:J37"/>
    <mergeCell ref="K36:L37"/>
    <mergeCell ref="M36:N37"/>
    <mergeCell ref="C38:C42"/>
    <mergeCell ref="E38:F38"/>
    <mergeCell ref="G38:H38"/>
    <mergeCell ref="I38:J38"/>
    <mergeCell ref="K38:L38"/>
    <mergeCell ref="E41:F41"/>
    <mergeCell ref="G41:H41"/>
    <mergeCell ref="I41:J41"/>
    <mergeCell ref="I42:J42"/>
    <mergeCell ref="K42:L42"/>
    <mergeCell ref="O38:O42"/>
    <mergeCell ref="E39:F39"/>
    <mergeCell ref="G39:H39"/>
    <mergeCell ref="I39:J39"/>
    <mergeCell ref="K39:L39"/>
    <mergeCell ref="M39:N39"/>
    <mergeCell ref="E40:F40"/>
    <mergeCell ref="G40:H40"/>
    <mergeCell ref="I40:J40"/>
    <mergeCell ref="K40:L40"/>
    <mergeCell ref="M38:N38"/>
    <mergeCell ref="M40:N40"/>
    <mergeCell ref="K41:L41"/>
    <mergeCell ref="M41:N41"/>
    <mergeCell ref="E42:F42"/>
    <mergeCell ref="G42:H42"/>
    <mergeCell ref="M42:N42"/>
    <mergeCell ref="M43:N43"/>
    <mergeCell ref="M45:N45"/>
    <mergeCell ref="E46:F46"/>
    <mergeCell ref="G46:H46"/>
    <mergeCell ref="I46:J46"/>
    <mergeCell ref="M44:N44"/>
    <mergeCell ref="C43:C47"/>
    <mergeCell ref="E43:F43"/>
    <mergeCell ref="G43:H43"/>
    <mergeCell ref="I43:J43"/>
    <mergeCell ref="K43:L43"/>
    <mergeCell ref="E45:F45"/>
    <mergeCell ref="G45:H45"/>
    <mergeCell ref="I45:J45"/>
    <mergeCell ref="K45:L45"/>
    <mergeCell ref="C50:P50"/>
    <mergeCell ref="C51:N51"/>
    <mergeCell ref="B72:O72"/>
    <mergeCell ref="B73:O73"/>
    <mergeCell ref="K46:L46"/>
    <mergeCell ref="M46:N46"/>
    <mergeCell ref="E47:F47"/>
    <mergeCell ref="G47:H47"/>
    <mergeCell ref="I47:J47"/>
    <mergeCell ref="K47:L47"/>
    <mergeCell ref="M47:N47"/>
    <mergeCell ref="O43:O47"/>
    <mergeCell ref="E44:F44"/>
    <mergeCell ref="G44:H44"/>
    <mergeCell ref="I44:J44"/>
    <mergeCell ref="K44:L44"/>
  </mergeCells>
  <printOptions horizontalCentered="1"/>
  <pageMargins left="0.118110236220472" right="0.118110236220472" top="0.59055118110236204" bottom="0.484251969" header="0.511811023622047" footer="0.511811023622047"/>
  <pageSetup scale="72" orientation="portrait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31"/>
  <sheetViews>
    <sheetView view="pageBreakPreview" topLeftCell="D16" zoomScaleNormal="100" zoomScaleSheetLayoutView="100" workbookViewId="0">
      <selection activeCell="F9" sqref="F9"/>
    </sheetView>
  </sheetViews>
  <sheetFormatPr defaultColWidth="9.1796875" defaultRowHeight="11.5"/>
  <cols>
    <col min="1" max="1" width="4.1796875" style="681" customWidth="1"/>
    <col min="2" max="2" width="4.7265625" style="681" customWidth="1"/>
    <col min="3" max="3" width="17.81640625" style="681" customWidth="1"/>
    <col min="4" max="4" width="11.453125" style="681" customWidth="1"/>
    <col min="5" max="5" width="6.26953125" style="681" customWidth="1"/>
    <col min="6" max="6" width="8.453125" style="681" customWidth="1"/>
    <col min="7" max="7" width="10" style="681" customWidth="1"/>
    <col min="8" max="8" width="9.54296875" style="681" customWidth="1"/>
    <col min="9" max="9" width="11.453125" style="681" customWidth="1"/>
    <col min="10" max="10" width="10.7265625" style="681" customWidth="1"/>
    <col min="11" max="11" width="7.81640625" style="681" customWidth="1"/>
    <col min="12" max="12" width="8.26953125" style="681" customWidth="1"/>
    <col min="13" max="13" width="10.81640625" style="681" customWidth="1"/>
    <col min="14" max="14" width="11.81640625" style="681" customWidth="1"/>
    <col min="15" max="15" width="6.7265625" style="681" customWidth="1"/>
    <col min="16" max="16" width="9.1796875" style="681" customWidth="1"/>
    <col min="17" max="17" width="13.81640625" style="681" customWidth="1"/>
    <col min="18" max="18" width="11.1796875" style="681" customWidth="1"/>
    <col min="19" max="16384" width="9.1796875" style="681"/>
  </cols>
  <sheetData>
    <row r="1" spans="1:33" ht="18">
      <c r="A1" s="1044" t="s">
        <v>105</v>
      </c>
      <c r="B1" s="1044"/>
      <c r="C1" s="1044"/>
      <c r="D1" s="1044"/>
      <c r="E1" s="1044"/>
      <c r="F1" s="1044"/>
      <c r="G1" s="1044"/>
      <c r="H1" s="1044"/>
      <c r="I1" s="1044"/>
      <c r="J1" s="1044"/>
      <c r="K1" s="1044"/>
      <c r="L1" s="1044"/>
      <c r="M1" s="1044"/>
      <c r="N1" s="1044"/>
      <c r="O1" s="1044"/>
      <c r="P1" s="680"/>
      <c r="S1" s="682" t="s">
        <v>105</v>
      </c>
      <c r="T1" s="682"/>
      <c r="U1" s="682"/>
      <c r="V1" s="682"/>
      <c r="W1" s="682"/>
      <c r="X1" s="682"/>
      <c r="Y1" s="682"/>
      <c r="Z1" s="682"/>
      <c r="AA1" s="682"/>
      <c r="AB1" s="682"/>
      <c r="AC1" s="682"/>
      <c r="AD1" s="682"/>
      <c r="AE1" s="682"/>
      <c r="AF1" s="682"/>
      <c r="AG1" s="682"/>
    </row>
    <row r="2" spans="1:33" ht="18">
      <c r="A2" s="683"/>
      <c r="B2" s="684"/>
      <c r="C2" s="684"/>
      <c r="D2" s="684"/>
      <c r="E2" s="683"/>
      <c r="F2" s="683"/>
      <c r="G2" s="683"/>
      <c r="H2" s="685" t="str">
        <f>IF('Penyelia Kalibrasi'!J118&gt;=70,'Kata-kata'!B12,'Kata-kata'!B13)</f>
        <v xml:space="preserve">Nomor Sertifikat : 22 / </v>
      </c>
      <c r="I2" s="836" t="s">
        <v>106</v>
      </c>
      <c r="J2" s="686"/>
      <c r="K2" s="686"/>
      <c r="L2" s="686"/>
      <c r="M2" s="684"/>
      <c r="N2" s="684"/>
      <c r="O2" s="684"/>
      <c r="P2" s="687"/>
      <c r="S2" s="682" t="s">
        <v>107</v>
      </c>
      <c r="T2" s="682"/>
      <c r="U2" s="682"/>
      <c r="V2" s="682"/>
      <c r="W2" s="682"/>
      <c r="X2" s="682"/>
      <c r="Y2" s="682"/>
      <c r="Z2" s="682"/>
      <c r="AA2" s="682"/>
      <c r="AB2" s="682"/>
      <c r="AC2" s="682"/>
      <c r="AD2" s="682"/>
      <c r="AE2" s="682"/>
      <c r="AF2" s="682"/>
      <c r="AG2" s="682"/>
    </row>
    <row r="3" spans="1:33" ht="13.5" customHeight="1">
      <c r="A3" s="683"/>
      <c r="B3" s="688"/>
      <c r="C3" s="688"/>
      <c r="D3" s="688"/>
      <c r="E3" s="688"/>
      <c r="F3" s="688"/>
      <c r="G3" s="688"/>
      <c r="H3" s="688"/>
      <c r="I3" s="688"/>
      <c r="J3" s="688"/>
      <c r="K3" s="688"/>
      <c r="L3" s="688"/>
      <c r="M3" s="688"/>
      <c r="N3" s="688"/>
      <c r="O3" s="688"/>
      <c r="P3" s="689"/>
      <c r="Q3" s="681" t="s">
        <v>108</v>
      </c>
    </row>
    <row r="4" spans="1:33" ht="14">
      <c r="A4" s="688" t="s">
        <v>20</v>
      </c>
      <c r="B4" s="688"/>
      <c r="C4" s="683"/>
      <c r="D4" s="688"/>
      <c r="E4" s="690" t="s">
        <v>21</v>
      </c>
      <c r="F4" s="691" t="s">
        <v>109</v>
      </c>
      <c r="G4" s="692"/>
      <c r="H4" s="693"/>
      <c r="I4" s="693"/>
      <c r="J4" s="692"/>
      <c r="K4" s="691"/>
      <c r="L4" s="688"/>
      <c r="M4" s="688"/>
      <c r="N4" s="688"/>
      <c r="O4" s="688"/>
      <c r="P4" s="689"/>
      <c r="Q4" s="694"/>
    </row>
    <row r="5" spans="1:33" ht="14">
      <c r="A5" s="688" t="s">
        <v>23</v>
      </c>
      <c r="B5" s="688"/>
      <c r="C5" s="683"/>
      <c r="D5" s="688"/>
      <c r="E5" s="690" t="s">
        <v>21</v>
      </c>
      <c r="F5" s="691" t="s">
        <v>110</v>
      </c>
      <c r="G5" s="692"/>
      <c r="H5" s="693"/>
      <c r="I5" s="693"/>
      <c r="J5" s="692"/>
      <c r="K5" s="691"/>
      <c r="L5" s="688"/>
      <c r="M5" s="688"/>
      <c r="N5" s="688"/>
      <c r="O5" s="688"/>
      <c r="P5" s="689"/>
      <c r="Q5" s="695"/>
    </row>
    <row r="6" spans="1:33" ht="14">
      <c r="A6" s="688" t="s">
        <v>24</v>
      </c>
      <c r="B6" s="688"/>
      <c r="C6" s="683"/>
      <c r="D6" s="688"/>
      <c r="E6" s="690" t="s">
        <v>21</v>
      </c>
      <c r="F6" s="696" t="s">
        <v>111</v>
      </c>
      <c r="G6" s="692"/>
      <c r="H6" s="693"/>
      <c r="I6" s="693"/>
      <c r="J6" s="692"/>
      <c r="K6" s="691"/>
      <c r="L6" s="688"/>
      <c r="M6" s="688"/>
      <c r="N6" s="688"/>
      <c r="O6" s="688"/>
      <c r="P6" s="689"/>
    </row>
    <row r="7" spans="1:33" ht="14">
      <c r="A7" s="697" t="s">
        <v>112</v>
      </c>
      <c r="B7" s="697"/>
      <c r="C7" s="683"/>
      <c r="D7" s="688"/>
      <c r="E7" s="690" t="s">
        <v>21</v>
      </c>
      <c r="F7" s="430">
        <v>1</v>
      </c>
      <c r="G7" s="692" t="s">
        <v>113</v>
      </c>
      <c r="H7" s="693"/>
      <c r="I7" s="693"/>
      <c r="J7" s="692"/>
      <c r="K7" s="691"/>
      <c r="L7" s="688"/>
      <c r="M7" s="688"/>
      <c r="N7" s="688"/>
      <c r="O7" s="688"/>
      <c r="P7" s="689"/>
    </row>
    <row r="8" spans="1:33" ht="14">
      <c r="A8" s="697" t="s">
        <v>25</v>
      </c>
      <c r="B8" s="697"/>
      <c r="C8" s="683"/>
      <c r="D8" s="688"/>
      <c r="E8" s="690" t="s">
        <v>21</v>
      </c>
      <c r="F8" s="696" t="s">
        <v>114</v>
      </c>
      <c r="G8" s="692"/>
      <c r="H8" s="693"/>
      <c r="I8" s="693"/>
      <c r="J8" s="692"/>
      <c r="K8" s="691"/>
      <c r="L8" s="688"/>
      <c r="M8" s="688"/>
      <c r="N8" s="688"/>
      <c r="O8" s="688"/>
      <c r="P8" s="689"/>
    </row>
    <row r="9" spans="1:33" ht="15.75" customHeight="1">
      <c r="A9" s="697" t="s">
        <v>26</v>
      </c>
      <c r="B9" s="688"/>
      <c r="C9" s="683"/>
      <c r="D9" s="688"/>
      <c r="E9" s="690" t="s">
        <v>21</v>
      </c>
      <c r="F9" s="696" t="s">
        <v>114</v>
      </c>
      <c r="G9" s="692"/>
      <c r="H9" s="693"/>
      <c r="I9" s="693"/>
      <c r="J9" s="692"/>
      <c r="K9" s="691"/>
      <c r="L9" s="688"/>
      <c r="M9" s="688"/>
      <c r="N9" s="688"/>
      <c r="O9" s="688"/>
      <c r="P9" s="689"/>
    </row>
    <row r="10" spans="1:33" ht="15.75" customHeight="1">
      <c r="A10" s="697" t="s">
        <v>28</v>
      </c>
      <c r="B10" s="688"/>
      <c r="C10" s="683"/>
      <c r="D10" s="688"/>
      <c r="E10" s="690" t="s">
        <v>21</v>
      </c>
      <c r="F10" s="1051" t="s">
        <v>115</v>
      </c>
      <c r="G10" s="1051"/>
      <c r="H10" s="1051"/>
      <c r="I10" s="1051"/>
      <c r="J10" s="1051"/>
      <c r="K10" s="1051"/>
      <c r="L10" s="688"/>
      <c r="M10" s="688"/>
      <c r="N10" s="688"/>
      <c r="O10" s="688"/>
      <c r="P10" s="689"/>
      <c r="R10" s="680"/>
      <c r="S10" s="680"/>
      <c r="T10" s="680"/>
      <c r="U10" s="680"/>
      <c r="V10" s="680"/>
      <c r="W10" s="680"/>
      <c r="X10" s="680"/>
      <c r="Y10" s="680"/>
      <c r="Z10" s="680"/>
      <c r="AA10" s="680"/>
      <c r="AB10" s="680"/>
      <c r="AC10" s="680"/>
      <c r="AD10" s="680"/>
      <c r="AE10" s="680"/>
    </row>
    <row r="11" spans="1:33" ht="18">
      <c r="A11" s="697" t="s">
        <v>27</v>
      </c>
      <c r="B11" s="688"/>
      <c r="C11" s="683"/>
      <c r="D11" s="688"/>
      <c r="E11" s="690" t="s">
        <v>21</v>
      </c>
      <c r="F11" s="691" t="s">
        <v>115</v>
      </c>
      <c r="G11" s="692"/>
      <c r="H11" s="693"/>
      <c r="I11" s="693"/>
      <c r="J11" s="692"/>
      <c r="K11" s="691"/>
      <c r="L11" s="688"/>
      <c r="M11" s="688"/>
      <c r="N11" s="688"/>
      <c r="O11" s="688"/>
      <c r="P11" s="689"/>
      <c r="R11" s="687"/>
      <c r="S11" s="680"/>
      <c r="T11" s="680"/>
      <c r="U11" s="680"/>
      <c r="V11" s="680"/>
      <c r="W11" s="680"/>
      <c r="X11" s="680"/>
      <c r="Y11" s="680"/>
      <c r="Z11" s="680"/>
      <c r="AA11" s="680"/>
      <c r="AB11" s="680"/>
      <c r="AC11" s="680"/>
      <c r="AD11" s="680"/>
      <c r="AE11" s="680"/>
    </row>
    <row r="12" spans="1:33" ht="14">
      <c r="A12" s="688" t="s">
        <v>29</v>
      </c>
      <c r="B12" s="688"/>
      <c r="C12" s="683"/>
      <c r="D12" s="688"/>
      <c r="E12" s="690" t="s">
        <v>21</v>
      </c>
      <c r="F12" s="698" t="s">
        <v>116</v>
      </c>
      <c r="G12" s="699"/>
      <c r="H12" s="700"/>
      <c r="I12" s="700"/>
      <c r="J12" s="699"/>
      <c r="K12" s="699"/>
      <c r="L12" s="688"/>
      <c r="M12" s="688"/>
      <c r="N12" s="688"/>
      <c r="O12" s="688"/>
      <c r="P12" s="689"/>
    </row>
    <row r="13" spans="1:33" ht="14">
      <c r="A13" s="688"/>
      <c r="B13" s="688"/>
      <c r="C13" s="683"/>
      <c r="D13" s="688"/>
      <c r="E13" s="688"/>
      <c r="F13" s="688"/>
      <c r="G13" s="688"/>
      <c r="H13" s="688"/>
      <c r="I13" s="688"/>
      <c r="J13" s="688"/>
      <c r="K13" s="688"/>
      <c r="L13" s="688"/>
      <c r="M13" s="688"/>
      <c r="N13" s="688"/>
      <c r="O13" s="688"/>
      <c r="P13" s="689"/>
      <c r="W13" s="701"/>
      <c r="X13" s="701"/>
      <c r="Y13" s="701"/>
      <c r="Z13" s="701"/>
      <c r="AA13" s="701"/>
      <c r="AB13" s="701"/>
      <c r="AC13" s="701"/>
      <c r="AD13" s="701"/>
    </row>
    <row r="14" spans="1:33" ht="28.5" customHeight="1">
      <c r="A14" s="702" t="s">
        <v>31</v>
      </c>
      <c r="B14" s="702" t="s">
        <v>32</v>
      </c>
      <c r="C14" s="683"/>
      <c r="D14" s="688"/>
      <c r="E14" s="688"/>
      <c r="F14" s="703" t="s">
        <v>4</v>
      </c>
      <c r="G14" s="703" t="s">
        <v>5</v>
      </c>
      <c r="H14" s="1047" t="s">
        <v>74</v>
      </c>
      <c r="I14" s="1048"/>
      <c r="J14" s="683"/>
      <c r="K14" s="683"/>
      <c r="L14" s="688"/>
      <c r="M14" s="688"/>
      <c r="N14" s="688"/>
      <c r="O14" s="688"/>
      <c r="W14" s="701"/>
      <c r="X14" s="701"/>
      <c r="Y14" s="704"/>
      <c r="Z14" s="705"/>
      <c r="AA14" s="701"/>
      <c r="AB14" s="701"/>
      <c r="AC14" s="701"/>
      <c r="AD14" s="701"/>
    </row>
    <row r="15" spans="1:33" ht="14">
      <c r="A15" s="688"/>
      <c r="B15" s="688" t="s">
        <v>35</v>
      </c>
      <c r="C15" s="683"/>
      <c r="D15" s="702"/>
      <c r="E15" s="690" t="s">
        <v>21</v>
      </c>
      <c r="F15" s="214">
        <v>23.2</v>
      </c>
      <c r="G15" s="214">
        <v>23.2</v>
      </c>
      <c r="H15" s="1049">
        <f>'DB Thermohygro '!M341</f>
        <v>22.872</v>
      </c>
      <c r="I15" s="1050"/>
      <c r="J15" s="706" t="s">
        <v>36</v>
      </c>
      <c r="K15" s="683"/>
      <c r="L15" s="688"/>
      <c r="M15" s="688"/>
      <c r="N15" s="688"/>
      <c r="O15" s="688"/>
      <c r="W15" s="701"/>
      <c r="X15" s="701"/>
      <c r="Y15" s="704"/>
      <c r="Z15" s="701"/>
      <c r="AA15" s="701"/>
      <c r="AB15" s="701"/>
      <c r="AC15" s="701"/>
      <c r="AD15" s="701"/>
    </row>
    <row r="16" spans="1:33" ht="14">
      <c r="A16" s="688"/>
      <c r="B16" s="688" t="s">
        <v>117</v>
      </c>
      <c r="C16" s="683"/>
      <c r="D16" s="688"/>
      <c r="E16" s="690" t="s">
        <v>21</v>
      </c>
      <c r="F16" s="214">
        <v>67.599999999999994</v>
      </c>
      <c r="G16" s="214">
        <v>67.599999999999994</v>
      </c>
      <c r="H16" s="1049">
        <f>'DB Thermohygro '!M342</f>
        <v>66.423999999999992</v>
      </c>
      <c r="I16" s="1050"/>
      <c r="J16" s="706" t="s">
        <v>118</v>
      </c>
      <c r="K16" s="683"/>
      <c r="L16" s="688"/>
      <c r="M16" s="688"/>
      <c r="N16" s="688"/>
      <c r="O16" s="688"/>
      <c r="W16" s="701"/>
      <c r="X16" s="701"/>
      <c r="Y16" s="707"/>
      <c r="Z16" s="705"/>
      <c r="AA16" s="701"/>
      <c r="AB16" s="701"/>
      <c r="AC16" s="701"/>
      <c r="AD16" s="701"/>
    </row>
    <row r="17" spans="1:30" ht="14">
      <c r="A17" s="688"/>
      <c r="B17" s="688" t="s">
        <v>39</v>
      </c>
      <c r="C17" s="683"/>
      <c r="D17" s="688"/>
      <c r="E17" s="690" t="s">
        <v>21</v>
      </c>
      <c r="F17" s="768">
        <v>226.4</v>
      </c>
      <c r="G17" s="766"/>
      <c r="H17" s="766"/>
      <c r="I17" s="767"/>
      <c r="J17" s="688" t="s">
        <v>119</v>
      </c>
      <c r="K17" s="688"/>
      <c r="L17" s="688"/>
      <c r="M17" s="688"/>
      <c r="N17" s="688"/>
      <c r="O17" s="688"/>
      <c r="W17" s="701"/>
      <c r="X17" s="701"/>
      <c r="Y17" s="704"/>
      <c r="Z17" s="708"/>
      <c r="AA17" s="701"/>
      <c r="AB17" s="701"/>
      <c r="AC17" s="701"/>
      <c r="AD17" s="701"/>
    </row>
    <row r="18" spans="1:30" ht="14">
      <c r="A18" s="688"/>
      <c r="B18" s="688"/>
      <c r="C18" s="683"/>
      <c r="D18" s="688"/>
      <c r="E18" s="688"/>
      <c r="F18" s="688"/>
      <c r="G18" s="688"/>
      <c r="H18" s="709"/>
      <c r="I18" s="709"/>
      <c r="J18" s="709"/>
      <c r="K18" s="709"/>
      <c r="L18" s="709"/>
      <c r="M18" s="688"/>
      <c r="N18" s="688"/>
      <c r="O18" s="688"/>
      <c r="P18" s="689"/>
      <c r="W18" s="701"/>
      <c r="X18" s="701"/>
      <c r="Y18" s="710"/>
      <c r="Z18" s="705"/>
      <c r="AA18" s="701"/>
      <c r="AB18" s="701"/>
      <c r="AC18" s="701"/>
      <c r="AD18" s="701"/>
    </row>
    <row r="19" spans="1:30" ht="14">
      <c r="A19" s="702" t="s">
        <v>41</v>
      </c>
      <c r="B19" s="702" t="s">
        <v>120</v>
      </c>
      <c r="C19" s="683"/>
      <c r="D19" s="688"/>
      <c r="E19" s="688"/>
      <c r="F19" s="688"/>
      <c r="G19" s="688"/>
      <c r="H19" s="688"/>
      <c r="I19" s="688"/>
      <c r="J19" s="688"/>
      <c r="K19" s="688"/>
      <c r="L19" s="688"/>
      <c r="M19" s="688"/>
      <c r="N19" s="688"/>
      <c r="O19" s="688"/>
      <c r="P19" s="689"/>
      <c r="W19" s="701"/>
      <c r="X19" s="701"/>
      <c r="Y19" s="701"/>
      <c r="Z19" s="711"/>
      <c r="AA19" s="701"/>
      <c r="AB19" s="701"/>
      <c r="AC19" s="701"/>
      <c r="AD19" s="701"/>
    </row>
    <row r="20" spans="1:30" ht="14">
      <c r="A20" s="688"/>
      <c r="B20" s="688" t="s">
        <v>43</v>
      </c>
      <c r="C20" s="683"/>
      <c r="D20" s="702"/>
      <c r="E20" s="690" t="s">
        <v>21</v>
      </c>
      <c r="F20" s="832" t="s">
        <v>121</v>
      </c>
      <c r="G20" s="683"/>
      <c r="H20" s="683"/>
      <c r="I20" s="688"/>
      <c r="J20" s="688"/>
      <c r="K20" s="688"/>
      <c r="L20" s="688"/>
      <c r="M20" s="688"/>
      <c r="N20" s="688"/>
      <c r="O20" s="688"/>
      <c r="P20" s="689"/>
      <c r="W20" s="701"/>
      <c r="X20" s="701"/>
      <c r="Y20" s="712"/>
      <c r="Z20" s="713"/>
      <c r="AA20" s="701"/>
      <c r="AB20" s="701"/>
      <c r="AC20" s="701"/>
      <c r="AD20" s="701"/>
    </row>
    <row r="21" spans="1:30" ht="14">
      <c r="A21" s="688"/>
      <c r="B21" s="688" t="s">
        <v>46</v>
      </c>
      <c r="C21" s="683"/>
      <c r="D21" s="688"/>
      <c r="E21" s="690" t="s">
        <v>21</v>
      </c>
      <c r="F21" s="832" t="s">
        <v>121</v>
      </c>
      <c r="G21" s="683"/>
      <c r="H21" s="683"/>
      <c r="I21" s="688"/>
      <c r="J21" s="688"/>
      <c r="K21" s="688"/>
      <c r="L21" s="688"/>
      <c r="M21" s="688"/>
      <c r="N21" s="688"/>
      <c r="O21" s="688"/>
      <c r="P21" s="689"/>
      <c r="R21" s="681" t="str">
        <f>B70</f>
        <v>Alat tidak boleh digunakan pada instalasi tanpa dilengkapi grounding</v>
      </c>
      <c r="W21" s="701"/>
      <c r="X21" s="701"/>
      <c r="Y21" s="705"/>
      <c r="Z21" s="701"/>
      <c r="AA21" s="701"/>
      <c r="AB21" s="701"/>
      <c r="AC21" s="701"/>
      <c r="AD21" s="701"/>
    </row>
    <row r="22" spans="1:30" ht="3.75" customHeight="1">
      <c r="A22" s="702"/>
      <c r="B22" s="702"/>
      <c r="C22" s="683"/>
      <c r="D22" s="688"/>
      <c r="E22" s="688"/>
      <c r="F22" s="688"/>
      <c r="G22" s="688"/>
      <c r="H22" s="688"/>
      <c r="I22" s="688"/>
      <c r="J22" s="688"/>
      <c r="K22" s="688"/>
      <c r="L22" s="688"/>
      <c r="M22" s="688"/>
      <c r="N22" s="688"/>
      <c r="O22" s="688"/>
      <c r="P22" s="689"/>
      <c r="W22" s="701"/>
      <c r="X22" s="701"/>
      <c r="Y22" s="701"/>
      <c r="Z22" s="701"/>
      <c r="AA22" s="701"/>
      <c r="AB22" s="701"/>
      <c r="AC22" s="701"/>
      <c r="AD22" s="701"/>
    </row>
    <row r="23" spans="1:30" ht="14">
      <c r="A23" s="702" t="s">
        <v>47</v>
      </c>
      <c r="B23" s="702" t="s">
        <v>122</v>
      </c>
      <c r="C23" s="683"/>
      <c r="D23" s="688"/>
      <c r="E23" s="688"/>
      <c r="F23" s="688"/>
      <c r="G23" s="688"/>
      <c r="H23" s="688"/>
      <c r="I23" s="688"/>
      <c r="J23" s="688"/>
      <c r="K23" s="714"/>
      <c r="L23" s="714"/>
      <c r="M23" s="714"/>
      <c r="N23" s="714"/>
      <c r="O23" s="714"/>
      <c r="P23" s="689"/>
      <c r="R23" s="681" t="str">
        <f>B79</f>
        <v>Alat yang dikalibrasi dalam batas toleransi dan dinyatakan LAIK PAKAI, dimana hasil atau skor akhir sama dengan atau melampaui 70 % berdasarkan Keputusan Direktur Jenderal Pelayanan Kesehatan No : HK.02.02/V/0412/2020</v>
      </c>
    </row>
    <row r="24" spans="1:30" ht="30" customHeight="1">
      <c r="A24" s="683"/>
      <c r="B24" s="831" t="s">
        <v>49</v>
      </c>
      <c r="C24" s="1012" t="s">
        <v>123</v>
      </c>
      <c r="D24" s="1012"/>
      <c r="E24" s="1012"/>
      <c r="F24" s="1012"/>
      <c r="G24" s="1012"/>
      <c r="H24" s="1012"/>
      <c r="I24" s="1012"/>
      <c r="J24" s="1012"/>
      <c r="K24" s="1012"/>
      <c r="L24" s="1058" t="s">
        <v>124</v>
      </c>
      <c r="M24" s="1059"/>
      <c r="N24" s="1012" t="s">
        <v>125</v>
      </c>
      <c r="O24" s="1012"/>
      <c r="P24" s="689"/>
      <c r="R24" s="681" t="str">
        <f>H2</f>
        <v xml:space="preserve">Nomor Sertifikat : 22 / </v>
      </c>
    </row>
    <row r="25" spans="1:30" ht="14">
      <c r="A25" s="683"/>
      <c r="B25" s="715">
        <v>1</v>
      </c>
      <c r="C25" s="716" t="s">
        <v>53</v>
      </c>
      <c r="D25" s="717"/>
      <c r="E25" s="717"/>
      <c r="F25" s="717"/>
      <c r="G25" s="717"/>
      <c r="H25" s="717"/>
      <c r="I25" s="718"/>
      <c r="J25" s="719"/>
      <c r="K25" s="720"/>
      <c r="L25" s="432">
        <v>2</v>
      </c>
      <c r="M25" s="721" t="str">
        <f>IF(L25="-","",IF(L25="OL","","MΩ"))</f>
        <v>MΩ</v>
      </c>
      <c r="N25" s="722">
        <v>2</v>
      </c>
      <c r="O25" s="723" t="s">
        <v>54</v>
      </c>
      <c r="P25" s="1007" t="s">
        <v>126</v>
      </c>
      <c r="Q25" s="1007"/>
      <c r="R25" s="1008" t="s">
        <v>62</v>
      </c>
      <c r="S25" s="1008" t="s">
        <v>75</v>
      </c>
    </row>
    <row r="26" spans="1:30" ht="14">
      <c r="A26" s="683"/>
      <c r="B26" s="715">
        <v>2</v>
      </c>
      <c r="C26" s="1015" t="s">
        <v>127</v>
      </c>
      <c r="D26" s="1016"/>
      <c r="E26" s="1016"/>
      <c r="F26" s="1016"/>
      <c r="G26" s="1016"/>
      <c r="H26" s="1016"/>
      <c r="I26" s="1016"/>
      <c r="J26" s="1016"/>
      <c r="K26" s="1017"/>
      <c r="L26" s="432">
        <v>0.23</v>
      </c>
      <c r="M26" s="721" t="str">
        <f>IF(L26="-","",IF(L26="OL","","Ω"))</f>
        <v>Ω</v>
      </c>
      <c r="N26" s="724">
        <f>IF(C26='Kata-kata'!J17,'Kata-kata'!I17,'Kata-kata'!I18)</f>
        <v>0.2</v>
      </c>
      <c r="O26" s="725" t="s">
        <v>57</v>
      </c>
      <c r="P26" s="1007"/>
      <c r="Q26" s="1007"/>
      <c r="R26" s="1008"/>
      <c r="S26" s="1008"/>
      <c r="T26" s="701"/>
    </row>
    <row r="27" spans="1:30" ht="15.5">
      <c r="A27" s="683"/>
      <c r="B27" s="715">
        <v>3</v>
      </c>
      <c r="C27" s="1015" t="s">
        <v>128</v>
      </c>
      <c r="D27" s="1016"/>
      <c r="E27" s="1016"/>
      <c r="F27" s="1016"/>
      <c r="G27" s="1016"/>
      <c r="H27" s="1016"/>
      <c r="I27" s="1016"/>
      <c r="J27" s="1016"/>
      <c r="K27" s="1017"/>
      <c r="L27" s="228">
        <v>600</v>
      </c>
      <c r="M27" s="721" t="str">
        <f>IF(L27="-","",IF(L27="OL","","µA"))</f>
        <v>µA</v>
      </c>
      <c r="N27" s="726">
        <f>IF(C27='Kata-kata'!J19,'Kata-kata'!I19,'Kata-kata'!I20)</f>
        <v>500</v>
      </c>
      <c r="O27" s="725" t="s">
        <v>62</v>
      </c>
      <c r="P27" s="727" t="s">
        <v>129</v>
      </c>
      <c r="Q27" s="728" t="s">
        <v>130</v>
      </c>
      <c r="R27" s="769">
        <v>10</v>
      </c>
      <c r="S27" s="729">
        <v>100</v>
      </c>
      <c r="T27" s="833"/>
    </row>
    <row r="28" spans="1:30" ht="15.5">
      <c r="A28" s="683"/>
      <c r="B28" s="715">
        <v>4</v>
      </c>
      <c r="C28" s="716" t="s">
        <v>66</v>
      </c>
      <c r="D28" s="717"/>
      <c r="E28" s="717"/>
      <c r="F28" s="717"/>
      <c r="G28" s="717"/>
      <c r="H28" s="717"/>
      <c r="I28" s="718"/>
      <c r="J28" s="719"/>
      <c r="K28" s="720"/>
      <c r="L28" s="228">
        <v>10</v>
      </c>
      <c r="M28" s="721" t="str">
        <f>IF(L28="-","",IF(L28="OL","","µA"))</f>
        <v>µA</v>
      </c>
      <c r="N28" s="726">
        <v>50</v>
      </c>
      <c r="O28" s="723" t="s">
        <v>62</v>
      </c>
      <c r="P28" s="689"/>
      <c r="Q28" s="730"/>
      <c r="R28" s="731"/>
    </row>
    <row r="29" spans="1:30" ht="14">
      <c r="A29" s="683"/>
      <c r="B29" s="702"/>
      <c r="C29" s="702"/>
      <c r="D29" s="688"/>
      <c r="E29" s="688"/>
      <c r="F29" s="688"/>
      <c r="G29" s="688"/>
      <c r="H29" s="688"/>
      <c r="I29" s="688"/>
      <c r="J29" s="688"/>
      <c r="K29" s="688"/>
      <c r="L29" s="688"/>
      <c r="M29" s="688"/>
      <c r="N29" s="688"/>
      <c r="O29" s="688"/>
      <c r="P29" s="689"/>
    </row>
    <row r="30" spans="1:30" ht="14">
      <c r="A30" s="702" t="s">
        <v>71</v>
      </c>
      <c r="B30" s="702" t="s">
        <v>131</v>
      </c>
      <c r="C30" s="683"/>
      <c r="D30" s="702"/>
      <c r="E30" s="702"/>
      <c r="F30" s="702"/>
      <c r="G30" s="702"/>
      <c r="H30" s="702"/>
      <c r="I30" s="702"/>
      <c r="J30" s="702"/>
      <c r="K30" s="702"/>
      <c r="L30" s="702"/>
      <c r="M30" s="702"/>
      <c r="N30" s="688"/>
      <c r="O30" s="688"/>
      <c r="P30" s="689"/>
    </row>
    <row r="31" spans="1:30" ht="14" hidden="1">
      <c r="A31" s="702"/>
      <c r="B31" s="702"/>
      <c r="C31" s="683"/>
      <c r="D31" s="702"/>
      <c r="E31" s="702"/>
      <c r="F31" s="702"/>
      <c r="G31" s="702"/>
      <c r="H31" s="702"/>
      <c r="I31" s="702"/>
      <c r="J31" s="702"/>
      <c r="K31" s="702"/>
      <c r="L31" s="702"/>
      <c r="M31" s="702"/>
      <c r="N31" s="683"/>
      <c r="O31" s="683"/>
      <c r="P31" s="689"/>
    </row>
    <row r="32" spans="1:30" ht="15" hidden="1" customHeight="1">
      <c r="A32" s="683"/>
      <c r="B32" s="1013" t="s">
        <v>0</v>
      </c>
      <c r="C32" s="1013" t="s">
        <v>50</v>
      </c>
      <c r="D32" s="1013"/>
      <c r="E32" s="1012" t="s">
        <v>132</v>
      </c>
      <c r="F32" s="1012"/>
      <c r="G32" s="1012" t="s">
        <v>133</v>
      </c>
      <c r="H32" s="1012"/>
      <c r="I32" s="1012" t="s">
        <v>134</v>
      </c>
      <c r="J32" s="1012"/>
      <c r="K32" s="1053" t="s">
        <v>135</v>
      </c>
      <c r="L32" s="1053"/>
      <c r="M32" s="683"/>
      <c r="N32" s="683"/>
      <c r="O32" s="683"/>
    </row>
    <row r="33" spans="1:21" ht="15" hidden="1" customHeight="1">
      <c r="A33" s="683"/>
      <c r="B33" s="1013"/>
      <c r="C33" s="1013"/>
      <c r="D33" s="1013"/>
      <c r="E33" s="1012"/>
      <c r="F33" s="1012"/>
      <c r="G33" s="1012"/>
      <c r="H33" s="1012"/>
      <c r="I33" s="1012"/>
      <c r="J33" s="1012"/>
      <c r="K33" s="1053"/>
      <c r="L33" s="1053"/>
      <c r="M33" s="683"/>
      <c r="N33" s="683"/>
      <c r="O33" s="683"/>
    </row>
    <row r="34" spans="1:21" ht="18.75" hidden="1" customHeight="1">
      <c r="A34" s="683"/>
      <c r="B34" s="830">
        <v>1</v>
      </c>
      <c r="C34" s="1012" t="s">
        <v>136</v>
      </c>
      <c r="D34" s="1012"/>
      <c r="E34" s="1013">
        <v>250</v>
      </c>
      <c r="F34" s="1013"/>
      <c r="G34" s="1014">
        <v>200</v>
      </c>
      <c r="H34" s="1014"/>
      <c r="I34" s="1052">
        <v>144</v>
      </c>
      <c r="J34" s="1052"/>
      <c r="K34" s="1054">
        <f>I34+'Input Data Sertifikat ESU'!Q72</f>
        <v>144</v>
      </c>
      <c r="L34" s="1054"/>
      <c r="M34" s="683"/>
      <c r="N34" s="683"/>
      <c r="O34" s="683"/>
    </row>
    <row r="35" spans="1:21" ht="30" hidden="1" customHeight="1">
      <c r="A35" s="683"/>
      <c r="B35" s="830">
        <v>2</v>
      </c>
      <c r="C35" s="1012" t="s">
        <v>137</v>
      </c>
      <c r="D35" s="1012"/>
      <c r="E35" s="1013">
        <v>80</v>
      </c>
      <c r="F35" s="1013"/>
      <c r="G35" s="1014"/>
      <c r="H35" s="1014"/>
      <c r="I35" s="1052">
        <v>80</v>
      </c>
      <c r="J35" s="1052"/>
      <c r="K35" s="1061">
        <f>I35+'Input Data Sertifikat ESU'!Q74</f>
        <v>80</v>
      </c>
      <c r="L35" s="1061"/>
      <c r="M35" s="683"/>
      <c r="N35" s="683"/>
      <c r="O35" s="683"/>
    </row>
    <row r="36" spans="1:21" ht="22.5" hidden="1" customHeight="1">
      <c r="A36" s="683"/>
      <c r="B36" s="702" t="s">
        <v>138</v>
      </c>
      <c r="C36" s="683"/>
      <c r="D36" s="688"/>
      <c r="E36" s="683"/>
      <c r="F36" s="683"/>
      <c r="G36" s="683"/>
      <c r="H36" s="683"/>
      <c r="I36" s="683"/>
      <c r="J36" s="683"/>
      <c r="K36" s="683"/>
      <c r="L36" s="683"/>
      <c r="M36" s="683"/>
      <c r="N36" s="683"/>
      <c r="O36" s="683"/>
    </row>
    <row r="37" spans="1:21" ht="20.25" hidden="1" customHeight="1">
      <c r="A37" s="683"/>
      <c r="B37" s="1030" t="s">
        <v>0</v>
      </c>
      <c r="C37" s="1030" t="s">
        <v>50</v>
      </c>
      <c r="D37" s="1012" t="s">
        <v>139</v>
      </c>
      <c r="E37" s="1012"/>
      <c r="F37" s="1012"/>
      <c r="G37" s="1053" t="s">
        <v>140</v>
      </c>
      <c r="H37" s="1053"/>
      <c r="I37" s="683"/>
      <c r="J37" s="683"/>
      <c r="K37" s="683"/>
      <c r="L37" s="683"/>
      <c r="M37" s="683"/>
      <c r="N37" s="683"/>
      <c r="O37" s="683"/>
      <c r="T37" s="681">
        <v>250</v>
      </c>
      <c r="U37" s="681">
        <f>T37-T38</f>
        <v>220</v>
      </c>
    </row>
    <row r="38" spans="1:21" ht="26.25" hidden="1" customHeight="1">
      <c r="A38" s="683"/>
      <c r="B38" s="1031"/>
      <c r="C38" s="1031"/>
      <c r="D38" s="1012"/>
      <c r="E38" s="1012"/>
      <c r="F38" s="1012"/>
      <c r="G38" s="1053"/>
      <c r="H38" s="1053"/>
      <c r="I38" s="683"/>
      <c r="J38" s="683"/>
      <c r="K38" s="683"/>
      <c r="L38" s="683"/>
      <c r="M38" s="683"/>
      <c r="N38" s="683"/>
      <c r="O38" s="683"/>
      <c r="S38" s="681">
        <f>150/1000</f>
        <v>0.15</v>
      </c>
      <c r="T38" s="681">
        <f>200*S38</f>
        <v>30</v>
      </c>
    </row>
    <row r="39" spans="1:21" ht="49.5" hidden="1" customHeight="1">
      <c r="A39" s="683"/>
      <c r="B39" s="830">
        <v>1</v>
      </c>
      <c r="C39" s="831" t="s">
        <v>141</v>
      </c>
      <c r="D39" s="1052">
        <v>75</v>
      </c>
      <c r="E39" s="1052"/>
      <c r="F39" s="1052"/>
      <c r="G39" s="1061">
        <f>D39+'Input Data Sertifikat ESU'!Q70</f>
        <v>75</v>
      </c>
      <c r="H39" s="1061"/>
      <c r="I39" s="683"/>
      <c r="J39" s="683"/>
      <c r="K39" s="683"/>
      <c r="L39" s="683"/>
      <c r="M39" s="683"/>
      <c r="N39" s="683"/>
      <c r="O39" s="683"/>
    </row>
    <row r="40" spans="1:21" ht="8.25" hidden="1" customHeight="1">
      <c r="A40" s="683"/>
      <c r="B40" s="702"/>
      <c r="C40" s="688"/>
      <c r="D40" s="688"/>
      <c r="E40" s="683"/>
      <c r="F40" s="683"/>
      <c r="G40" s="683"/>
      <c r="H40" s="683"/>
      <c r="I40" s="683"/>
      <c r="J40" s="683"/>
      <c r="K40" s="683"/>
      <c r="L40" s="683"/>
      <c r="M40" s="683"/>
      <c r="N40" s="683"/>
      <c r="O40" s="683"/>
    </row>
    <row r="41" spans="1:21" ht="14">
      <c r="A41" s="683"/>
      <c r="B41" s="1060" t="s">
        <v>142</v>
      </c>
      <c r="C41" s="1060"/>
      <c r="D41" s="1060"/>
      <c r="E41" s="1060"/>
      <c r="F41" s="1060"/>
      <c r="G41" s="1060"/>
      <c r="H41" s="1060"/>
      <c r="I41" s="1060"/>
      <c r="J41" s="1060"/>
      <c r="K41" s="1060"/>
      <c r="L41" s="1060"/>
      <c r="M41" s="1060"/>
      <c r="N41" s="683"/>
      <c r="O41" s="683"/>
    </row>
    <row r="42" spans="1:21" ht="15" customHeight="1">
      <c r="A42" s="683"/>
      <c r="B42" s="1030" t="s">
        <v>0</v>
      </c>
      <c r="C42" s="1030" t="s">
        <v>50</v>
      </c>
      <c r="D42" s="1009" t="s">
        <v>143</v>
      </c>
      <c r="E42" s="1012" t="s">
        <v>389</v>
      </c>
      <c r="F42" s="1012"/>
      <c r="G42" s="1011" t="s">
        <v>74</v>
      </c>
      <c r="H42" s="1011"/>
      <c r="I42" s="1011"/>
      <c r="J42" s="1011"/>
      <c r="K42" s="1011"/>
      <c r="L42" s="1011"/>
      <c r="M42" s="1009" t="s">
        <v>144</v>
      </c>
      <c r="N42" s="1045" t="s">
        <v>145</v>
      </c>
      <c r="O42" s="1055" t="s">
        <v>146</v>
      </c>
    </row>
    <row r="43" spans="1:21" ht="14">
      <c r="A43" s="683"/>
      <c r="B43" s="1031"/>
      <c r="C43" s="1031"/>
      <c r="D43" s="1010"/>
      <c r="E43" s="1012"/>
      <c r="F43" s="1012"/>
      <c r="G43" s="830" t="s">
        <v>77</v>
      </c>
      <c r="H43" s="830" t="s">
        <v>78</v>
      </c>
      <c r="I43" s="830" t="s">
        <v>79</v>
      </c>
      <c r="J43" s="830" t="s">
        <v>80</v>
      </c>
      <c r="K43" s="1013" t="s">
        <v>40</v>
      </c>
      <c r="L43" s="1013"/>
      <c r="M43" s="1010"/>
      <c r="N43" s="1046"/>
      <c r="O43" s="1056"/>
    </row>
    <row r="44" spans="1:21" ht="14.25" customHeight="1">
      <c r="A44" s="683"/>
      <c r="B44" s="830">
        <v>1</v>
      </c>
      <c r="C44" s="1012" t="s">
        <v>147</v>
      </c>
      <c r="D44" s="433">
        <v>20</v>
      </c>
      <c r="E44" s="1034">
        <v>250</v>
      </c>
      <c r="F44" s="1035"/>
      <c r="G44" s="829">
        <v>20</v>
      </c>
      <c r="H44" s="829">
        <v>20</v>
      </c>
      <c r="I44" s="829">
        <v>20</v>
      </c>
      <c r="J44" s="829">
        <v>20</v>
      </c>
      <c r="K44" s="1029">
        <v>20</v>
      </c>
      <c r="L44" s="1029"/>
      <c r="M44" s="733">
        <f>AVERAGE(G44:K44)</f>
        <v>20</v>
      </c>
      <c r="N44" s="733">
        <f>M44+'Input Data Sertifikat ESU'!Q76</f>
        <v>20.00001</v>
      </c>
      <c r="O44" s="733">
        <f>IF(STDEV(G44:K44)=0,0.00001,STDEV(G44:K44))</f>
        <v>1.0000000000000001E-5</v>
      </c>
    </row>
    <row r="45" spans="1:21" ht="14.25" customHeight="1">
      <c r="A45" s="683"/>
      <c r="B45" s="830">
        <v>2</v>
      </c>
      <c r="C45" s="1012"/>
      <c r="D45" s="433">
        <v>50</v>
      </c>
      <c r="E45" s="1036"/>
      <c r="F45" s="1037"/>
      <c r="G45" s="829">
        <v>50</v>
      </c>
      <c r="H45" s="829">
        <v>50</v>
      </c>
      <c r="I45" s="829">
        <v>50</v>
      </c>
      <c r="J45" s="829">
        <v>50</v>
      </c>
      <c r="K45" s="1021">
        <v>50</v>
      </c>
      <c r="L45" s="1022"/>
      <c r="M45" s="733">
        <f t="shared" ref="M45:M51" si="0">AVERAGE(G45:K45)</f>
        <v>50</v>
      </c>
      <c r="N45" s="733">
        <f>M45+'Input Data Sertifikat ESU'!Q77</f>
        <v>50.000010000000003</v>
      </c>
      <c r="O45" s="733">
        <f>IF(STDEV(G45:K45)=0,0.00001,STDEV(G45:K45))</f>
        <v>1.0000000000000001E-5</v>
      </c>
    </row>
    <row r="46" spans="1:21" ht="14.25" customHeight="1">
      <c r="A46" s="683"/>
      <c r="B46" s="830">
        <v>3</v>
      </c>
      <c r="C46" s="1012"/>
      <c r="D46" s="433">
        <v>80</v>
      </c>
      <c r="E46" s="1036"/>
      <c r="F46" s="1037"/>
      <c r="G46" s="829">
        <v>80</v>
      </c>
      <c r="H46" s="829">
        <v>80</v>
      </c>
      <c r="I46" s="829">
        <v>80</v>
      </c>
      <c r="J46" s="829">
        <v>80</v>
      </c>
      <c r="K46" s="1021">
        <v>80</v>
      </c>
      <c r="L46" s="1022"/>
      <c r="M46" s="733">
        <f t="shared" si="0"/>
        <v>80</v>
      </c>
      <c r="N46" s="733">
        <f>M46+'Input Data Sertifikat ESU'!Q78</f>
        <v>80.000010000000003</v>
      </c>
      <c r="O46" s="733">
        <f t="shared" ref="O46:O47" si="1">IF(STDEV(G46:K46)=0,0.00001,STDEV(G46:K46))</f>
        <v>1.0000000000000001E-5</v>
      </c>
    </row>
    <row r="47" spans="1:21" ht="14.25" customHeight="1">
      <c r="A47" s="683"/>
      <c r="B47" s="830">
        <v>4</v>
      </c>
      <c r="C47" s="1012"/>
      <c r="D47" s="433">
        <v>100</v>
      </c>
      <c r="E47" s="1036"/>
      <c r="F47" s="1037"/>
      <c r="G47" s="829">
        <v>100</v>
      </c>
      <c r="H47" s="829">
        <v>100</v>
      </c>
      <c r="I47" s="829">
        <v>100</v>
      </c>
      <c r="J47" s="829">
        <v>100</v>
      </c>
      <c r="K47" s="1021">
        <v>100</v>
      </c>
      <c r="L47" s="1022"/>
      <c r="M47" s="733">
        <f t="shared" si="0"/>
        <v>100</v>
      </c>
      <c r="N47" s="733">
        <f>M47+'Input Data Sertifikat ESU'!Q79</f>
        <v>100.00001</v>
      </c>
      <c r="O47" s="733">
        <f t="shared" si="1"/>
        <v>1.0000000000000001E-5</v>
      </c>
    </row>
    <row r="48" spans="1:21" ht="14.25" customHeight="1">
      <c r="A48" s="683"/>
      <c r="B48" s="830">
        <v>5</v>
      </c>
      <c r="C48" s="1012"/>
      <c r="D48" s="433">
        <v>150</v>
      </c>
      <c r="E48" s="1038"/>
      <c r="F48" s="1039"/>
      <c r="G48" s="829">
        <v>150</v>
      </c>
      <c r="H48" s="829">
        <v>150</v>
      </c>
      <c r="I48" s="829">
        <v>150</v>
      </c>
      <c r="J48" s="829">
        <v>150</v>
      </c>
      <c r="K48" s="1021">
        <v>150</v>
      </c>
      <c r="L48" s="1022"/>
      <c r="M48" s="733">
        <f t="shared" si="0"/>
        <v>150</v>
      </c>
      <c r="N48" s="733">
        <f>M48+'Input Data Sertifikat ESU'!Q80</f>
        <v>150.00001</v>
      </c>
      <c r="O48" s="733">
        <f>IF(STDEV(G48:K48)=0,0.00001,STDEV(G48:K48))</f>
        <v>1.0000000000000001E-5</v>
      </c>
    </row>
    <row r="49" spans="1:16" ht="15" hidden="1" customHeight="1">
      <c r="A49" s="683"/>
      <c r="B49" s="830">
        <v>6</v>
      </c>
      <c r="C49" s="1012"/>
      <c r="D49" s="732">
        <v>240</v>
      </c>
      <c r="E49" s="734"/>
      <c r="F49" s="734"/>
      <c r="G49" s="1018">
        <v>232</v>
      </c>
      <c r="H49" s="1019"/>
      <c r="I49" s="1018">
        <v>232</v>
      </c>
      <c r="J49" s="1019"/>
      <c r="K49" s="1018">
        <v>232</v>
      </c>
      <c r="L49" s="1019"/>
      <c r="M49" s="733">
        <f t="shared" si="0"/>
        <v>232</v>
      </c>
      <c r="N49" s="735">
        <f>M49+'Input Data Sertifikat ESU'!Q81</f>
        <v>232.00001</v>
      </c>
      <c r="O49" s="735">
        <f t="shared" ref="O49:O51" si="2">STDEV(G49:K49)</f>
        <v>0</v>
      </c>
    </row>
    <row r="50" spans="1:16" ht="15" hidden="1" customHeight="1">
      <c r="A50" s="683"/>
      <c r="B50" s="830">
        <v>7</v>
      </c>
      <c r="C50" s="1012"/>
      <c r="D50" s="732">
        <v>280</v>
      </c>
      <c r="E50" s="734"/>
      <c r="F50" s="734"/>
      <c r="G50" s="1018">
        <v>280</v>
      </c>
      <c r="H50" s="1019"/>
      <c r="I50" s="1018">
        <v>280</v>
      </c>
      <c r="J50" s="1019"/>
      <c r="K50" s="1018">
        <v>280</v>
      </c>
      <c r="L50" s="1019"/>
      <c r="M50" s="733">
        <f t="shared" si="0"/>
        <v>280</v>
      </c>
      <c r="N50" s="735">
        <f>M50+'Input Data Sertifikat ESU'!Q82</f>
        <v>280.00000999999997</v>
      </c>
      <c r="O50" s="735">
        <f t="shared" si="2"/>
        <v>0</v>
      </c>
    </row>
    <row r="51" spans="1:16" ht="15" hidden="1" customHeight="1">
      <c r="A51" s="683"/>
      <c r="B51" s="830">
        <v>8</v>
      </c>
      <c r="C51" s="1012"/>
      <c r="D51" s="732">
        <v>320</v>
      </c>
      <c r="E51" s="734"/>
      <c r="F51" s="734"/>
      <c r="G51" s="1018">
        <v>311</v>
      </c>
      <c r="H51" s="1019"/>
      <c r="I51" s="1018">
        <v>311</v>
      </c>
      <c r="J51" s="1019"/>
      <c r="K51" s="1018">
        <v>311</v>
      </c>
      <c r="L51" s="1019"/>
      <c r="M51" s="733">
        <f t="shared" si="0"/>
        <v>311</v>
      </c>
      <c r="N51" s="735">
        <f>M51+'Input Data Sertifikat ESU'!Q83</f>
        <v>311.00000999999997</v>
      </c>
      <c r="O51" s="735">
        <f t="shared" si="2"/>
        <v>0</v>
      </c>
    </row>
    <row r="52" spans="1:16" ht="22.5" customHeight="1">
      <c r="A52" s="683"/>
      <c r="B52" s="1057" t="s">
        <v>148</v>
      </c>
      <c r="C52" s="1057"/>
      <c r="D52" s="1057"/>
      <c r="E52" s="1057"/>
      <c r="F52" s="1057"/>
      <c r="G52" s="1057"/>
      <c r="H52" s="1057"/>
      <c r="I52" s="1057"/>
      <c r="J52" s="1057"/>
      <c r="K52" s="1057"/>
      <c r="L52" s="1057"/>
      <c r="M52" s="1057"/>
      <c r="N52" s="683"/>
      <c r="O52" s="683"/>
    </row>
    <row r="53" spans="1:16" ht="15" customHeight="1">
      <c r="A53" s="683"/>
      <c r="B53" s="1030" t="s">
        <v>0</v>
      </c>
      <c r="C53" s="1030" t="s">
        <v>50</v>
      </c>
      <c r="D53" s="1009" t="s">
        <v>143</v>
      </c>
      <c r="E53" s="1012" t="s">
        <v>389</v>
      </c>
      <c r="F53" s="1012"/>
      <c r="G53" s="1011" t="s">
        <v>74</v>
      </c>
      <c r="H53" s="1011"/>
      <c r="I53" s="1011"/>
      <c r="J53" s="1011"/>
      <c r="K53" s="1011"/>
      <c r="L53" s="1011"/>
      <c r="M53" s="1025" t="s">
        <v>144</v>
      </c>
      <c r="N53" s="1027" t="s">
        <v>145</v>
      </c>
      <c r="O53" s="1023" t="s">
        <v>146</v>
      </c>
    </row>
    <row r="54" spans="1:16" ht="14">
      <c r="A54" s="683"/>
      <c r="B54" s="1031"/>
      <c r="C54" s="1031"/>
      <c r="D54" s="1010"/>
      <c r="E54" s="1012"/>
      <c r="F54" s="1012"/>
      <c r="G54" s="830" t="s">
        <v>77</v>
      </c>
      <c r="H54" s="830" t="s">
        <v>78</v>
      </c>
      <c r="I54" s="830" t="s">
        <v>79</v>
      </c>
      <c r="J54" s="830" t="s">
        <v>80</v>
      </c>
      <c r="K54" s="1013" t="s">
        <v>40</v>
      </c>
      <c r="L54" s="1013"/>
      <c r="M54" s="1026"/>
      <c r="N54" s="1028"/>
      <c r="O54" s="1024"/>
    </row>
    <row r="55" spans="1:16" ht="14.25" customHeight="1">
      <c r="A55" s="683"/>
      <c r="B55" s="830">
        <v>1</v>
      </c>
      <c r="C55" s="1009" t="s">
        <v>149</v>
      </c>
      <c r="D55" s="433">
        <v>20</v>
      </c>
      <c r="E55" s="1034">
        <v>250</v>
      </c>
      <c r="F55" s="1035"/>
      <c r="G55" s="829">
        <v>20</v>
      </c>
      <c r="H55" s="829">
        <v>20</v>
      </c>
      <c r="I55" s="829">
        <v>20</v>
      </c>
      <c r="J55" s="829">
        <v>20</v>
      </c>
      <c r="K55" s="1029">
        <v>20</v>
      </c>
      <c r="L55" s="1029"/>
      <c r="M55" s="733">
        <f>AVERAGE(G55:L55)</f>
        <v>20</v>
      </c>
      <c r="N55" s="733">
        <f>M55+'Input Data Sertifikat ESU'!Q86</f>
        <v>20.00001</v>
      </c>
      <c r="O55" s="733">
        <f t="shared" ref="O55:O59" si="3">IF(STDEV(G55:K55)=0,0.00001,STDEV(G55:K55))</f>
        <v>1.0000000000000001E-5</v>
      </c>
    </row>
    <row r="56" spans="1:16" ht="14.25" customHeight="1">
      <c r="A56" s="683"/>
      <c r="B56" s="830">
        <v>2</v>
      </c>
      <c r="C56" s="1020"/>
      <c r="D56" s="433">
        <v>50</v>
      </c>
      <c r="E56" s="1036"/>
      <c r="F56" s="1037"/>
      <c r="G56" s="829">
        <v>50</v>
      </c>
      <c r="H56" s="829">
        <v>50</v>
      </c>
      <c r="I56" s="829">
        <v>50</v>
      </c>
      <c r="J56" s="829">
        <v>50</v>
      </c>
      <c r="K56" s="1021">
        <v>50</v>
      </c>
      <c r="L56" s="1022"/>
      <c r="M56" s="733">
        <f t="shared" ref="M56:M57" si="4">AVERAGE(G56:L56)</f>
        <v>50</v>
      </c>
      <c r="N56" s="733">
        <f>M56+'Input Data Sertifikat ESU'!Q87</f>
        <v>50.000010000000003</v>
      </c>
      <c r="O56" s="733">
        <f t="shared" si="3"/>
        <v>1.0000000000000001E-5</v>
      </c>
    </row>
    <row r="57" spans="1:16" ht="14.25" customHeight="1">
      <c r="A57" s="683"/>
      <c r="B57" s="830">
        <v>3</v>
      </c>
      <c r="C57" s="1020"/>
      <c r="D57" s="433">
        <v>80</v>
      </c>
      <c r="E57" s="1036"/>
      <c r="F57" s="1037"/>
      <c r="G57" s="829">
        <v>80</v>
      </c>
      <c r="H57" s="829">
        <v>80</v>
      </c>
      <c r="I57" s="829">
        <v>80</v>
      </c>
      <c r="J57" s="829">
        <v>80</v>
      </c>
      <c r="K57" s="1021">
        <v>80</v>
      </c>
      <c r="L57" s="1022"/>
      <c r="M57" s="733">
        <f t="shared" si="4"/>
        <v>80</v>
      </c>
      <c r="N57" s="733">
        <f>M57+'Input Data Sertifikat ESU'!Q88</f>
        <v>80.000010000000003</v>
      </c>
      <c r="O57" s="733">
        <f t="shared" si="3"/>
        <v>1.0000000000000001E-5</v>
      </c>
    </row>
    <row r="58" spans="1:16" ht="14.25" customHeight="1">
      <c r="A58" s="683"/>
      <c r="B58" s="830">
        <v>4</v>
      </c>
      <c r="C58" s="1020"/>
      <c r="D58" s="433">
        <v>100</v>
      </c>
      <c r="E58" s="1036"/>
      <c r="F58" s="1037"/>
      <c r="G58" s="829">
        <v>100</v>
      </c>
      <c r="H58" s="829">
        <v>100</v>
      </c>
      <c r="I58" s="829">
        <v>100</v>
      </c>
      <c r="J58" s="829">
        <v>100</v>
      </c>
      <c r="K58" s="1021">
        <v>100</v>
      </c>
      <c r="L58" s="1022"/>
      <c r="M58" s="733">
        <f>AVERAGE(G58:L58)</f>
        <v>100</v>
      </c>
      <c r="N58" s="733">
        <f>M58+'Input Data Sertifikat ESU'!Q89</f>
        <v>100.00001</v>
      </c>
      <c r="O58" s="733">
        <f t="shared" si="3"/>
        <v>1.0000000000000001E-5</v>
      </c>
    </row>
    <row r="59" spans="1:16" ht="14.25" customHeight="1">
      <c r="A59" s="683"/>
      <c r="B59" s="830">
        <v>5</v>
      </c>
      <c r="C59" s="1010"/>
      <c r="D59" s="433">
        <v>150</v>
      </c>
      <c r="E59" s="1038"/>
      <c r="F59" s="1039"/>
      <c r="G59" s="829">
        <v>150</v>
      </c>
      <c r="H59" s="829">
        <v>150</v>
      </c>
      <c r="I59" s="829">
        <v>150</v>
      </c>
      <c r="J59" s="829">
        <v>150</v>
      </c>
      <c r="K59" s="1021">
        <v>150</v>
      </c>
      <c r="L59" s="1022"/>
      <c r="M59" s="733">
        <f>AVERAGE(G59:L59)</f>
        <v>150</v>
      </c>
      <c r="N59" s="733">
        <f>M59+'Input Data Sertifikat ESU'!Q90</f>
        <v>150.00001</v>
      </c>
      <c r="O59" s="733">
        <f t="shared" si="3"/>
        <v>1.0000000000000001E-5</v>
      </c>
    </row>
    <row r="60" spans="1:16" ht="15" customHeight="1">
      <c r="A60" s="683"/>
      <c r="B60" s="683"/>
      <c r="C60" s="683"/>
      <c r="D60" s="683"/>
      <c r="E60" s="683"/>
      <c r="F60" s="683"/>
      <c r="G60" s="683"/>
      <c r="H60" s="683"/>
      <c r="I60" s="683"/>
      <c r="J60" s="683"/>
      <c r="K60" s="683"/>
      <c r="L60" s="683"/>
      <c r="M60" s="683"/>
      <c r="N60" s="683"/>
      <c r="O60" s="683"/>
    </row>
    <row r="61" spans="1:16" ht="14">
      <c r="A61" s="683"/>
      <c r="B61" s="736"/>
      <c r="C61" s="737"/>
      <c r="D61" s="738"/>
      <c r="E61" s="739"/>
      <c r="F61" s="739"/>
      <c r="G61" s="739"/>
      <c r="H61" s="739"/>
      <c r="I61" s="739"/>
      <c r="J61" s="739"/>
      <c r="K61" s="739"/>
      <c r="L61" s="739"/>
      <c r="M61" s="740"/>
      <c r="N61" s="741"/>
      <c r="O61" s="741"/>
      <c r="P61" s="742"/>
    </row>
    <row r="62" spans="1:16" ht="14.25" customHeight="1">
      <c r="A62" s="702" t="s">
        <v>85</v>
      </c>
      <c r="B62" s="702" t="s">
        <v>150</v>
      </c>
      <c r="C62" s="683"/>
      <c r="D62" s="739"/>
      <c r="E62" s="739"/>
      <c r="F62" s="739"/>
      <c r="G62" s="739"/>
      <c r="H62" s="739"/>
      <c r="I62" s="739"/>
      <c r="J62" s="739"/>
      <c r="K62" s="739"/>
      <c r="L62" s="739"/>
      <c r="M62" s="740"/>
      <c r="N62" s="741"/>
      <c r="O62" s="741"/>
      <c r="P62" s="742"/>
    </row>
    <row r="63" spans="1:16" ht="13.5" customHeight="1">
      <c r="A63" s="688"/>
      <c r="B63" s="743" t="s">
        <v>151</v>
      </c>
      <c r="C63" s="683"/>
      <c r="D63" s="688"/>
      <c r="E63" s="688"/>
      <c r="F63" s="688"/>
      <c r="G63" s="688"/>
      <c r="H63" s="688"/>
      <c r="I63" s="688"/>
      <c r="J63" s="688"/>
      <c r="K63" s="688"/>
      <c r="L63" s="688"/>
      <c r="M63" s="688"/>
      <c r="N63" s="688"/>
      <c r="O63" s="688"/>
      <c r="P63" s="742"/>
    </row>
    <row r="64" spans="1:16" ht="14.25" customHeight="1">
      <c r="A64" s="688"/>
      <c r="B64" s="744" t="str">
        <f>'DB Kelistrikan '!N178</f>
        <v>Hasil pengukuran keselamatan listrik tertelusur ke Satuan Internasional ( SI ) melalui PT. Kaliman</v>
      </c>
      <c r="C64" s="683"/>
      <c r="D64" s="688"/>
      <c r="E64" s="688"/>
      <c r="F64" s="688"/>
      <c r="G64" s="688"/>
      <c r="H64" s="688"/>
      <c r="I64" s="688"/>
      <c r="J64" s="688"/>
      <c r="K64" s="688"/>
      <c r="L64" s="688"/>
      <c r="M64" s="688"/>
      <c r="N64" s="688"/>
      <c r="O64" s="688"/>
      <c r="P64" s="689"/>
    </row>
    <row r="65" spans="1:18" ht="14.25" hidden="1" customHeight="1">
      <c r="A65" s="688"/>
      <c r="B65" s="688" t="str">
        <f>IF($B$75='Input Data Sertifikat ESU'!$A$106,"Hasil pengujian arus bocor karena frekuensi tinggi tertelusur ke Satuan Internasional melalui BPFK Jakarta","Hasil pengujian arus bocor karena frekuensi tinggi tertelusur ke Satuan Internasional melalui CALTEK PTE. LTD.")</f>
        <v>Hasil pengujian arus bocor karena frekuensi tinggi tertelusur ke Satuan Internasional melalui CALTEK PTE. LTD.</v>
      </c>
      <c r="C65" s="683"/>
      <c r="D65" s="688"/>
      <c r="E65" s="688"/>
      <c r="F65" s="688"/>
      <c r="G65" s="688"/>
      <c r="H65" s="688"/>
      <c r="I65" s="688"/>
      <c r="J65" s="688"/>
      <c r="K65" s="688"/>
      <c r="L65" s="688"/>
      <c r="M65" s="688"/>
      <c r="N65" s="688"/>
      <c r="O65" s="688"/>
      <c r="P65" s="689"/>
      <c r="R65" s="743"/>
    </row>
    <row r="66" spans="1:18" ht="16" hidden="1" customHeight="1">
      <c r="A66" s="688"/>
      <c r="B66" s="688" t="str">
        <f>IF($B$75='Input Data Sertifikat ESU'!$A$106,"Hasil pengujian contact quality monitoring / REM tertelusur ke Satuan Internasional melalui BPFK Jakarta","Hasil pengujian contact quality monitoring / REM tertelusur ke Satuan Internasional melalui CALTEK PTE. LTD.")</f>
        <v>Hasil pengujian contact quality monitoring / REM tertelusur ke Satuan Internasional melalui CALTEK PTE. LTD.</v>
      </c>
      <c r="C66" s="683"/>
      <c r="D66" s="688"/>
      <c r="E66" s="688"/>
      <c r="F66" s="688"/>
      <c r="G66" s="688"/>
      <c r="H66" s="688"/>
      <c r="I66" s="688"/>
      <c r="J66" s="688"/>
      <c r="K66" s="688"/>
      <c r="L66" s="688"/>
      <c r="M66" s="688"/>
      <c r="N66" s="688"/>
      <c r="O66" s="688"/>
      <c r="P66" s="689"/>
      <c r="R66" s="743"/>
    </row>
    <row r="67" spans="1:18" ht="14.25" customHeight="1">
      <c r="A67" s="688"/>
      <c r="B67" s="688" t="str">
        <f>IF($B$75='Input Data Sertifikat ESU'!$A$106,"Hasil Kalibrasi daya keluaran tertelusur ke Satuan Internasional melalui BPFK Jakarta","Hasil Kalibrasi daya keluaran tertelusur ke Satuan Internasional melalui CALTEK PTE. LTD.")</f>
        <v>Hasil Kalibrasi daya keluaran tertelusur ke Satuan Internasional melalui CALTEK PTE. LTD.</v>
      </c>
      <c r="C67" s="683"/>
      <c r="D67" s="688"/>
      <c r="E67" s="688"/>
      <c r="F67" s="688"/>
      <c r="G67" s="688"/>
      <c r="H67" s="688"/>
      <c r="I67" s="688"/>
      <c r="J67" s="688"/>
      <c r="K67" s="688"/>
      <c r="L67" s="688"/>
      <c r="M67" s="688"/>
      <c r="N67" s="688"/>
      <c r="O67" s="688"/>
      <c r="P67" s="689"/>
      <c r="Q67" s="745"/>
    </row>
    <row r="68" spans="1:18" ht="14.25" customHeight="1">
      <c r="A68" s="688"/>
      <c r="B68" s="688" t="str">
        <f>'Kata-kata'!H24&amp;'Kata-kata'!I24&amp;'Kata-kata'!J24</f>
        <v>Pengaturan load cutting pada 250Ω</v>
      </c>
      <c r="C68" s="683"/>
      <c r="D68" s="688"/>
      <c r="E68" s="688"/>
      <c r="F68" s="688"/>
      <c r="G68" s="688"/>
      <c r="H68" s="688"/>
      <c r="I68" s="688"/>
      <c r="J68" s="688"/>
      <c r="K68" s="688"/>
      <c r="L68" s="688"/>
      <c r="M68" s="688"/>
      <c r="N68" s="688"/>
      <c r="O68" s="688"/>
      <c r="P68" s="689"/>
      <c r="Q68" s="745"/>
    </row>
    <row r="69" spans="1:18" ht="14.25" customHeight="1">
      <c r="A69" s="688"/>
      <c r="B69" s="688" t="str">
        <f>'Kata-kata'!H25&amp;'Kata-kata'!I25&amp;'Kata-kata'!J25</f>
        <v>Pengaturan load coagulating pada 250Ω</v>
      </c>
      <c r="C69" s="683"/>
      <c r="D69" s="688"/>
      <c r="E69" s="688"/>
      <c r="F69" s="688"/>
      <c r="G69" s="688"/>
      <c r="H69" s="688"/>
      <c r="I69" s="688"/>
      <c r="J69" s="688"/>
      <c r="K69" s="688"/>
      <c r="L69" s="688"/>
      <c r="M69" s="688"/>
      <c r="N69" s="688"/>
      <c r="O69" s="688"/>
      <c r="P69" s="689"/>
      <c r="Q69" s="745"/>
    </row>
    <row r="70" spans="1:18" ht="14.25" customHeight="1">
      <c r="A70" s="683"/>
      <c r="B70" s="918" t="str">
        <f>'Penyelia Kalibrasi'!W20</f>
        <v>Alat tidak boleh digunakan pada instalasi tanpa dilengkapi grounding</v>
      </c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688"/>
      <c r="N70" s="688"/>
      <c r="O70" s="688"/>
      <c r="P70" s="689"/>
      <c r="Q70" s="747"/>
    </row>
    <row r="71" spans="1:18" ht="14.25" customHeight="1">
      <c r="A71" s="683"/>
      <c r="B71" s="688"/>
      <c r="C71" s="748"/>
      <c r="D71" s="688"/>
      <c r="E71" s="688"/>
      <c r="F71" s="688"/>
      <c r="G71" s="688"/>
      <c r="H71" s="688"/>
      <c r="I71" s="688"/>
      <c r="J71" s="688"/>
      <c r="K71" s="688"/>
      <c r="L71" s="688"/>
      <c r="M71" s="688"/>
      <c r="N71" s="688"/>
      <c r="O71" s="688"/>
      <c r="P71" s="689"/>
      <c r="Q71" s="749"/>
    </row>
    <row r="72" spans="1:18" ht="14.25" customHeight="1">
      <c r="A72" s="683"/>
      <c r="B72" s="688"/>
      <c r="C72" s="748"/>
      <c r="D72" s="688"/>
      <c r="E72" s="688"/>
      <c r="F72" s="688"/>
      <c r="G72" s="688"/>
      <c r="H72" s="688"/>
      <c r="I72" s="688"/>
      <c r="J72" s="688"/>
      <c r="K72" s="688"/>
      <c r="L72" s="688"/>
      <c r="M72" s="688"/>
      <c r="N72" s="688"/>
      <c r="O72" s="688"/>
      <c r="P72" s="689"/>
      <c r="Q72" s="750"/>
    </row>
    <row r="73" spans="1:18" ht="14.25" customHeight="1">
      <c r="A73" s="702" t="s">
        <v>89</v>
      </c>
      <c r="B73" s="702" t="s">
        <v>90</v>
      </c>
      <c r="C73" s="683"/>
      <c r="D73" s="702"/>
      <c r="E73" s="688"/>
      <c r="F73" s="688"/>
      <c r="G73" s="688"/>
      <c r="H73" s="688"/>
      <c r="I73" s="688"/>
      <c r="J73" s="688"/>
      <c r="K73" s="688"/>
      <c r="L73" s="688"/>
      <c r="M73" s="688"/>
      <c r="N73" s="688"/>
      <c r="O73" s="688"/>
      <c r="P73" s="689"/>
    </row>
    <row r="74" spans="1:18" ht="14">
      <c r="A74" s="683"/>
      <c r="B74" s="1042" t="s">
        <v>152</v>
      </c>
      <c r="C74" s="1043"/>
      <c r="D74" s="1043"/>
      <c r="E74" s="1043"/>
      <c r="F74" s="1043"/>
      <c r="G74" s="1043"/>
      <c r="H74" s="1043"/>
      <c r="I74" s="1043"/>
      <c r="J74" s="1043"/>
      <c r="K74" s="1043"/>
      <c r="L74" s="1043"/>
      <c r="M74" s="1043"/>
      <c r="N74" s="1043"/>
      <c r="O74" s="688"/>
      <c r="P74" s="689"/>
    </row>
    <row r="75" spans="1:18" ht="14.25" customHeight="1">
      <c r="A75" s="683"/>
      <c r="B75" s="1032" t="s">
        <v>153</v>
      </c>
      <c r="C75" s="1032"/>
      <c r="D75" s="1032"/>
      <c r="E75" s="1032"/>
      <c r="F75" s="1032"/>
      <c r="G75" s="1032"/>
      <c r="H75" s="1032"/>
      <c r="I75" s="1032"/>
      <c r="J75" s="1032"/>
      <c r="K75" s="1032"/>
      <c r="L75" s="1032"/>
      <c r="M75" s="1032"/>
      <c r="N75" s="1032"/>
      <c r="O75" s="688"/>
      <c r="P75" s="689"/>
      <c r="Q75" s="688"/>
    </row>
    <row r="76" spans="1:18" ht="14">
      <c r="A76" s="683"/>
      <c r="B76" s="1032" t="s">
        <v>154</v>
      </c>
      <c r="C76" s="1032"/>
      <c r="D76" s="1032"/>
      <c r="E76" s="1032"/>
      <c r="F76" s="1032"/>
      <c r="G76" s="1032"/>
      <c r="H76" s="1032"/>
      <c r="I76" s="1032"/>
      <c r="J76" s="1032"/>
      <c r="K76" s="1032"/>
      <c r="L76" s="1032"/>
      <c r="M76" s="1032"/>
      <c r="N76" s="1032"/>
      <c r="O76" s="688"/>
      <c r="P76" s="689"/>
    </row>
    <row r="77" spans="1:18" ht="14">
      <c r="A77" s="683"/>
      <c r="B77" s="688"/>
      <c r="C77" s="688"/>
      <c r="D77" s="683"/>
      <c r="E77" s="683"/>
      <c r="F77" s="683"/>
      <c r="G77" s="683"/>
      <c r="H77" s="683"/>
      <c r="I77" s="683"/>
      <c r="J77" s="683"/>
      <c r="K77" s="683"/>
      <c r="L77" s="683"/>
      <c r="M77" s="683"/>
      <c r="N77" s="683"/>
      <c r="O77" s="683"/>
      <c r="P77" s="689"/>
    </row>
    <row r="78" spans="1:18" ht="14">
      <c r="A78" s="702" t="s">
        <v>102</v>
      </c>
      <c r="B78" s="751" t="s">
        <v>155</v>
      </c>
      <c r="C78" s="683"/>
      <c r="D78" s="688"/>
      <c r="E78" s="688"/>
      <c r="F78" s="688"/>
      <c r="G78" s="688"/>
      <c r="H78" s="688"/>
      <c r="I78" s="688"/>
      <c r="J78" s="688"/>
      <c r="K78" s="688"/>
      <c r="L78" s="688"/>
      <c r="M78" s="688"/>
      <c r="N78" s="688"/>
      <c r="O78" s="688"/>
    </row>
    <row r="79" spans="1:18" ht="15" customHeight="1">
      <c r="A79" s="683"/>
      <c r="B79" s="1033" t="str">
        <f>LOOKUP(H2,'Kata-kata'!B12:B13,'Kata-kata'!C12:C13)</f>
        <v>Alat yang dikalibrasi dalam batas toleransi dan dinyatakan LAIK PAKAI, dimana hasil atau skor akhir sama dengan atau melampaui 70 % berdasarkan Keputusan Direktur Jenderal Pelayanan Kesehatan No : HK.02.02/V/0412/2020</v>
      </c>
      <c r="C79" s="1033"/>
      <c r="D79" s="1033"/>
      <c r="E79" s="1033"/>
      <c r="F79" s="1033"/>
      <c r="G79" s="1033"/>
      <c r="H79" s="1033"/>
      <c r="I79" s="1033"/>
      <c r="J79" s="1033"/>
      <c r="K79" s="1033"/>
      <c r="L79" s="1033"/>
      <c r="M79" s="1033"/>
      <c r="N79" s="1033"/>
      <c r="O79" s="1033"/>
      <c r="P79" s="689"/>
    </row>
    <row r="80" spans="1:18" ht="15" customHeight="1">
      <c r="A80" s="683"/>
      <c r="B80" s="1033"/>
      <c r="C80" s="1033"/>
      <c r="D80" s="1033"/>
      <c r="E80" s="1033"/>
      <c r="F80" s="1033"/>
      <c r="G80" s="1033"/>
      <c r="H80" s="1033"/>
      <c r="I80" s="1033"/>
      <c r="J80" s="1033"/>
      <c r="K80" s="1033"/>
      <c r="L80" s="1033"/>
      <c r="M80" s="1033"/>
      <c r="N80" s="1033"/>
      <c r="O80" s="1033"/>
      <c r="P80" s="689"/>
    </row>
    <row r="81" spans="1:17" ht="14">
      <c r="A81" s="683"/>
      <c r="B81" s="688"/>
      <c r="C81" s="688"/>
      <c r="D81" s="688" t="s">
        <v>108</v>
      </c>
      <c r="E81" s="688"/>
      <c r="F81" s="688"/>
      <c r="G81" s="688"/>
      <c r="H81" s="688"/>
      <c r="I81" s="688"/>
      <c r="J81" s="688"/>
      <c r="K81" s="688"/>
      <c r="L81" s="688"/>
      <c r="M81" s="688"/>
      <c r="N81" s="688"/>
      <c r="O81" s="688"/>
    </row>
    <row r="82" spans="1:17" ht="14">
      <c r="A82" s="702" t="s">
        <v>156</v>
      </c>
      <c r="B82" s="702" t="s">
        <v>103</v>
      </c>
      <c r="C82" s="683"/>
      <c r="D82" s="688"/>
      <c r="E82" s="688"/>
      <c r="F82" s="688"/>
      <c r="G82" s="688"/>
      <c r="H82" s="688"/>
      <c r="I82" s="688"/>
      <c r="J82" s="688"/>
      <c r="K82" s="688"/>
      <c r="L82" s="688"/>
      <c r="M82" s="688"/>
      <c r="N82" s="688"/>
      <c r="O82" s="688"/>
      <c r="P82" s="689"/>
    </row>
    <row r="83" spans="1:17" ht="14.25" customHeight="1">
      <c r="A83" s="683"/>
      <c r="B83" s="1040" t="s">
        <v>157</v>
      </c>
      <c r="C83" s="1040"/>
      <c r="D83" s="1040"/>
      <c r="E83" s="1040"/>
      <c r="F83" s="1040"/>
      <c r="G83" s="688"/>
      <c r="H83" s="688"/>
      <c r="I83" s="688"/>
      <c r="J83" s="688"/>
      <c r="K83" s="688"/>
      <c r="L83" s="688"/>
      <c r="M83" s="688"/>
      <c r="N83" s="688"/>
      <c r="O83" s="688"/>
      <c r="P83" s="689"/>
    </row>
    <row r="84" spans="1:17" ht="14">
      <c r="A84" s="683"/>
      <c r="B84" s="688"/>
      <c r="C84" s="688"/>
      <c r="D84" s="688"/>
      <c r="E84" s="688"/>
      <c r="F84" s="688"/>
      <c r="G84" s="688"/>
      <c r="H84" s="688"/>
      <c r="I84" s="688"/>
      <c r="J84" s="688"/>
      <c r="K84" s="688"/>
      <c r="L84" s="688"/>
      <c r="M84" s="688"/>
      <c r="N84" s="688"/>
      <c r="O84" s="688"/>
      <c r="P84" s="689"/>
    </row>
    <row r="85" spans="1:17" ht="12.75" customHeight="1">
      <c r="A85" s="751" t="s">
        <v>158</v>
      </c>
      <c r="B85" s="751" t="s">
        <v>159</v>
      </c>
      <c r="C85" s="683"/>
      <c r="D85" s="697"/>
      <c r="E85" s="697"/>
      <c r="F85" s="688"/>
      <c r="G85" s="688"/>
      <c r="H85" s="688"/>
      <c r="I85" s="688"/>
      <c r="J85" s="688"/>
      <c r="K85" s="688"/>
      <c r="L85" s="688"/>
      <c r="M85" s="688"/>
      <c r="N85" s="688"/>
      <c r="O85" s="688"/>
      <c r="P85" s="689"/>
    </row>
    <row r="86" spans="1:17" ht="12.75" customHeight="1">
      <c r="A86" s="683"/>
      <c r="B86" s="1041" t="s">
        <v>160</v>
      </c>
      <c r="C86" s="1041"/>
      <c r="D86" s="697"/>
      <c r="E86" s="697"/>
      <c r="F86" s="688"/>
      <c r="G86" s="688"/>
      <c r="H86" s="688"/>
      <c r="I86" s="688"/>
      <c r="J86" s="688"/>
      <c r="K86" s="688"/>
      <c r="L86" s="688"/>
      <c r="M86" s="688"/>
      <c r="N86" s="688"/>
      <c r="O86" s="688"/>
      <c r="P86" s="689"/>
    </row>
    <row r="87" spans="1:17" ht="14">
      <c r="A87" s="683"/>
      <c r="B87" s="688"/>
      <c r="C87" s="688"/>
      <c r="D87" s="688"/>
      <c r="E87" s="688"/>
      <c r="F87" s="688"/>
      <c r="G87" s="688"/>
      <c r="H87" s="688"/>
      <c r="I87" s="688"/>
      <c r="J87" s="688"/>
      <c r="K87" s="688"/>
      <c r="L87" s="688"/>
      <c r="M87" s="688"/>
      <c r="N87" s="688"/>
      <c r="O87" s="688"/>
      <c r="P87" s="689"/>
    </row>
    <row r="88" spans="1:17" ht="14">
      <c r="P88" s="689"/>
    </row>
    <row r="90" spans="1:17" ht="13.5" customHeight="1">
      <c r="M90" s="752"/>
      <c r="N90" s="753"/>
    </row>
    <row r="91" spans="1:17">
      <c r="M91" s="754"/>
      <c r="N91" s="753"/>
    </row>
    <row r="94" spans="1:17" ht="14.5">
      <c r="D94" s="755"/>
      <c r="Q94" s="834"/>
    </row>
    <row r="95" spans="1:17" ht="14.5">
      <c r="D95" s="755"/>
      <c r="Q95" s="834"/>
    </row>
    <row r="96" spans="1:17" ht="14.5">
      <c r="Q96" s="834"/>
    </row>
    <row r="97" spans="2:17" ht="14.5">
      <c r="Q97" s="834"/>
    </row>
    <row r="98" spans="2:17" ht="14.5">
      <c r="Q98" s="834"/>
    </row>
    <row r="99" spans="2:17" ht="14.5">
      <c r="Q99" s="834"/>
    </row>
    <row r="100" spans="2:17" ht="14.5">
      <c r="Q100" s="834"/>
    </row>
    <row r="101" spans="2:17" ht="12.75" customHeight="1">
      <c r="L101" s="756"/>
      <c r="P101" s="757"/>
      <c r="Q101" s="834"/>
    </row>
    <row r="102" spans="2:17" ht="12.75" customHeight="1">
      <c r="P102" s="758"/>
      <c r="Q102" s="834"/>
    </row>
    <row r="103" spans="2:17" ht="12.75" customHeight="1">
      <c r="L103" s="756"/>
      <c r="Q103" s="750"/>
    </row>
    <row r="104" spans="2:17" ht="12.75" customHeight="1">
      <c r="Q104" s="750"/>
    </row>
    <row r="105" spans="2:17" ht="12.75" customHeight="1">
      <c r="P105" s="835"/>
      <c r="Q105" s="750"/>
    </row>
    <row r="106" spans="2:17" ht="12.75" customHeight="1">
      <c r="P106" s="701"/>
      <c r="Q106" s="701"/>
    </row>
    <row r="107" spans="2:17" ht="12.75" customHeight="1">
      <c r="B107" s="759"/>
      <c r="C107" s="759"/>
      <c r="D107" s="759"/>
      <c r="E107" s="759"/>
      <c r="F107" s="759"/>
      <c r="G107" s="759"/>
      <c r="H107" s="759"/>
      <c r="I107" s="759"/>
      <c r="J107" s="759"/>
      <c r="K107" s="759"/>
      <c r="M107" s="759"/>
      <c r="N107" s="759"/>
      <c r="O107" s="759"/>
    </row>
    <row r="108" spans="2:17" ht="14">
      <c r="B108" s="759"/>
      <c r="C108" s="697"/>
      <c r="D108" s="759"/>
      <c r="E108" s="759"/>
      <c r="F108" s="759"/>
      <c r="G108" s="759"/>
      <c r="H108" s="759"/>
      <c r="I108" s="759"/>
      <c r="J108" s="759"/>
      <c r="K108" s="759"/>
      <c r="M108" s="759"/>
      <c r="N108" s="759"/>
      <c r="O108" s="759"/>
      <c r="P108" s="759"/>
    </row>
    <row r="109" spans="2:17" ht="14">
      <c r="B109" s="760"/>
      <c r="C109" s="697"/>
      <c r="D109" s="760"/>
      <c r="E109" s="760"/>
      <c r="F109" s="760"/>
      <c r="G109" s="760"/>
      <c r="H109" s="760"/>
      <c r="I109" s="760"/>
      <c r="J109" s="760"/>
      <c r="K109" s="760"/>
      <c r="M109" s="760"/>
      <c r="N109" s="760"/>
      <c r="O109" s="760"/>
      <c r="P109" s="759"/>
    </row>
    <row r="110" spans="2:17" ht="12" customHeight="1">
      <c r="C110" s="697"/>
      <c r="P110" s="760"/>
    </row>
    <row r="111" spans="2:17" ht="14">
      <c r="C111" s="697"/>
      <c r="P111" s="761"/>
    </row>
    <row r="112" spans="2:17" ht="14">
      <c r="C112" s="697"/>
      <c r="D112" s="759"/>
      <c r="E112" s="759"/>
      <c r="F112" s="759"/>
      <c r="G112" s="759"/>
      <c r="H112" s="759"/>
      <c r="I112" s="759"/>
      <c r="J112" s="759"/>
      <c r="K112" s="759"/>
      <c r="M112" s="759"/>
      <c r="P112" s="761"/>
    </row>
    <row r="113" spans="2:27" s="759" customFormat="1" ht="15" customHeight="1">
      <c r="B113" s="681"/>
      <c r="C113" s="697"/>
      <c r="N113" s="681"/>
      <c r="O113" s="681"/>
      <c r="P113" s="761"/>
    </row>
    <row r="114" spans="2:27" s="759" customFormat="1" ht="14">
      <c r="B114" s="681"/>
      <c r="C114" s="697"/>
      <c r="N114" s="681"/>
      <c r="O114" s="681"/>
      <c r="P114" s="761"/>
      <c r="R114" s="762"/>
      <c r="S114" s="763"/>
      <c r="T114" s="763"/>
      <c r="U114" s="763"/>
      <c r="V114" s="763"/>
      <c r="W114" s="763"/>
      <c r="X114" s="681"/>
      <c r="Y114" s="681"/>
      <c r="Z114" s="681"/>
      <c r="AA114" s="681"/>
    </row>
    <row r="115" spans="2:27" s="759" customFormat="1" ht="14">
      <c r="B115" s="681"/>
      <c r="C115" s="681"/>
      <c r="D115" s="681"/>
      <c r="E115" s="681"/>
      <c r="F115" s="681"/>
      <c r="G115" s="681"/>
      <c r="H115" s="681"/>
      <c r="I115" s="681"/>
      <c r="J115" s="681"/>
      <c r="K115" s="681"/>
      <c r="M115" s="681"/>
      <c r="N115" s="681"/>
      <c r="O115" s="681"/>
      <c r="P115" s="761"/>
      <c r="R115" s="763"/>
      <c r="S115" s="763"/>
      <c r="T115" s="763"/>
      <c r="U115" s="763"/>
      <c r="V115" s="763"/>
      <c r="W115" s="763"/>
      <c r="X115" s="681"/>
      <c r="Y115" s="681"/>
      <c r="Z115" s="681"/>
      <c r="AA115" s="681"/>
    </row>
    <row r="116" spans="2:27">
      <c r="R116" s="759"/>
      <c r="S116" s="759"/>
      <c r="T116" s="759"/>
      <c r="U116" s="759"/>
      <c r="V116" s="759"/>
      <c r="W116" s="759"/>
    </row>
    <row r="120" spans="2:27" ht="13">
      <c r="C120" s="764"/>
    </row>
    <row r="121" spans="2:27" ht="13">
      <c r="C121" s="764"/>
    </row>
    <row r="122" spans="2:27" ht="13">
      <c r="C122" s="764"/>
    </row>
    <row r="123" spans="2:27" ht="13">
      <c r="C123" s="764"/>
    </row>
    <row r="124" spans="2:27" ht="13">
      <c r="C124" s="764"/>
    </row>
    <row r="125" spans="2:27" ht="13">
      <c r="C125" s="764"/>
    </row>
    <row r="126" spans="2:27" ht="13">
      <c r="C126" s="764"/>
    </row>
    <row r="127" spans="2:27" ht="13">
      <c r="C127" s="764"/>
    </row>
    <row r="128" spans="2:27" ht="13">
      <c r="C128" s="764"/>
    </row>
    <row r="129" spans="3:3" ht="13">
      <c r="C129" s="764"/>
    </row>
    <row r="130" spans="3:3" ht="13">
      <c r="C130" s="764"/>
    </row>
    <row r="131" spans="3:3" ht="13">
      <c r="C131" s="765"/>
    </row>
  </sheetData>
  <mergeCells count="83">
    <mergeCell ref="B52:M52"/>
    <mergeCell ref="C44:C51"/>
    <mergeCell ref="C24:K24"/>
    <mergeCell ref="L24:M24"/>
    <mergeCell ref="G37:H38"/>
    <mergeCell ref="B32:B33"/>
    <mergeCell ref="B37:B38"/>
    <mergeCell ref="B41:M41"/>
    <mergeCell ref="D42:D43"/>
    <mergeCell ref="M42:M43"/>
    <mergeCell ref="K35:L35"/>
    <mergeCell ref="C32:D33"/>
    <mergeCell ref="D37:F38"/>
    <mergeCell ref="D39:F39"/>
    <mergeCell ref="G39:H39"/>
    <mergeCell ref="G42:L42"/>
    <mergeCell ref="B53:B54"/>
    <mergeCell ref="K44:L44"/>
    <mergeCell ref="K43:L43"/>
    <mergeCell ref="K48:L48"/>
    <mergeCell ref="K47:L47"/>
    <mergeCell ref="K46:L46"/>
    <mergeCell ref="K45:L45"/>
    <mergeCell ref="E53:F54"/>
    <mergeCell ref="K49:L49"/>
    <mergeCell ref="G50:H50"/>
    <mergeCell ref="I50:J50"/>
    <mergeCell ref="K50:L50"/>
    <mergeCell ref="G51:H51"/>
    <mergeCell ref="E42:F43"/>
    <mergeCell ref="B42:B43"/>
    <mergeCell ref="C42:C43"/>
    <mergeCell ref="A1:O1"/>
    <mergeCell ref="N42:N43"/>
    <mergeCell ref="H14:I14"/>
    <mergeCell ref="H15:I15"/>
    <mergeCell ref="H16:I16"/>
    <mergeCell ref="F10:K10"/>
    <mergeCell ref="I32:J33"/>
    <mergeCell ref="I34:J34"/>
    <mergeCell ref="I35:J35"/>
    <mergeCell ref="C37:C38"/>
    <mergeCell ref="K32:L33"/>
    <mergeCell ref="K34:L34"/>
    <mergeCell ref="O42:O43"/>
    <mergeCell ref="N24:O24"/>
    <mergeCell ref="E44:F48"/>
    <mergeCell ref="B83:F83"/>
    <mergeCell ref="B86:C86"/>
    <mergeCell ref="B74:N74"/>
    <mergeCell ref="B75:N75"/>
    <mergeCell ref="E55:F59"/>
    <mergeCell ref="K58:L58"/>
    <mergeCell ref="K59:L59"/>
    <mergeCell ref="G49:H49"/>
    <mergeCell ref="I49:J49"/>
    <mergeCell ref="B76:N76"/>
    <mergeCell ref="B79:O80"/>
    <mergeCell ref="C55:C59"/>
    <mergeCell ref="K57:L57"/>
    <mergeCell ref="O53:O54"/>
    <mergeCell ref="K54:L54"/>
    <mergeCell ref="M53:M54"/>
    <mergeCell ref="N53:N54"/>
    <mergeCell ref="K55:L55"/>
    <mergeCell ref="K56:L56"/>
    <mergeCell ref="C53:C54"/>
    <mergeCell ref="P25:Q26"/>
    <mergeCell ref="R25:R26"/>
    <mergeCell ref="S25:S26"/>
    <mergeCell ref="D53:D54"/>
    <mergeCell ref="G53:L53"/>
    <mergeCell ref="E32:F33"/>
    <mergeCell ref="C34:D34"/>
    <mergeCell ref="E34:F34"/>
    <mergeCell ref="C35:D35"/>
    <mergeCell ref="E35:F35"/>
    <mergeCell ref="G34:H35"/>
    <mergeCell ref="G32:H33"/>
    <mergeCell ref="C26:K26"/>
    <mergeCell ref="C27:K27"/>
    <mergeCell ref="I51:J51"/>
    <mergeCell ref="K51:L51"/>
  </mergeCells>
  <phoneticPr fontId="40" type="noConversion"/>
  <conditionalFormatting sqref="R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3">
    <dataValidation allowBlank="1" showInputMessage="1" sqref="F10:K10 H2" xr:uid="{00000000-0002-0000-0400-000000000000}"/>
    <dataValidation type="list" allowBlank="1" showInputMessage="1" showErrorMessage="1" sqref="A1:O1" xr:uid="{1E780CF1-BFBC-450E-B889-6F80F3447F78}">
      <formula1>$S$1:$S$2</formula1>
    </dataValidation>
    <dataValidation type="list" allowBlank="1" showInputMessage="1" showErrorMessage="1" sqref="F20:F21" xr:uid="{00000000-0002-0000-0400-000004000000}">
      <formula1>$P$105:$P$106</formula1>
    </dataValidation>
  </dataValidations>
  <printOptions horizontalCentered="1"/>
  <pageMargins left="0.118110236220472" right="0.118110236220472" top="0.35433070866141703" bottom="0.35433070866141703" header="0" footer="0.74803149606299202"/>
  <pageSetup paperSize="9" scale="71" orientation="portrait" horizontalDpi="4294967294" verticalDpi="4294967294" r:id="rId1"/>
  <headerFooter>
    <oddHeader>&amp;R&amp;"Times New Roman,Regular"&amp;9KL.023-18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7000000}">
          <x14:formula1>
            <xm:f>'DB Thermohygro '!$A$357:$A$374</xm:f>
          </x14:formula1>
          <xm:sqref>B76:N76</xm:sqref>
        </x14:dataValidation>
        <x14:dataValidation type="list" allowBlank="1" showInputMessage="1" xr:uid="{00000000-0002-0000-0400-000001000000}">
          <x14:formula1>
            <xm:f>'Kata-kata'!$J$17:$J$18</xm:f>
          </x14:formula1>
          <xm:sqref>C26:K26</xm:sqref>
        </x14:dataValidation>
        <x14:dataValidation type="list" allowBlank="1" showInputMessage="1" xr:uid="{00000000-0002-0000-0400-000002000000}">
          <x14:formula1>
            <xm:f>'Penyelia Kalibrasi'!$W$28:$W$29</xm:f>
          </x14:formula1>
          <xm:sqref>C27:K27</xm:sqref>
        </x14:dataValidation>
        <x14:dataValidation type="list" allowBlank="1" showInputMessage="1" showErrorMessage="1" xr:uid="{8F2EF70C-4B92-42DB-B779-4714E457CB3A}">
          <x14:formula1>
            <xm:f>'Input Data Sertifikat ESU'!$A$106:$A$111</xm:f>
          </x14:formula1>
          <xm:sqref>B74:N74</xm:sqref>
        </x14:dataValidation>
        <x14:dataValidation type="list" allowBlank="1" showInputMessage="1" showErrorMessage="1" xr:uid="{0F66C497-BAE5-47DB-A92D-9C386BEA7978}">
          <x14:formula1>
            <xm:f>'DB Kelistrikan '!$A$166:$A$177</xm:f>
          </x14:formula1>
          <xm:sqref>B75:N75</xm:sqref>
        </x14:dataValidation>
        <x14:dataValidation type="list" allowBlank="1" showInputMessage="1" showErrorMessage="1" xr:uid="{D64F65B7-0D73-4FCE-A950-B2B9BE9709F6}">
          <x14:formula1>
            <xm:f>'Kata-kata'!$B$17:$B$32</xm:f>
          </x14:formula1>
          <xm:sqref>B83:F83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C479-F14B-4694-A97C-CB7EBAB04AF6}">
  <dimension ref="B12:O32"/>
  <sheetViews>
    <sheetView topLeftCell="A4" workbookViewId="0">
      <selection activeCell="B12" sqref="B12"/>
    </sheetView>
  </sheetViews>
  <sheetFormatPr defaultRowHeight="12.5"/>
  <cols>
    <col min="2" max="2" width="23.7265625" customWidth="1"/>
  </cols>
  <sheetData>
    <row r="12" spans="2:3">
      <c r="B12" s="603" t="s">
        <v>161</v>
      </c>
      <c r="C12" s="604" t="s">
        <v>162</v>
      </c>
    </row>
    <row r="13" spans="2:3">
      <c r="B13" s="605" t="s">
        <v>163</v>
      </c>
      <c r="C13" s="606" t="s">
        <v>164</v>
      </c>
    </row>
    <row r="15" spans="2:3">
      <c r="B15" s="602" t="str">
        <f>IF(ID!$B$75='Input Data Sertifikat ESU'!$A$106,"3. Hasil Kalibrasi daya keluaran tertelusur ke Satuan Internasional melalui BPFK Jakarta","3. Hasil Kalibrasi daya keluaran tertelusur ke Satuan Internasional melalui CALTEK PTE. LTD.")</f>
        <v>3. Hasil Kalibrasi daya keluaran tertelusur ke Satuan Internasional melalui CALTEK PTE. LTD.</v>
      </c>
    </row>
    <row r="17" spans="2:15">
      <c r="B17" s="607" t="s">
        <v>165</v>
      </c>
      <c r="H17" s="602"/>
      <c r="I17" s="608">
        <v>0.2</v>
      </c>
      <c r="J17" s="609" t="s">
        <v>127</v>
      </c>
      <c r="K17" s="602"/>
      <c r="L17" s="602"/>
      <c r="M17" s="602"/>
      <c r="N17" s="602"/>
      <c r="O17" s="602">
        <v>0.2</v>
      </c>
    </row>
    <row r="18" spans="2:15">
      <c r="B18" s="607" t="s">
        <v>166</v>
      </c>
      <c r="H18" s="602"/>
      <c r="I18" s="608">
        <v>0.3</v>
      </c>
      <c r="J18" s="609" t="s">
        <v>167</v>
      </c>
      <c r="K18" s="602"/>
      <c r="L18" s="602"/>
      <c r="M18" s="602"/>
      <c r="N18" s="602"/>
      <c r="O18" s="602">
        <v>0.3</v>
      </c>
    </row>
    <row r="19" spans="2:15">
      <c r="B19" s="607" t="s">
        <v>168</v>
      </c>
      <c r="H19" s="602"/>
      <c r="I19" s="608">
        <v>500</v>
      </c>
      <c r="J19" s="609" t="str">
        <f>'Penyelia Kalibrasi'!W28</f>
        <v>Arus bocor peralatan untuk peralatan elektromedik kelas I</v>
      </c>
      <c r="K19" s="602"/>
      <c r="L19" s="602"/>
      <c r="M19" s="602"/>
      <c r="N19" s="602"/>
      <c r="O19" s="602">
        <v>500</v>
      </c>
    </row>
    <row r="20" spans="2:15">
      <c r="B20" s="607" t="s">
        <v>169</v>
      </c>
      <c r="H20" s="602"/>
      <c r="I20" s="608">
        <v>100</v>
      </c>
      <c r="J20" s="609" t="str">
        <f>'Penyelia Kalibrasi'!W29</f>
        <v>Arus bocor peralatan untuk peralatan elektromedik kelas II</v>
      </c>
      <c r="K20" s="602"/>
      <c r="L20" s="602"/>
      <c r="M20" s="602"/>
      <c r="N20" s="602"/>
      <c r="O20" s="602">
        <v>100</v>
      </c>
    </row>
    <row r="21" spans="2:15">
      <c r="B21" s="607" t="s">
        <v>170</v>
      </c>
      <c r="H21" s="602">
        <v>50</v>
      </c>
      <c r="I21" s="602"/>
      <c r="J21" s="602"/>
      <c r="K21" s="602"/>
      <c r="L21" s="602"/>
      <c r="M21" s="602"/>
      <c r="N21" s="602"/>
      <c r="O21" s="602"/>
    </row>
    <row r="22" spans="2:15">
      <c r="B22" s="607" t="s">
        <v>171</v>
      </c>
    </row>
    <row r="23" spans="2:15">
      <c r="B23" s="607" t="s">
        <v>172</v>
      </c>
    </row>
    <row r="24" spans="2:15">
      <c r="B24" s="607" t="s">
        <v>173</v>
      </c>
      <c r="H24" s="600" t="s">
        <v>174</v>
      </c>
      <c r="I24" s="601">
        <f>ID!E44</f>
        <v>250</v>
      </c>
      <c r="J24" s="602" t="s">
        <v>57</v>
      </c>
    </row>
    <row r="25" spans="2:15">
      <c r="B25" s="607" t="s">
        <v>175</v>
      </c>
      <c r="H25" s="600" t="s">
        <v>176</v>
      </c>
      <c r="I25" s="602">
        <f>ID!E55</f>
        <v>250</v>
      </c>
      <c r="J25" s="602" t="s">
        <v>57</v>
      </c>
    </row>
    <row r="26" spans="2:15">
      <c r="B26" s="607" t="s">
        <v>157</v>
      </c>
    </row>
    <row r="27" spans="2:15">
      <c r="B27" s="607" t="s">
        <v>177</v>
      </c>
    </row>
    <row r="28" spans="2:15">
      <c r="B28" s="607" t="s">
        <v>178</v>
      </c>
    </row>
    <row r="29" spans="2:15">
      <c r="B29" s="607" t="s">
        <v>179</v>
      </c>
    </row>
    <row r="30" spans="2:15">
      <c r="B30" s="607" t="s">
        <v>180</v>
      </c>
    </row>
    <row r="31" spans="2:15">
      <c r="B31" s="607" t="s">
        <v>181</v>
      </c>
    </row>
    <row r="32" spans="2:15">
      <c r="B32" s="607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97"/>
  <sheetViews>
    <sheetView view="pageBreakPreview" zoomScale="71" zoomScaleNormal="40" zoomScaleSheetLayoutView="71" workbookViewId="0">
      <selection activeCell="D7" sqref="D7"/>
    </sheetView>
  </sheetViews>
  <sheetFormatPr defaultRowHeight="12.5"/>
  <cols>
    <col min="1" max="1" width="24.54296875" customWidth="1"/>
    <col min="2" max="2" width="13.453125" customWidth="1"/>
    <col min="4" max="4" width="9.7265625" bestFit="1" customWidth="1"/>
    <col min="5" max="5" width="10.81640625" customWidth="1"/>
    <col min="6" max="6" width="12" customWidth="1"/>
    <col min="7" max="7" width="12.7265625" customWidth="1"/>
    <col min="8" max="8" width="14.26953125" customWidth="1"/>
    <col min="9" max="9" width="7.453125" bestFit="1" customWidth="1"/>
    <col min="10" max="10" width="9.7265625" customWidth="1"/>
    <col min="11" max="11" width="11" bestFit="1" customWidth="1"/>
    <col min="12" max="12" width="3.1796875" customWidth="1"/>
    <col min="13" max="13" width="25.81640625" customWidth="1"/>
    <col min="14" max="14" width="13.1796875" customWidth="1"/>
    <col min="15" max="15" width="10" customWidth="1"/>
    <col min="16" max="16" width="14.81640625" customWidth="1"/>
    <col min="17" max="17" width="10.7265625" customWidth="1"/>
    <col min="18" max="18" width="10.453125" customWidth="1"/>
    <col min="19" max="19" width="9.54296875" customWidth="1"/>
    <col min="20" max="20" width="9.81640625" customWidth="1"/>
    <col min="21" max="21" width="8.7265625" customWidth="1"/>
    <col min="22" max="22" width="11.26953125" customWidth="1"/>
    <col min="23" max="23" width="11.1796875" customWidth="1"/>
    <col min="24" max="24" width="9.81640625" customWidth="1"/>
    <col min="25" max="25" width="7.453125" customWidth="1"/>
  </cols>
  <sheetData>
    <row r="1" spans="1:37" ht="13" thickBot="1">
      <c r="W1" s="111" t="s">
        <v>183</v>
      </c>
      <c r="AK1" s="75"/>
    </row>
    <row r="2" spans="1:37" ht="15.5">
      <c r="A2" s="1064" t="s">
        <v>184</v>
      </c>
      <c r="B2" s="1065"/>
      <c r="C2" s="1065"/>
      <c r="D2" s="1065"/>
      <c r="E2" s="1065"/>
      <c r="F2" s="1065"/>
      <c r="G2" s="1065"/>
      <c r="H2" s="1065"/>
      <c r="I2" s="1065"/>
      <c r="J2" s="1065"/>
      <c r="K2" s="1065"/>
      <c r="L2" s="1065"/>
      <c r="M2" s="1065"/>
      <c r="N2" s="1065"/>
      <c r="O2" s="1065"/>
      <c r="P2" s="1065"/>
      <c r="Q2" s="1065"/>
      <c r="R2" s="1065"/>
      <c r="S2" s="1065"/>
      <c r="T2" s="1065"/>
      <c r="U2" s="1065"/>
      <c r="V2" s="1065"/>
      <c r="W2" s="1066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</row>
    <row r="3" spans="1:37" ht="13">
      <c r="A3" s="4" t="s">
        <v>185</v>
      </c>
      <c r="B3" s="61">
        <f>ID!D44</f>
        <v>20</v>
      </c>
      <c r="D3" s="144"/>
      <c r="E3" s="95"/>
      <c r="M3" s="4" t="s">
        <v>186</v>
      </c>
      <c r="N3" s="61">
        <f>ID!D55</f>
        <v>20</v>
      </c>
      <c r="P3" s="144"/>
      <c r="Q3" s="95"/>
    </row>
    <row r="4" spans="1:37" ht="15">
      <c r="A4" s="59" t="s">
        <v>187</v>
      </c>
      <c r="B4" s="56" t="s">
        <v>188</v>
      </c>
      <c r="C4" s="57" t="s">
        <v>189</v>
      </c>
      <c r="D4" s="56" t="s">
        <v>190</v>
      </c>
      <c r="E4" s="58" t="s">
        <v>191</v>
      </c>
      <c r="F4" s="56" t="s">
        <v>192</v>
      </c>
      <c r="G4" s="57" t="s">
        <v>193</v>
      </c>
      <c r="H4" s="56" t="s">
        <v>194</v>
      </c>
      <c r="I4" s="57" t="s">
        <v>195</v>
      </c>
      <c r="J4" s="56" t="s">
        <v>196</v>
      </c>
      <c r="K4" s="70" t="s">
        <v>197</v>
      </c>
      <c r="L4" s="12"/>
      <c r="M4" s="59" t="s">
        <v>187</v>
      </c>
      <c r="N4" s="56" t="s">
        <v>188</v>
      </c>
      <c r="O4" s="57" t="s">
        <v>189</v>
      </c>
      <c r="P4" s="56" t="s">
        <v>190</v>
      </c>
      <c r="Q4" s="58" t="s">
        <v>191</v>
      </c>
      <c r="R4" s="56" t="s">
        <v>192</v>
      </c>
      <c r="S4" s="57" t="s">
        <v>193</v>
      </c>
      <c r="T4" s="56" t="s">
        <v>194</v>
      </c>
      <c r="U4" s="57" t="s">
        <v>195</v>
      </c>
      <c r="V4" s="56" t="s">
        <v>196</v>
      </c>
      <c r="W4" s="70" t="s">
        <v>197</v>
      </c>
      <c r="X4" s="12"/>
      <c r="AA4" s="73"/>
      <c r="AF4" s="71"/>
    </row>
    <row r="5" spans="1:37" ht="13">
      <c r="A5" s="11" t="s">
        <v>198</v>
      </c>
      <c r="B5" s="40" t="s">
        <v>113</v>
      </c>
      <c r="C5" s="10" t="s">
        <v>199</v>
      </c>
      <c r="D5" s="55">
        <f>ID!O44</f>
        <v>1.0000000000000001E-5</v>
      </c>
      <c r="E5" s="52">
        <f>SQRT(6)</f>
        <v>2.4494897427831779</v>
      </c>
      <c r="F5" s="40">
        <v>4</v>
      </c>
      <c r="G5" s="38">
        <f t="shared" ref="G5:G8" si="0">D5/E5</f>
        <v>4.0824829046386308E-6</v>
      </c>
      <c r="H5" s="54">
        <v>1</v>
      </c>
      <c r="I5" s="38">
        <f t="shared" ref="I5:I8" si="1">G5*H5</f>
        <v>4.0824829046386308E-6</v>
      </c>
      <c r="J5" s="35">
        <f t="shared" ref="J5:J8" si="2">I5^2</f>
        <v>1.6666666666666671E-11</v>
      </c>
      <c r="K5" s="53">
        <f t="shared" ref="K5:K8" si="3">I5^4/F5</f>
        <v>6.9444444444444471E-23</v>
      </c>
      <c r="L5" s="34"/>
      <c r="M5" s="11" t="s">
        <v>198</v>
      </c>
      <c r="N5" s="40" t="s">
        <v>113</v>
      </c>
      <c r="O5" s="10" t="s">
        <v>199</v>
      </c>
      <c r="P5" s="55">
        <f>ID!O55</f>
        <v>1.0000000000000001E-5</v>
      </c>
      <c r="Q5" s="52">
        <f>SQRT(6)</f>
        <v>2.4494897427831779</v>
      </c>
      <c r="R5" s="40">
        <v>4</v>
      </c>
      <c r="S5" s="38">
        <f t="shared" ref="S5:S8" si="4">P5/Q5</f>
        <v>4.0824829046386308E-6</v>
      </c>
      <c r="T5" s="54">
        <v>1</v>
      </c>
      <c r="U5" s="38">
        <f t="shared" ref="U5:U8" si="5">S5*T5</f>
        <v>4.0824829046386308E-6</v>
      </c>
      <c r="V5" s="35">
        <f t="shared" ref="V5:V8" si="6">U5^2</f>
        <v>1.6666666666666671E-11</v>
      </c>
      <c r="W5" s="53">
        <f t="shared" ref="W5:W8" si="7">U5^4/R5</f>
        <v>6.9444444444444471E-23</v>
      </c>
      <c r="X5" s="34"/>
      <c r="AF5" s="67"/>
    </row>
    <row r="6" spans="1:37" ht="13">
      <c r="A6" s="51" t="s">
        <v>200</v>
      </c>
      <c r="B6" s="40" t="s">
        <v>113</v>
      </c>
      <c r="C6" s="47" t="s">
        <v>201</v>
      </c>
      <c r="D6" s="40">
        <f>0.5*ID!$F$7</f>
        <v>0.5</v>
      </c>
      <c r="E6" s="50">
        <f>SQRT(3)</f>
        <v>1.7320508075688772</v>
      </c>
      <c r="F6" s="45">
        <v>50</v>
      </c>
      <c r="G6" s="44">
        <f t="shared" si="0"/>
        <v>0.28867513459481292</v>
      </c>
      <c r="H6" s="40">
        <v>1</v>
      </c>
      <c r="I6" s="44">
        <f t="shared" si="1"/>
        <v>0.28867513459481292</v>
      </c>
      <c r="J6" s="39">
        <f t="shared" si="2"/>
        <v>8.3333333333333356E-2</v>
      </c>
      <c r="K6" s="49">
        <f t="shared" si="3"/>
        <v>1.3888888888888897E-4</v>
      </c>
      <c r="L6" s="34"/>
      <c r="M6" s="51" t="s">
        <v>200</v>
      </c>
      <c r="N6" s="40" t="s">
        <v>113</v>
      </c>
      <c r="O6" s="47" t="s">
        <v>201</v>
      </c>
      <c r="P6" s="40">
        <f>0.5*ID!$F$7</f>
        <v>0.5</v>
      </c>
      <c r="Q6" s="50">
        <f>SQRT(3)</f>
        <v>1.7320508075688772</v>
      </c>
      <c r="R6" s="45">
        <v>50</v>
      </c>
      <c r="S6" s="44">
        <f t="shared" si="4"/>
        <v>0.28867513459481292</v>
      </c>
      <c r="T6" s="40">
        <v>1</v>
      </c>
      <c r="U6" s="44">
        <f t="shared" si="5"/>
        <v>0.28867513459481292</v>
      </c>
      <c r="V6" s="39">
        <f t="shared" si="6"/>
        <v>8.3333333333333356E-2</v>
      </c>
      <c r="W6" s="49">
        <f t="shared" si="7"/>
        <v>1.3888888888888897E-4</v>
      </c>
      <c r="X6" s="34"/>
      <c r="AF6" s="68"/>
    </row>
    <row r="7" spans="1:37" ht="13">
      <c r="A7" s="48" t="s">
        <v>202</v>
      </c>
      <c r="B7" s="40" t="s">
        <v>113</v>
      </c>
      <c r="C7" s="47" t="s">
        <v>199</v>
      </c>
      <c r="D7" s="94">
        <f>'Input Data Sertifikat ESU'!Y76</f>
        <v>1.0000000000000001E-5</v>
      </c>
      <c r="E7" s="46">
        <v>2</v>
      </c>
      <c r="F7" s="45">
        <v>50</v>
      </c>
      <c r="G7" s="44">
        <f t="shared" si="0"/>
        <v>5.0000000000000004E-6</v>
      </c>
      <c r="H7" s="40">
        <v>1</v>
      </c>
      <c r="I7" s="44">
        <f t="shared" si="1"/>
        <v>5.0000000000000004E-6</v>
      </c>
      <c r="J7" s="39">
        <f t="shared" si="2"/>
        <v>2.5000000000000004E-11</v>
      </c>
      <c r="K7" s="39">
        <f t="shared" si="3"/>
        <v>1.2500000000000005E-23</v>
      </c>
      <c r="L7" s="34"/>
      <c r="M7" s="48" t="s">
        <v>202</v>
      </c>
      <c r="N7" s="40" t="s">
        <v>113</v>
      </c>
      <c r="O7" s="47" t="s">
        <v>199</v>
      </c>
      <c r="P7" s="94">
        <f>'Input Data Sertifikat ESU'!Y86</f>
        <v>1.0000000000000001E-5</v>
      </c>
      <c r="Q7" s="46">
        <v>2</v>
      </c>
      <c r="R7" s="45">
        <v>50</v>
      </c>
      <c r="S7" s="44">
        <f t="shared" si="4"/>
        <v>5.0000000000000004E-6</v>
      </c>
      <c r="T7" s="40">
        <v>1</v>
      </c>
      <c r="U7" s="44">
        <f t="shared" si="5"/>
        <v>5.0000000000000004E-6</v>
      </c>
      <c r="V7" s="39">
        <f t="shared" si="6"/>
        <v>2.5000000000000004E-11</v>
      </c>
      <c r="W7" s="39">
        <f t="shared" si="7"/>
        <v>1.2500000000000005E-23</v>
      </c>
      <c r="X7" s="34"/>
      <c r="AF7" s="68"/>
    </row>
    <row r="8" spans="1:37" ht="13">
      <c r="A8" s="78" t="s">
        <v>203</v>
      </c>
      <c r="B8" s="40" t="s">
        <v>113</v>
      </c>
      <c r="C8" s="79" t="s">
        <v>201</v>
      </c>
      <c r="D8" s="80">
        <f>'Input Data Sertifikat ESU'!U76</f>
        <v>1.0000000000000001E-5</v>
      </c>
      <c r="E8" s="80">
        <f>SQRT(3)</f>
        <v>1.7320508075688772</v>
      </c>
      <c r="F8" s="45">
        <v>50</v>
      </c>
      <c r="G8" s="81">
        <f t="shared" si="0"/>
        <v>5.7735026918962587E-6</v>
      </c>
      <c r="H8" s="45">
        <v>1</v>
      </c>
      <c r="I8" s="81">
        <f t="shared" si="1"/>
        <v>5.7735026918962587E-6</v>
      </c>
      <c r="J8" s="82">
        <f t="shared" si="2"/>
        <v>3.3333333333333347E-11</v>
      </c>
      <c r="K8" s="83">
        <f t="shared" si="3"/>
        <v>2.2222222222222241E-23</v>
      </c>
      <c r="L8" s="34"/>
      <c r="M8" s="78" t="s">
        <v>203</v>
      </c>
      <c r="N8" s="40" t="s">
        <v>113</v>
      </c>
      <c r="O8" s="79" t="s">
        <v>201</v>
      </c>
      <c r="P8" s="80">
        <f>'Input Data Sertifikat ESU'!U86</f>
        <v>1.0000000000000001E-5</v>
      </c>
      <c r="Q8" s="80">
        <f>SQRT(3)</f>
        <v>1.7320508075688772</v>
      </c>
      <c r="R8" s="45">
        <v>50</v>
      </c>
      <c r="S8" s="81">
        <f t="shared" si="4"/>
        <v>5.7735026918962587E-6</v>
      </c>
      <c r="T8" s="45">
        <v>1</v>
      </c>
      <c r="U8" s="81">
        <f t="shared" si="5"/>
        <v>5.7735026918962587E-6</v>
      </c>
      <c r="V8" s="82">
        <f t="shared" si="6"/>
        <v>3.3333333333333347E-11</v>
      </c>
      <c r="W8" s="83">
        <f t="shared" si="7"/>
        <v>2.2222222222222241E-23</v>
      </c>
      <c r="X8" s="34"/>
      <c r="AF8" s="68"/>
    </row>
    <row r="9" spans="1:37" ht="14">
      <c r="A9" s="8" t="s">
        <v>204</v>
      </c>
      <c r="B9" s="9"/>
      <c r="C9" s="9"/>
      <c r="D9" s="9"/>
      <c r="E9" s="37"/>
      <c r="F9" s="9"/>
      <c r="G9" s="9"/>
      <c r="H9" s="9"/>
      <c r="I9" s="9"/>
      <c r="J9" s="36">
        <f>SUM(J5:J8)</f>
        <v>8.3333333408333363E-2</v>
      </c>
      <c r="K9" s="35">
        <f>SUM(K5:K8)</f>
        <v>1.3888888888888897E-4</v>
      </c>
      <c r="L9" s="34"/>
      <c r="M9" s="8" t="s">
        <v>204</v>
      </c>
      <c r="N9" s="9"/>
      <c r="O9" s="9"/>
      <c r="P9" s="9"/>
      <c r="Q9" s="37"/>
      <c r="R9" s="9"/>
      <c r="S9" s="9"/>
      <c r="T9" s="9"/>
      <c r="U9" s="9"/>
      <c r="V9" s="36">
        <f>SUM(V5:V8)</f>
        <v>8.3333333408333363E-2</v>
      </c>
      <c r="W9" s="35">
        <f>SUM(W5:W8)</f>
        <v>1.3888888888888897E-4</v>
      </c>
      <c r="X9" s="34"/>
      <c r="AF9" s="68"/>
    </row>
    <row r="10" spans="1:37" ht="17">
      <c r="A10" s="27" t="s">
        <v>205</v>
      </c>
      <c r="B10" s="24"/>
      <c r="C10" s="24"/>
      <c r="D10" s="24"/>
      <c r="E10" s="26"/>
      <c r="F10" s="24"/>
      <c r="G10" s="33" t="s">
        <v>206</v>
      </c>
      <c r="H10" s="24"/>
      <c r="I10" s="24"/>
      <c r="J10" s="32">
        <f>SQRT(J9)</f>
        <v>0.28867513472471673</v>
      </c>
      <c r="K10" s="22"/>
      <c r="L10" s="21"/>
      <c r="M10" s="27" t="s">
        <v>205</v>
      </c>
      <c r="N10" s="24"/>
      <c r="O10" s="24"/>
      <c r="P10" s="24"/>
      <c r="Q10" s="26"/>
      <c r="R10" s="24"/>
      <c r="S10" s="33" t="s">
        <v>206</v>
      </c>
      <c r="T10" s="24"/>
      <c r="U10" s="24"/>
      <c r="V10" s="32">
        <f>SQRT(V9)</f>
        <v>0.28867513472471673</v>
      </c>
      <c r="W10" s="22"/>
      <c r="X10" s="21"/>
      <c r="AF10" s="67"/>
    </row>
    <row r="11" spans="1:37" ht="17.5">
      <c r="A11" s="8" t="s">
        <v>207</v>
      </c>
      <c r="B11" s="14"/>
      <c r="C11" s="14"/>
      <c r="D11" s="14"/>
      <c r="E11" s="31"/>
      <c r="F11" s="14"/>
      <c r="G11" s="30" t="s">
        <v>208</v>
      </c>
      <c r="H11" s="14"/>
      <c r="I11" s="14"/>
      <c r="J11" s="29">
        <f>J10^4/(K9)</f>
        <v>50.000000089999986</v>
      </c>
      <c r="K11" s="28"/>
      <c r="L11" s="21"/>
      <c r="M11" s="8" t="s">
        <v>207</v>
      </c>
      <c r="N11" s="14"/>
      <c r="O11" s="14"/>
      <c r="P11" s="14"/>
      <c r="Q11" s="31"/>
      <c r="R11" s="14"/>
      <c r="S11" s="30" t="s">
        <v>208</v>
      </c>
      <c r="T11" s="14"/>
      <c r="U11" s="14"/>
      <c r="V11" s="29">
        <f>V10^4/(W9)</f>
        <v>50.000000089999986</v>
      </c>
      <c r="W11" s="28"/>
      <c r="X11" s="21"/>
      <c r="AF11" s="71"/>
    </row>
    <row r="12" spans="1:37" ht="15.5">
      <c r="A12" s="27" t="s">
        <v>209</v>
      </c>
      <c r="B12" s="24"/>
      <c r="C12" s="24"/>
      <c r="D12" s="24"/>
      <c r="E12" s="26"/>
      <c r="F12" s="24"/>
      <c r="G12" s="25" t="s">
        <v>210</v>
      </c>
      <c r="H12" s="24"/>
      <c r="I12" s="24"/>
      <c r="J12" s="23">
        <f>1.95996+(2.37356/J11)+(2.818745/J11^2)+(2.546662/J11^3)+(1.761829/J11^4)+(0.245458/J11^5)+(1.000764/J11^6)</f>
        <v>2.008579353948535</v>
      </c>
      <c r="K12" s="22"/>
      <c r="L12" s="21"/>
      <c r="M12" s="27" t="s">
        <v>209</v>
      </c>
      <c r="N12" s="24"/>
      <c r="O12" s="24"/>
      <c r="P12" s="24"/>
      <c r="Q12" s="26"/>
      <c r="R12" s="24"/>
      <c r="S12" s="25" t="s">
        <v>210</v>
      </c>
      <c r="T12" s="24"/>
      <c r="U12" s="24"/>
      <c r="V12" s="23">
        <f>1.95996+(2.37356/V11)+(2.818745/V11^2)+(2.546662/V11^3)+(1.761829/V11^4)+(0.245458/V11^5)+(1.000764/V11^6)</f>
        <v>2.008579353948535</v>
      </c>
      <c r="W12" s="22"/>
      <c r="X12" s="21"/>
      <c r="AF12" s="67"/>
    </row>
    <row r="13" spans="1:37" ht="14">
      <c r="A13" s="20" t="s">
        <v>211</v>
      </c>
      <c r="B13" s="17"/>
      <c r="C13" s="17"/>
      <c r="D13" s="17"/>
      <c r="E13" s="19"/>
      <c r="F13" s="17"/>
      <c r="G13" s="18" t="s">
        <v>212</v>
      </c>
      <c r="H13" s="17"/>
      <c r="I13" s="17"/>
      <c r="J13" s="16">
        <f>J10*J12</f>
        <v>0.57982691560637789</v>
      </c>
      <c r="K13" s="15" t="s">
        <v>113</v>
      </c>
      <c r="L13" s="13"/>
      <c r="M13" s="20" t="s">
        <v>211</v>
      </c>
      <c r="N13" s="17"/>
      <c r="O13" s="17"/>
      <c r="P13" s="17"/>
      <c r="Q13" s="19"/>
      <c r="R13" s="17"/>
      <c r="S13" s="18" t="s">
        <v>212</v>
      </c>
      <c r="T13" s="17"/>
      <c r="U13" s="17"/>
      <c r="V13" s="16">
        <f>V10*V12</f>
        <v>0.57982691560637789</v>
      </c>
      <c r="W13" s="15" t="s">
        <v>113</v>
      </c>
      <c r="X13" s="13"/>
      <c r="AF13" s="68"/>
    </row>
    <row r="14" spans="1:37" ht="15">
      <c r="A14" s="4" t="s">
        <v>185</v>
      </c>
      <c r="B14" s="61">
        <f>ID!D45</f>
        <v>50</v>
      </c>
      <c r="D14" s="144"/>
      <c r="E14" s="95"/>
      <c r="M14" s="4" t="s">
        <v>186</v>
      </c>
      <c r="N14" s="61">
        <f>ID!D56</f>
        <v>50</v>
      </c>
      <c r="P14" s="144"/>
      <c r="Q14" s="95"/>
      <c r="AF14" s="71"/>
    </row>
    <row r="15" spans="1:37" ht="14">
      <c r="A15" s="59" t="s">
        <v>187</v>
      </c>
      <c r="B15" s="56" t="s">
        <v>188</v>
      </c>
      <c r="C15" s="57" t="s">
        <v>189</v>
      </c>
      <c r="D15" s="56" t="s">
        <v>190</v>
      </c>
      <c r="E15" s="58" t="s">
        <v>191</v>
      </c>
      <c r="F15" s="56" t="s">
        <v>192</v>
      </c>
      <c r="G15" s="57" t="s">
        <v>193</v>
      </c>
      <c r="H15" s="56" t="s">
        <v>194</v>
      </c>
      <c r="I15" s="57" t="s">
        <v>195</v>
      </c>
      <c r="J15" s="56" t="s">
        <v>196</v>
      </c>
      <c r="K15" s="70" t="s">
        <v>197</v>
      </c>
      <c r="L15" s="12"/>
      <c r="M15" s="59" t="s">
        <v>187</v>
      </c>
      <c r="N15" s="56" t="s">
        <v>188</v>
      </c>
      <c r="O15" s="57" t="s">
        <v>189</v>
      </c>
      <c r="P15" s="56" t="s">
        <v>190</v>
      </c>
      <c r="Q15" s="58" t="s">
        <v>191</v>
      </c>
      <c r="R15" s="56" t="s">
        <v>192</v>
      </c>
      <c r="S15" s="57" t="s">
        <v>193</v>
      </c>
      <c r="T15" s="56" t="s">
        <v>194</v>
      </c>
      <c r="U15" s="57" t="s">
        <v>195</v>
      </c>
      <c r="V15" s="56" t="s">
        <v>196</v>
      </c>
      <c r="W15" s="70" t="s">
        <v>197</v>
      </c>
      <c r="X15" s="12"/>
      <c r="AF15" s="67"/>
    </row>
    <row r="16" spans="1:37" ht="13">
      <c r="A16" s="11" t="s">
        <v>198</v>
      </c>
      <c r="B16" s="40" t="s">
        <v>113</v>
      </c>
      <c r="C16" s="10" t="s">
        <v>199</v>
      </c>
      <c r="D16" s="55">
        <f>ID!O45</f>
        <v>1.0000000000000001E-5</v>
      </c>
      <c r="E16" s="52">
        <f>SQRT(6)</f>
        <v>2.4494897427831779</v>
      </c>
      <c r="F16" s="40">
        <v>4</v>
      </c>
      <c r="G16" s="38">
        <f t="shared" ref="G16:G19" si="8">D16/E16</f>
        <v>4.0824829046386308E-6</v>
      </c>
      <c r="H16" s="54">
        <v>1</v>
      </c>
      <c r="I16" s="38">
        <f t="shared" ref="I16:I19" si="9">G16*H16</f>
        <v>4.0824829046386308E-6</v>
      </c>
      <c r="J16" s="35">
        <f t="shared" ref="J16:J19" si="10">I16^2</f>
        <v>1.6666666666666671E-11</v>
      </c>
      <c r="K16" s="53">
        <f t="shared" ref="K16:K19" si="11">I16^4/F16</f>
        <v>6.9444444444444471E-23</v>
      </c>
      <c r="L16" s="34"/>
      <c r="M16" s="11" t="s">
        <v>198</v>
      </c>
      <c r="N16" s="40" t="s">
        <v>113</v>
      </c>
      <c r="O16" s="10" t="s">
        <v>199</v>
      </c>
      <c r="P16" s="55">
        <f>ID!O56</f>
        <v>1.0000000000000001E-5</v>
      </c>
      <c r="Q16" s="52">
        <f>SQRT(6)</f>
        <v>2.4494897427831779</v>
      </c>
      <c r="R16" s="40">
        <v>4</v>
      </c>
      <c r="S16" s="38">
        <f t="shared" ref="S16:S19" si="12">P16/Q16</f>
        <v>4.0824829046386308E-6</v>
      </c>
      <c r="T16" s="54">
        <v>1</v>
      </c>
      <c r="U16" s="38">
        <f t="shared" ref="U16:U19" si="13">S16*T16</f>
        <v>4.0824829046386308E-6</v>
      </c>
      <c r="V16" s="35">
        <f t="shared" ref="V16:V19" si="14">U16^2</f>
        <v>1.6666666666666671E-11</v>
      </c>
      <c r="W16" s="53">
        <f t="shared" ref="W16:W19" si="15">U16^4/R16</f>
        <v>6.9444444444444471E-23</v>
      </c>
      <c r="X16" s="34"/>
      <c r="AF16" s="68"/>
    </row>
    <row r="17" spans="1:37" ht="13">
      <c r="A17" s="51" t="s">
        <v>200</v>
      </c>
      <c r="B17" s="40" t="s">
        <v>113</v>
      </c>
      <c r="C17" s="47" t="s">
        <v>201</v>
      </c>
      <c r="D17" s="40">
        <f>0.5*ID!$F$7</f>
        <v>0.5</v>
      </c>
      <c r="E17" s="50">
        <f>SQRT(3)</f>
        <v>1.7320508075688772</v>
      </c>
      <c r="F17" s="45">
        <v>50</v>
      </c>
      <c r="G17" s="44">
        <f t="shared" si="8"/>
        <v>0.28867513459481292</v>
      </c>
      <c r="H17" s="40">
        <v>1</v>
      </c>
      <c r="I17" s="44">
        <f t="shared" si="9"/>
        <v>0.28867513459481292</v>
      </c>
      <c r="J17" s="39">
        <f t="shared" si="10"/>
        <v>8.3333333333333356E-2</v>
      </c>
      <c r="K17" s="49">
        <f t="shared" si="11"/>
        <v>1.3888888888888897E-4</v>
      </c>
      <c r="L17" s="34"/>
      <c r="M17" s="51" t="s">
        <v>200</v>
      </c>
      <c r="N17" s="40" t="s">
        <v>113</v>
      </c>
      <c r="O17" s="47" t="s">
        <v>201</v>
      </c>
      <c r="P17" s="40">
        <f>0.5*ID!$F$7</f>
        <v>0.5</v>
      </c>
      <c r="Q17" s="50">
        <f>SQRT(3)</f>
        <v>1.7320508075688772</v>
      </c>
      <c r="R17" s="45">
        <v>50</v>
      </c>
      <c r="S17" s="44">
        <f t="shared" si="12"/>
        <v>0.28867513459481292</v>
      </c>
      <c r="T17" s="40">
        <v>1</v>
      </c>
      <c r="U17" s="44">
        <f t="shared" si="13"/>
        <v>0.28867513459481292</v>
      </c>
      <c r="V17" s="39">
        <f t="shared" si="14"/>
        <v>8.3333333333333356E-2</v>
      </c>
      <c r="W17" s="49">
        <f t="shared" si="15"/>
        <v>1.3888888888888897E-4</v>
      </c>
      <c r="X17" s="34"/>
      <c r="AF17" s="67"/>
    </row>
    <row r="18" spans="1:37" ht="13">
      <c r="A18" s="48" t="s">
        <v>202</v>
      </c>
      <c r="B18" s="40" t="s">
        <v>113</v>
      </c>
      <c r="C18" s="47" t="s">
        <v>199</v>
      </c>
      <c r="D18" s="94">
        <f>'Input Data Sertifikat ESU'!Y77</f>
        <v>1.0000000000000001E-5</v>
      </c>
      <c r="E18" s="46">
        <v>2</v>
      </c>
      <c r="F18" s="45">
        <v>50</v>
      </c>
      <c r="G18" s="44">
        <f t="shared" si="8"/>
        <v>5.0000000000000004E-6</v>
      </c>
      <c r="H18" s="40">
        <v>1</v>
      </c>
      <c r="I18" s="44">
        <f t="shared" si="9"/>
        <v>5.0000000000000004E-6</v>
      </c>
      <c r="J18" s="39">
        <f t="shared" si="10"/>
        <v>2.5000000000000004E-11</v>
      </c>
      <c r="K18" s="39">
        <f t="shared" si="11"/>
        <v>1.2500000000000005E-23</v>
      </c>
      <c r="L18" s="34"/>
      <c r="M18" s="48" t="s">
        <v>202</v>
      </c>
      <c r="N18" s="40" t="s">
        <v>113</v>
      </c>
      <c r="O18" s="47" t="s">
        <v>199</v>
      </c>
      <c r="P18" s="94">
        <f>'Input Data Sertifikat ESU'!Y87</f>
        <v>1.0000000000000001E-5</v>
      </c>
      <c r="Q18" s="46">
        <v>2</v>
      </c>
      <c r="R18" s="45">
        <v>50</v>
      </c>
      <c r="S18" s="44">
        <f t="shared" si="12"/>
        <v>5.0000000000000004E-6</v>
      </c>
      <c r="T18" s="40">
        <v>1</v>
      </c>
      <c r="U18" s="44">
        <f t="shared" si="13"/>
        <v>5.0000000000000004E-6</v>
      </c>
      <c r="V18" s="39">
        <f t="shared" si="14"/>
        <v>2.5000000000000004E-11</v>
      </c>
      <c r="W18" s="39">
        <f t="shared" si="15"/>
        <v>1.2500000000000005E-23</v>
      </c>
      <c r="X18" s="34"/>
      <c r="AF18" s="67"/>
    </row>
    <row r="19" spans="1:37" ht="13">
      <c r="A19" s="78" t="s">
        <v>203</v>
      </c>
      <c r="B19" s="40" t="s">
        <v>113</v>
      </c>
      <c r="C19" s="79" t="s">
        <v>201</v>
      </c>
      <c r="D19" s="80">
        <f>'Input Data Sertifikat ESU'!U77</f>
        <v>1.0000000000000001E-5</v>
      </c>
      <c r="E19" s="80">
        <f>SQRT(3)</f>
        <v>1.7320508075688772</v>
      </c>
      <c r="F19" s="45">
        <v>50</v>
      </c>
      <c r="G19" s="81">
        <f t="shared" si="8"/>
        <v>5.7735026918962587E-6</v>
      </c>
      <c r="H19" s="45">
        <v>1</v>
      </c>
      <c r="I19" s="81">
        <f t="shared" si="9"/>
        <v>5.7735026918962587E-6</v>
      </c>
      <c r="J19" s="82">
        <f t="shared" si="10"/>
        <v>3.3333333333333347E-11</v>
      </c>
      <c r="K19" s="83">
        <f t="shared" si="11"/>
        <v>2.2222222222222241E-23</v>
      </c>
      <c r="L19" s="34"/>
      <c r="M19" s="78" t="s">
        <v>203</v>
      </c>
      <c r="N19" s="40" t="s">
        <v>113</v>
      </c>
      <c r="O19" s="79" t="s">
        <v>201</v>
      </c>
      <c r="P19" s="80">
        <f>'Input Data Sertifikat ESU'!U87</f>
        <v>1.0000000000000001E-5</v>
      </c>
      <c r="Q19" s="80">
        <f>SQRT(3)</f>
        <v>1.7320508075688772</v>
      </c>
      <c r="R19" s="45">
        <v>50</v>
      </c>
      <c r="S19" s="81">
        <f t="shared" si="12"/>
        <v>5.7735026918962587E-6</v>
      </c>
      <c r="T19" s="45">
        <v>1</v>
      </c>
      <c r="U19" s="81">
        <f t="shared" si="13"/>
        <v>5.7735026918962587E-6</v>
      </c>
      <c r="V19" s="82">
        <f t="shared" si="14"/>
        <v>3.3333333333333347E-11</v>
      </c>
      <c r="W19" s="83">
        <f t="shared" si="15"/>
        <v>2.2222222222222241E-23</v>
      </c>
      <c r="X19" s="34"/>
      <c r="AF19" s="67"/>
    </row>
    <row r="20" spans="1:37" ht="14">
      <c r="A20" s="8" t="s">
        <v>204</v>
      </c>
      <c r="B20" s="9"/>
      <c r="C20" s="9"/>
      <c r="D20" s="9"/>
      <c r="E20" s="37"/>
      <c r="F20" s="9"/>
      <c r="G20" s="9"/>
      <c r="H20" s="9"/>
      <c r="I20" s="9"/>
      <c r="J20" s="36">
        <f>SUM(J16:J19)</f>
        <v>8.3333333408333363E-2</v>
      </c>
      <c r="K20" s="35">
        <f>SUM(K16:K19)</f>
        <v>1.3888888888888897E-4</v>
      </c>
      <c r="L20" s="34"/>
      <c r="M20" s="8" t="s">
        <v>204</v>
      </c>
      <c r="N20" s="9"/>
      <c r="O20" s="9"/>
      <c r="P20" s="9"/>
      <c r="Q20" s="37"/>
      <c r="R20" s="9"/>
      <c r="S20" s="9"/>
      <c r="T20" s="9"/>
      <c r="U20" s="9"/>
      <c r="V20" s="36">
        <f>SUM(V16:V19)</f>
        <v>8.3333333408333363E-2</v>
      </c>
      <c r="W20" s="35">
        <f>SUM(W16:W19)</f>
        <v>1.3888888888888897E-4</v>
      </c>
      <c r="X20" s="34"/>
      <c r="AF20" s="67"/>
    </row>
    <row r="21" spans="1:37" ht="17">
      <c r="A21" s="27" t="s">
        <v>205</v>
      </c>
      <c r="B21" s="24"/>
      <c r="C21" s="24"/>
      <c r="D21" s="24"/>
      <c r="E21" s="26"/>
      <c r="F21" s="24"/>
      <c r="G21" s="33" t="s">
        <v>206</v>
      </c>
      <c r="H21" s="24"/>
      <c r="I21" s="24"/>
      <c r="J21" s="32">
        <f>SQRT(J20)</f>
        <v>0.28867513472471673</v>
      </c>
      <c r="K21" s="22"/>
      <c r="L21" s="21"/>
      <c r="M21" s="27" t="s">
        <v>205</v>
      </c>
      <c r="N21" s="24"/>
      <c r="O21" s="24"/>
      <c r="P21" s="24"/>
      <c r="Q21" s="26"/>
      <c r="R21" s="24"/>
      <c r="S21" s="33" t="s">
        <v>206</v>
      </c>
      <c r="T21" s="24"/>
      <c r="U21" s="24"/>
      <c r="V21" s="32">
        <f>SQRT(V20)</f>
        <v>0.28867513472471673</v>
      </c>
      <c r="W21" s="22"/>
      <c r="X21" s="21"/>
      <c r="AF21" s="71"/>
    </row>
    <row r="22" spans="1:37" ht="17.5">
      <c r="A22" s="8" t="s">
        <v>207</v>
      </c>
      <c r="B22" s="14"/>
      <c r="C22" s="14"/>
      <c r="D22" s="14"/>
      <c r="E22" s="31"/>
      <c r="F22" s="14"/>
      <c r="G22" s="30" t="s">
        <v>208</v>
      </c>
      <c r="H22" s="14"/>
      <c r="I22" s="14"/>
      <c r="J22" s="29">
        <f>J21^4/(K20)</f>
        <v>50.000000089999986</v>
      </c>
      <c r="K22" s="28"/>
      <c r="L22" s="21"/>
      <c r="M22" s="8" t="s">
        <v>207</v>
      </c>
      <c r="N22" s="14"/>
      <c r="O22" s="14"/>
      <c r="P22" s="14"/>
      <c r="Q22" s="31"/>
      <c r="R22" s="14"/>
      <c r="S22" s="30" t="s">
        <v>208</v>
      </c>
      <c r="T22" s="14"/>
      <c r="U22" s="14"/>
      <c r="V22" s="29">
        <f>V21^4/(W20)</f>
        <v>50.000000089999986</v>
      </c>
      <c r="W22" s="28"/>
      <c r="X22" s="21"/>
      <c r="AF22" s="67"/>
      <c r="AK22" s="67"/>
    </row>
    <row r="23" spans="1:37" ht="15.5">
      <c r="A23" s="27" t="s">
        <v>209</v>
      </c>
      <c r="B23" s="24"/>
      <c r="C23" s="24"/>
      <c r="D23" s="24"/>
      <c r="E23" s="26"/>
      <c r="F23" s="24"/>
      <c r="G23" s="25" t="s">
        <v>210</v>
      </c>
      <c r="H23" s="24"/>
      <c r="I23" s="24"/>
      <c r="J23" s="23">
        <f>1.95996+(2.37356/J22)+(2.818745/J22^2)+(2.546662/J22^3)+(1.761829/J22^4)+(0.245458/J22^5)+(1.000764/J22^6)</f>
        <v>2.008579353948535</v>
      </c>
      <c r="K23" s="22"/>
      <c r="L23" s="21"/>
      <c r="M23" s="27" t="s">
        <v>209</v>
      </c>
      <c r="N23" s="24"/>
      <c r="O23" s="24"/>
      <c r="P23" s="24"/>
      <c r="Q23" s="26"/>
      <c r="R23" s="24"/>
      <c r="S23" s="25" t="s">
        <v>210</v>
      </c>
      <c r="T23" s="24"/>
      <c r="U23" s="24"/>
      <c r="V23" s="23">
        <f>1.95996+(2.37356/V22)+(2.818745/V22^2)+(2.546662/V22^3)+(1.761829/V22^4)+(0.245458/V22^5)+(1.000764/V22^6)</f>
        <v>2.008579353948535</v>
      </c>
      <c r="W23" s="22"/>
      <c r="X23" s="21"/>
      <c r="AF23" s="68"/>
      <c r="AK23" s="68"/>
    </row>
    <row r="24" spans="1:37" ht="14">
      <c r="A24" s="20" t="s">
        <v>211</v>
      </c>
      <c r="B24" s="17"/>
      <c r="C24" s="17"/>
      <c r="D24" s="17"/>
      <c r="E24" s="19"/>
      <c r="F24" s="17"/>
      <c r="G24" s="18" t="s">
        <v>212</v>
      </c>
      <c r="H24" s="17"/>
      <c r="I24" s="17"/>
      <c r="J24" s="16">
        <f>J21*J23</f>
        <v>0.57982691560637789</v>
      </c>
      <c r="K24" s="15" t="s">
        <v>113</v>
      </c>
      <c r="L24" s="13"/>
      <c r="M24" s="20" t="s">
        <v>211</v>
      </c>
      <c r="N24" s="17"/>
      <c r="O24" s="17"/>
      <c r="P24" s="17"/>
      <c r="Q24" s="19"/>
      <c r="R24" s="17"/>
      <c r="S24" s="18" t="s">
        <v>212</v>
      </c>
      <c r="T24" s="17"/>
      <c r="U24" s="17"/>
      <c r="V24" s="16">
        <f>V21*V23</f>
        <v>0.57982691560637789</v>
      </c>
      <c r="W24" s="15" t="s">
        <v>113</v>
      </c>
      <c r="X24" s="13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</row>
    <row r="25" spans="1:37" ht="13">
      <c r="A25" s="4" t="s">
        <v>185</v>
      </c>
      <c r="B25" s="61">
        <f>ID!D46</f>
        <v>80</v>
      </c>
      <c r="D25" s="144"/>
      <c r="E25" s="95"/>
      <c r="M25" s="4" t="s">
        <v>186</v>
      </c>
      <c r="N25" s="61">
        <f>ID!D57</f>
        <v>80</v>
      </c>
      <c r="P25" s="144"/>
      <c r="Q25" s="95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</row>
    <row r="26" spans="1:37" ht="14">
      <c r="A26" s="59" t="s">
        <v>187</v>
      </c>
      <c r="B26" s="56" t="s">
        <v>188</v>
      </c>
      <c r="C26" s="57" t="s">
        <v>189</v>
      </c>
      <c r="D26" s="56" t="s">
        <v>190</v>
      </c>
      <c r="E26" s="58" t="s">
        <v>191</v>
      </c>
      <c r="F26" s="56" t="s">
        <v>192</v>
      </c>
      <c r="G26" s="57" t="s">
        <v>193</v>
      </c>
      <c r="H26" s="56" t="s">
        <v>194</v>
      </c>
      <c r="I26" s="57" t="s">
        <v>195</v>
      </c>
      <c r="J26" s="56" t="s">
        <v>196</v>
      </c>
      <c r="K26" s="70" t="s">
        <v>197</v>
      </c>
      <c r="L26" s="12"/>
      <c r="M26" s="59" t="s">
        <v>187</v>
      </c>
      <c r="N26" s="56" t="s">
        <v>188</v>
      </c>
      <c r="O26" s="57" t="s">
        <v>189</v>
      </c>
      <c r="P26" s="56" t="s">
        <v>190</v>
      </c>
      <c r="Q26" s="58" t="s">
        <v>191</v>
      </c>
      <c r="R26" s="56" t="s">
        <v>192</v>
      </c>
      <c r="S26" s="57" t="s">
        <v>193</v>
      </c>
      <c r="T26" s="56" t="s">
        <v>194</v>
      </c>
      <c r="U26" s="57" t="s">
        <v>195</v>
      </c>
      <c r="V26" s="56" t="s">
        <v>196</v>
      </c>
      <c r="W26" s="70" t="s">
        <v>197</v>
      </c>
      <c r="X26" s="12"/>
      <c r="AF26" s="68"/>
      <c r="AK26" s="68"/>
    </row>
    <row r="27" spans="1:37" ht="12.75" customHeight="1">
      <c r="A27" s="11" t="s">
        <v>198</v>
      </c>
      <c r="B27" s="40" t="s">
        <v>113</v>
      </c>
      <c r="C27" s="10" t="s">
        <v>199</v>
      </c>
      <c r="D27" s="55">
        <f>ID!O46</f>
        <v>1.0000000000000001E-5</v>
      </c>
      <c r="E27" s="52">
        <f>SQRT(6)</f>
        <v>2.4494897427831779</v>
      </c>
      <c r="F27" s="40">
        <v>4</v>
      </c>
      <c r="G27" s="38">
        <f t="shared" ref="G27:G30" si="16">D27/E27</f>
        <v>4.0824829046386308E-6</v>
      </c>
      <c r="H27" s="54">
        <v>1</v>
      </c>
      <c r="I27" s="38">
        <f t="shared" ref="I27:I30" si="17">G27*H27</f>
        <v>4.0824829046386308E-6</v>
      </c>
      <c r="J27" s="35">
        <f t="shared" ref="J27:J30" si="18">I27^2</f>
        <v>1.6666666666666671E-11</v>
      </c>
      <c r="K27" s="53">
        <f t="shared" ref="K27:K30" si="19">I27^4/F27</f>
        <v>6.9444444444444471E-23</v>
      </c>
      <c r="L27" s="34"/>
      <c r="M27" s="11" t="s">
        <v>198</v>
      </c>
      <c r="N27" s="40" t="s">
        <v>113</v>
      </c>
      <c r="O27" s="10" t="s">
        <v>199</v>
      </c>
      <c r="P27" s="55">
        <f>ID!O57</f>
        <v>1.0000000000000001E-5</v>
      </c>
      <c r="Q27" s="52">
        <f>SQRT(6)</f>
        <v>2.4494897427831779</v>
      </c>
      <c r="R27" s="40">
        <v>4</v>
      </c>
      <c r="S27" s="38">
        <f t="shared" ref="S27:S30" si="20">P27/Q27</f>
        <v>4.0824829046386308E-6</v>
      </c>
      <c r="T27" s="54">
        <v>1</v>
      </c>
      <c r="U27" s="38">
        <f t="shared" ref="U27:U30" si="21">S27*T27</f>
        <v>4.0824829046386308E-6</v>
      </c>
      <c r="V27" s="35">
        <f t="shared" ref="V27:V30" si="22">U27^2</f>
        <v>1.6666666666666671E-11</v>
      </c>
      <c r="W27" s="53">
        <f t="shared" ref="W27:W30" si="23">U27^4/R27</f>
        <v>6.9444444444444471E-23</v>
      </c>
      <c r="X27" s="34"/>
      <c r="AF27" s="67"/>
      <c r="AK27" s="67"/>
    </row>
    <row r="28" spans="1:37" ht="16.5" customHeight="1">
      <c r="A28" s="51" t="s">
        <v>200</v>
      </c>
      <c r="B28" s="40" t="s">
        <v>113</v>
      </c>
      <c r="C28" s="47" t="s">
        <v>201</v>
      </c>
      <c r="D28" s="40">
        <f>0.5*ID!$F$7</f>
        <v>0.5</v>
      </c>
      <c r="E28" s="50">
        <f>SQRT(3)</f>
        <v>1.7320508075688772</v>
      </c>
      <c r="F28" s="45">
        <v>50</v>
      </c>
      <c r="G28" s="44">
        <f t="shared" si="16"/>
        <v>0.28867513459481292</v>
      </c>
      <c r="H28" s="40">
        <v>1</v>
      </c>
      <c r="I28" s="44">
        <f t="shared" si="17"/>
        <v>0.28867513459481292</v>
      </c>
      <c r="J28" s="39">
        <f t="shared" si="18"/>
        <v>8.3333333333333356E-2</v>
      </c>
      <c r="K28" s="49">
        <f t="shared" si="19"/>
        <v>1.3888888888888897E-4</v>
      </c>
      <c r="L28" s="34"/>
      <c r="M28" s="51" t="s">
        <v>200</v>
      </c>
      <c r="N28" s="40" t="s">
        <v>113</v>
      </c>
      <c r="O28" s="47" t="s">
        <v>201</v>
      </c>
      <c r="P28" s="40">
        <f>0.5*ID!$F$7</f>
        <v>0.5</v>
      </c>
      <c r="Q28" s="50">
        <f>SQRT(3)</f>
        <v>1.7320508075688772</v>
      </c>
      <c r="R28" s="45">
        <v>50</v>
      </c>
      <c r="S28" s="44">
        <f t="shared" si="20"/>
        <v>0.28867513459481292</v>
      </c>
      <c r="T28" s="40">
        <v>1</v>
      </c>
      <c r="U28" s="44">
        <f t="shared" si="21"/>
        <v>0.28867513459481292</v>
      </c>
      <c r="V28" s="39">
        <f t="shared" si="22"/>
        <v>8.3333333333333356E-2</v>
      </c>
      <c r="W28" s="49">
        <f t="shared" si="23"/>
        <v>1.3888888888888897E-4</v>
      </c>
      <c r="X28" s="34"/>
      <c r="AF28" s="69"/>
      <c r="AK28" s="69"/>
    </row>
    <row r="29" spans="1:37" ht="12.75" customHeight="1">
      <c r="A29" s="48" t="s">
        <v>202</v>
      </c>
      <c r="B29" s="40" t="s">
        <v>113</v>
      </c>
      <c r="C29" s="47" t="s">
        <v>199</v>
      </c>
      <c r="D29" s="94">
        <f>'Input Data Sertifikat ESU'!Y78</f>
        <v>1.0000000000000001E-5</v>
      </c>
      <c r="E29" s="46">
        <v>2</v>
      </c>
      <c r="F29" s="45">
        <v>50</v>
      </c>
      <c r="G29" s="44">
        <f t="shared" si="16"/>
        <v>5.0000000000000004E-6</v>
      </c>
      <c r="H29" s="40">
        <v>1</v>
      </c>
      <c r="I29" s="44">
        <f t="shared" si="17"/>
        <v>5.0000000000000004E-6</v>
      </c>
      <c r="J29" s="39">
        <f t="shared" si="18"/>
        <v>2.5000000000000004E-11</v>
      </c>
      <c r="K29" s="39">
        <f t="shared" si="19"/>
        <v>1.2500000000000005E-23</v>
      </c>
      <c r="L29" s="36"/>
      <c r="M29" s="48" t="s">
        <v>202</v>
      </c>
      <c r="N29" s="40" t="s">
        <v>113</v>
      </c>
      <c r="O29" s="47" t="s">
        <v>199</v>
      </c>
      <c r="P29" s="94">
        <f>'Input Data Sertifikat ESU'!Y88</f>
        <v>1.0000000000000001E-5</v>
      </c>
      <c r="Q29" s="46">
        <v>2</v>
      </c>
      <c r="R29" s="45">
        <v>50</v>
      </c>
      <c r="S29" s="44">
        <f t="shared" si="20"/>
        <v>5.0000000000000004E-6</v>
      </c>
      <c r="T29" s="40">
        <v>1</v>
      </c>
      <c r="U29" s="44">
        <f t="shared" si="21"/>
        <v>5.0000000000000004E-6</v>
      </c>
      <c r="V29" s="39">
        <f t="shared" si="22"/>
        <v>2.5000000000000004E-11</v>
      </c>
      <c r="W29" s="39">
        <f t="shared" si="23"/>
        <v>1.2500000000000005E-23</v>
      </c>
      <c r="X29" s="34"/>
      <c r="AF29" s="68"/>
      <c r="AK29" s="68"/>
    </row>
    <row r="30" spans="1:37" ht="12.75" customHeight="1">
      <c r="A30" s="78" t="s">
        <v>203</v>
      </c>
      <c r="B30" s="40" t="s">
        <v>113</v>
      </c>
      <c r="C30" s="79" t="s">
        <v>201</v>
      </c>
      <c r="D30" s="80">
        <f>'Input Data Sertifikat ESU'!U78</f>
        <v>1.0000000000000001E-5</v>
      </c>
      <c r="E30" s="80">
        <f>SQRT(3)</f>
        <v>1.7320508075688772</v>
      </c>
      <c r="F30" s="45">
        <v>50</v>
      </c>
      <c r="G30" s="81">
        <f t="shared" si="16"/>
        <v>5.7735026918962587E-6</v>
      </c>
      <c r="H30" s="45">
        <v>1</v>
      </c>
      <c r="I30" s="81">
        <f t="shared" si="17"/>
        <v>5.7735026918962587E-6</v>
      </c>
      <c r="J30" s="82">
        <f t="shared" si="18"/>
        <v>3.3333333333333347E-11</v>
      </c>
      <c r="K30" s="83">
        <f t="shared" si="19"/>
        <v>2.2222222222222241E-23</v>
      </c>
      <c r="L30" s="34"/>
      <c r="M30" s="78" t="s">
        <v>203</v>
      </c>
      <c r="N30" s="40" t="s">
        <v>113</v>
      </c>
      <c r="O30" s="79" t="s">
        <v>201</v>
      </c>
      <c r="P30" s="80">
        <f>'Input Data Sertifikat ESU'!U88</f>
        <v>1.0000000000000001E-5</v>
      </c>
      <c r="Q30" s="80">
        <f>SQRT(3)</f>
        <v>1.7320508075688772</v>
      </c>
      <c r="R30" s="45">
        <v>50</v>
      </c>
      <c r="S30" s="81">
        <f t="shared" si="20"/>
        <v>5.7735026918962587E-6</v>
      </c>
      <c r="T30" s="45">
        <v>1</v>
      </c>
      <c r="U30" s="81">
        <f t="shared" si="21"/>
        <v>5.7735026918962587E-6</v>
      </c>
      <c r="V30" s="82">
        <f t="shared" si="22"/>
        <v>3.3333333333333347E-11</v>
      </c>
      <c r="W30" s="83">
        <f t="shared" si="23"/>
        <v>2.2222222222222241E-23</v>
      </c>
      <c r="X30" s="34"/>
      <c r="AF30" s="68"/>
      <c r="AK30" s="68"/>
    </row>
    <row r="31" spans="1:37" ht="14">
      <c r="A31" s="8" t="s">
        <v>204</v>
      </c>
      <c r="B31" s="9"/>
      <c r="C31" s="9"/>
      <c r="D31" s="9"/>
      <c r="E31" s="37"/>
      <c r="F31" s="9"/>
      <c r="G31" s="9"/>
      <c r="H31" s="9"/>
      <c r="I31" s="9"/>
      <c r="J31" s="36">
        <f>SUM(J27:J30)</f>
        <v>8.3333333408333363E-2</v>
      </c>
      <c r="K31" s="35">
        <f>SUM(K27:K30)</f>
        <v>1.3888888888888897E-4</v>
      </c>
      <c r="L31" s="34"/>
      <c r="M31" s="8" t="s">
        <v>204</v>
      </c>
      <c r="N31" s="9"/>
      <c r="O31" s="9"/>
      <c r="P31" s="9"/>
      <c r="Q31" s="37"/>
      <c r="R31" s="9"/>
      <c r="S31" s="9"/>
      <c r="T31" s="9"/>
      <c r="U31" s="9"/>
      <c r="V31" s="36">
        <f>SUM(V27:V30)</f>
        <v>8.3333333408333363E-2</v>
      </c>
      <c r="W31" s="35">
        <f>SUM(W27:W30)</f>
        <v>1.3888888888888897E-4</v>
      </c>
      <c r="X31" s="34"/>
    </row>
    <row r="32" spans="1:37" ht="17">
      <c r="A32" s="27" t="s">
        <v>205</v>
      </c>
      <c r="B32" s="24"/>
      <c r="C32" s="24"/>
      <c r="D32" s="24"/>
      <c r="E32" s="26"/>
      <c r="F32" s="24"/>
      <c r="G32" s="33" t="s">
        <v>206</v>
      </c>
      <c r="H32" s="24"/>
      <c r="I32" s="24"/>
      <c r="J32" s="32">
        <f>SQRT(J31)</f>
        <v>0.28867513472471673</v>
      </c>
      <c r="K32" s="22"/>
      <c r="L32" s="21"/>
      <c r="M32" s="27" t="s">
        <v>205</v>
      </c>
      <c r="N32" s="24"/>
      <c r="O32" s="24"/>
      <c r="P32" s="24"/>
      <c r="Q32" s="26"/>
      <c r="R32" s="24"/>
      <c r="S32" s="33" t="s">
        <v>206</v>
      </c>
      <c r="T32" s="24"/>
      <c r="U32" s="24"/>
      <c r="V32" s="32">
        <f>SQRT(V31)</f>
        <v>0.28867513472471673</v>
      </c>
      <c r="W32" s="22"/>
      <c r="X32" s="21"/>
    </row>
    <row r="33" spans="1:36" ht="17.5">
      <c r="A33" s="8" t="s">
        <v>207</v>
      </c>
      <c r="B33" s="14"/>
      <c r="C33" s="14"/>
      <c r="D33" s="14"/>
      <c r="E33" s="31"/>
      <c r="F33" s="14"/>
      <c r="G33" s="30" t="s">
        <v>208</v>
      </c>
      <c r="H33" s="14"/>
      <c r="I33" s="14"/>
      <c r="J33" s="29">
        <f>J32^4/(K31)</f>
        <v>50.000000089999986</v>
      </c>
      <c r="K33" s="28"/>
      <c r="L33" s="21"/>
      <c r="M33" s="8" t="s">
        <v>207</v>
      </c>
      <c r="N33" s="14"/>
      <c r="O33" s="14"/>
      <c r="P33" s="14"/>
      <c r="Q33" s="31"/>
      <c r="R33" s="14"/>
      <c r="S33" s="30" t="s">
        <v>208</v>
      </c>
      <c r="T33" s="14"/>
      <c r="U33" s="14"/>
      <c r="V33" s="29">
        <f>V32^4/(W31)</f>
        <v>50.000000089999986</v>
      </c>
      <c r="W33" s="28"/>
      <c r="X33" s="21"/>
      <c r="AF33" s="66"/>
    </row>
    <row r="34" spans="1:36" ht="15.5">
      <c r="A34" s="27" t="s">
        <v>209</v>
      </c>
      <c r="B34" s="24"/>
      <c r="C34" s="24"/>
      <c r="D34" s="24"/>
      <c r="E34" s="26"/>
      <c r="F34" s="24"/>
      <c r="G34" s="25" t="s">
        <v>210</v>
      </c>
      <c r="H34" s="24"/>
      <c r="I34" s="24"/>
      <c r="J34" s="23">
        <f>1.95996+(2.37356/J33)+(2.818745/J33^2)+(2.546662/J33^3)+(1.761829/J33^4)+(0.245458/J33^5)+(1.000764/J33^6)</f>
        <v>2.008579353948535</v>
      </c>
      <c r="K34" s="22"/>
      <c r="L34" s="21"/>
      <c r="M34" s="27" t="s">
        <v>209</v>
      </c>
      <c r="N34" s="24"/>
      <c r="O34" s="24"/>
      <c r="P34" s="24"/>
      <c r="Q34" s="26"/>
      <c r="R34" s="24"/>
      <c r="S34" s="25" t="s">
        <v>210</v>
      </c>
      <c r="T34" s="24"/>
      <c r="U34" s="24"/>
      <c r="V34" s="23">
        <f>1.95996+(2.37356/V33)+(2.818745/V33^2)+(2.546662/V33^3)+(1.761829/V33^4)+(0.245458/V33^5)+(1.000764/V33^6)</f>
        <v>2.008579353948535</v>
      </c>
      <c r="W34" s="22"/>
      <c r="X34" s="21"/>
      <c r="AF34" s="63"/>
    </row>
    <row r="35" spans="1:36" ht="15" customHeight="1">
      <c r="A35" s="20" t="s">
        <v>211</v>
      </c>
      <c r="B35" s="17"/>
      <c r="C35" s="17"/>
      <c r="D35" s="17"/>
      <c r="E35" s="19"/>
      <c r="F35" s="17"/>
      <c r="G35" s="18" t="s">
        <v>212</v>
      </c>
      <c r="H35" s="17"/>
      <c r="I35" s="17"/>
      <c r="J35" s="16">
        <f>J32*J34</f>
        <v>0.57982691560637789</v>
      </c>
      <c r="K35" s="15" t="s">
        <v>113</v>
      </c>
      <c r="L35" s="13"/>
      <c r="M35" s="20" t="s">
        <v>211</v>
      </c>
      <c r="N35" s="17"/>
      <c r="O35" s="17"/>
      <c r="P35" s="17"/>
      <c r="Q35" s="19"/>
      <c r="R35" s="17"/>
      <c r="S35" s="18" t="s">
        <v>212</v>
      </c>
      <c r="T35" s="17"/>
      <c r="U35" s="17"/>
      <c r="V35" s="16">
        <f>V32*V34</f>
        <v>0.57982691560637789</v>
      </c>
      <c r="W35" s="15" t="s">
        <v>113</v>
      </c>
      <c r="X35" s="13"/>
      <c r="AF35" s="65"/>
      <c r="AG35" s="64"/>
      <c r="AH35" s="64"/>
      <c r="AI35" s="63"/>
      <c r="AJ35" s="62"/>
    </row>
    <row r="36" spans="1:36" ht="12.75" customHeight="1">
      <c r="A36" s="4" t="s">
        <v>185</v>
      </c>
      <c r="B36" s="61">
        <f>ID!D47</f>
        <v>100</v>
      </c>
      <c r="D36" s="144"/>
      <c r="E36" s="95"/>
      <c r="M36" s="4" t="s">
        <v>186</v>
      </c>
      <c r="N36" s="61">
        <f>ID!D58</f>
        <v>100</v>
      </c>
      <c r="P36" s="144"/>
      <c r="Q36" s="95"/>
      <c r="AF36" s="60"/>
      <c r="AG36" s="42"/>
      <c r="AH36" s="42"/>
      <c r="AI36" s="41"/>
      <c r="AJ36" s="6"/>
    </row>
    <row r="37" spans="1:36" ht="14">
      <c r="A37" s="59" t="s">
        <v>187</v>
      </c>
      <c r="B37" s="56" t="s">
        <v>188</v>
      </c>
      <c r="C37" s="57" t="s">
        <v>189</v>
      </c>
      <c r="D37" s="56" t="s">
        <v>190</v>
      </c>
      <c r="E37" s="58" t="s">
        <v>191</v>
      </c>
      <c r="F37" s="56" t="s">
        <v>192</v>
      </c>
      <c r="G37" s="57" t="s">
        <v>193</v>
      </c>
      <c r="H37" s="56" t="s">
        <v>194</v>
      </c>
      <c r="I37" s="57" t="s">
        <v>195</v>
      </c>
      <c r="J37" s="56" t="s">
        <v>196</v>
      </c>
      <c r="K37" s="70" t="s">
        <v>197</v>
      </c>
      <c r="L37" s="12"/>
      <c r="M37" s="59" t="s">
        <v>187</v>
      </c>
      <c r="N37" s="56" t="s">
        <v>188</v>
      </c>
      <c r="O37" s="57" t="s">
        <v>189</v>
      </c>
      <c r="P37" s="56" t="s">
        <v>190</v>
      </c>
      <c r="Q37" s="58" t="s">
        <v>191</v>
      </c>
      <c r="R37" s="56" t="s">
        <v>192</v>
      </c>
      <c r="S37" s="57" t="s">
        <v>193</v>
      </c>
      <c r="T37" s="56" t="s">
        <v>194</v>
      </c>
      <c r="U37" s="57" t="s">
        <v>195</v>
      </c>
      <c r="V37" s="56" t="s">
        <v>196</v>
      </c>
      <c r="W37" s="70" t="s">
        <v>197</v>
      </c>
      <c r="X37" s="12"/>
      <c r="AF37" s="43"/>
      <c r="AG37" s="42"/>
      <c r="AH37" s="42"/>
      <c r="AI37" s="41"/>
      <c r="AJ37" s="6"/>
    </row>
    <row r="38" spans="1:36" ht="12.75" customHeight="1">
      <c r="A38" s="11" t="s">
        <v>198</v>
      </c>
      <c r="B38" s="40" t="s">
        <v>113</v>
      </c>
      <c r="C38" s="10" t="s">
        <v>199</v>
      </c>
      <c r="D38" s="55">
        <f>ID!O47</f>
        <v>1.0000000000000001E-5</v>
      </c>
      <c r="E38" s="52">
        <f>SQRT(6)</f>
        <v>2.4494897427831779</v>
      </c>
      <c r="F38" s="40">
        <v>4</v>
      </c>
      <c r="G38" s="38">
        <f t="shared" ref="G38:G41" si="24">D38/E38</f>
        <v>4.0824829046386308E-6</v>
      </c>
      <c r="H38" s="54">
        <v>1</v>
      </c>
      <c r="I38" s="38">
        <f t="shared" ref="I38:I41" si="25">G38*H38</f>
        <v>4.0824829046386308E-6</v>
      </c>
      <c r="J38" s="35">
        <f t="shared" ref="J38:J41" si="26">I38^2</f>
        <v>1.6666666666666671E-11</v>
      </c>
      <c r="K38" s="53">
        <f t="shared" ref="K38:K41" si="27">I38^4/F38</f>
        <v>6.9444444444444471E-23</v>
      </c>
      <c r="L38" s="34"/>
      <c r="M38" s="11" t="s">
        <v>198</v>
      </c>
      <c r="N38" s="40" t="s">
        <v>113</v>
      </c>
      <c r="O38" s="10" t="s">
        <v>199</v>
      </c>
      <c r="P38" s="55">
        <f>ID!O58</f>
        <v>1.0000000000000001E-5</v>
      </c>
      <c r="Q38" s="52">
        <f>SQRT(6)</f>
        <v>2.4494897427831779</v>
      </c>
      <c r="R38" s="40">
        <v>4</v>
      </c>
      <c r="S38" s="38">
        <f t="shared" ref="S38:S41" si="28">P38/Q38</f>
        <v>4.0824829046386308E-6</v>
      </c>
      <c r="T38" s="54">
        <v>1</v>
      </c>
      <c r="U38" s="38">
        <f t="shared" ref="U38:U41" si="29">S38*T38</f>
        <v>4.0824829046386308E-6</v>
      </c>
      <c r="V38" s="35">
        <f t="shared" ref="V38:V41" si="30">U38^2</f>
        <v>1.6666666666666671E-11</v>
      </c>
      <c r="W38" s="53">
        <f t="shared" ref="W38:W41" si="31">U38^4/R38</f>
        <v>6.9444444444444471E-23</v>
      </c>
      <c r="X38" s="34"/>
      <c r="AF38" s="43"/>
      <c r="AG38" s="42"/>
      <c r="AH38" s="42"/>
      <c r="AI38" s="41"/>
      <c r="AJ38" s="6"/>
    </row>
    <row r="39" spans="1:36" ht="12.75" customHeight="1">
      <c r="A39" s="51" t="s">
        <v>200</v>
      </c>
      <c r="B39" s="40" t="s">
        <v>113</v>
      </c>
      <c r="C39" s="47" t="s">
        <v>201</v>
      </c>
      <c r="D39" s="40">
        <f>0.5*ID!$F$7</f>
        <v>0.5</v>
      </c>
      <c r="E39" s="50">
        <f>SQRT(3)</f>
        <v>1.7320508075688772</v>
      </c>
      <c r="F39" s="45">
        <v>50</v>
      </c>
      <c r="G39" s="44">
        <f t="shared" si="24"/>
        <v>0.28867513459481292</v>
      </c>
      <c r="H39" s="40">
        <v>1</v>
      </c>
      <c r="I39" s="44">
        <f t="shared" si="25"/>
        <v>0.28867513459481292</v>
      </c>
      <c r="J39" s="39">
        <f t="shared" si="26"/>
        <v>8.3333333333333356E-2</v>
      </c>
      <c r="K39" s="49">
        <f t="shared" si="27"/>
        <v>1.3888888888888897E-4</v>
      </c>
      <c r="L39" s="34"/>
      <c r="M39" s="51" t="s">
        <v>200</v>
      </c>
      <c r="N39" s="40" t="s">
        <v>113</v>
      </c>
      <c r="O39" s="47" t="s">
        <v>201</v>
      </c>
      <c r="P39" s="40">
        <f>0.5*ID!$F$7</f>
        <v>0.5</v>
      </c>
      <c r="Q39" s="50">
        <f>SQRT(3)</f>
        <v>1.7320508075688772</v>
      </c>
      <c r="R39" s="45">
        <v>50</v>
      </c>
      <c r="S39" s="44">
        <f t="shared" si="28"/>
        <v>0.28867513459481292</v>
      </c>
      <c r="T39" s="40">
        <v>1</v>
      </c>
      <c r="U39" s="44">
        <f t="shared" si="29"/>
        <v>0.28867513459481292</v>
      </c>
      <c r="V39" s="39">
        <f t="shared" si="30"/>
        <v>8.3333333333333356E-2</v>
      </c>
      <c r="W39" s="49">
        <f t="shared" si="31"/>
        <v>1.3888888888888897E-4</v>
      </c>
      <c r="X39" s="34"/>
      <c r="AF39" s="43"/>
      <c r="AG39" s="42"/>
      <c r="AH39" s="42"/>
      <c r="AI39" s="41"/>
      <c r="AJ39" s="6"/>
    </row>
    <row r="40" spans="1:36" ht="12.75" customHeight="1">
      <c r="A40" s="48" t="s">
        <v>202</v>
      </c>
      <c r="B40" s="40" t="s">
        <v>113</v>
      </c>
      <c r="C40" s="47" t="s">
        <v>199</v>
      </c>
      <c r="D40" s="94">
        <f>'Input Data Sertifikat ESU'!Y79</f>
        <v>1.0000000000000001E-5</v>
      </c>
      <c r="E40" s="46">
        <v>2</v>
      </c>
      <c r="F40" s="45">
        <v>50</v>
      </c>
      <c r="G40" s="44">
        <f t="shared" si="24"/>
        <v>5.0000000000000004E-6</v>
      </c>
      <c r="H40" s="40">
        <v>1</v>
      </c>
      <c r="I40" s="44">
        <f t="shared" si="25"/>
        <v>5.0000000000000004E-6</v>
      </c>
      <c r="J40" s="39">
        <f t="shared" si="26"/>
        <v>2.5000000000000004E-11</v>
      </c>
      <c r="K40" s="39">
        <f t="shared" si="27"/>
        <v>1.2500000000000005E-23</v>
      </c>
      <c r="L40" s="34"/>
      <c r="M40" s="48" t="s">
        <v>202</v>
      </c>
      <c r="N40" s="40" t="s">
        <v>113</v>
      </c>
      <c r="O40" s="47" t="s">
        <v>199</v>
      </c>
      <c r="P40" s="94">
        <f>'Input Data Sertifikat ESU'!Y89</f>
        <v>1.0000000000000001E-5</v>
      </c>
      <c r="Q40" s="46">
        <v>2</v>
      </c>
      <c r="R40" s="45">
        <v>50</v>
      </c>
      <c r="S40" s="44">
        <f t="shared" si="28"/>
        <v>5.0000000000000004E-6</v>
      </c>
      <c r="T40" s="40">
        <v>1</v>
      </c>
      <c r="U40" s="44">
        <f t="shared" si="29"/>
        <v>5.0000000000000004E-6</v>
      </c>
      <c r="V40" s="39">
        <f t="shared" si="30"/>
        <v>2.5000000000000004E-11</v>
      </c>
      <c r="W40" s="39">
        <f t="shared" si="31"/>
        <v>1.2500000000000005E-23</v>
      </c>
      <c r="X40" s="34"/>
      <c r="AF40" s="43"/>
      <c r="AG40" s="42"/>
      <c r="AH40" s="42"/>
      <c r="AI40" s="41"/>
      <c r="AJ40" s="6"/>
    </row>
    <row r="41" spans="1:36" ht="12.75" customHeight="1">
      <c r="A41" s="78" t="s">
        <v>203</v>
      </c>
      <c r="B41" s="40" t="s">
        <v>113</v>
      </c>
      <c r="C41" s="79" t="s">
        <v>201</v>
      </c>
      <c r="D41" s="80">
        <f>'Input Data Sertifikat ESU'!U79</f>
        <v>1.0000000000000001E-5</v>
      </c>
      <c r="E41" s="80">
        <f>SQRT(3)</f>
        <v>1.7320508075688772</v>
      </c>
      <c r="F41" s="45">
        <v>50</v>
      </c>
      <c r="G41" s="81">
        <f t="shared" si="24"/>
        <v>5.7735026918962587E-6</v>
      </c>
      <c r="H41" s="45">
        <v>1</v>
      </c>
      <c r="I41" s="81">
        <f t="shared" si="25"/>
        <v>5.7735026918962587E-6</v>
      </c>
      <c r="J41" s="82">
        <f t="shared" si="26"/>
        <v>3.3333333333333347E-11</v>
      </c>
      <c r="K41" s="83">
        <f t="shared" si="27"/>
        <v>2.2222222222222241E-23</v>
      </c>
      <c r="L41" s="34"/>
      <c r="M41" s="78" t="s">
        <v>203</v>
      </c>
      <c r="N41" s="40" t="s">
        <v>113</v>
      </c>
      <c r="O41" s="79" t="s">
        <v>201</v>
      </c>
      <c r="P41" s="80">
        <f>'Input Data Sertifikat ESU'!U89</f>
        <v>1.0000000000000001E-5</v>
      </c>
      <c r="Q41" s="80">
        <f>SQRT(3)</f>
        <v>1.7320508075688772</v>
      </c>
      <c r="R41" s="45">
        <v>50</v>
      </c>
      <c r="S41" s="81">
        <f t="shared" si="28"/>
        <v>5.7735026918962587E-6</v>
      </c>
      <c r="T41" s="45">
        <v>1</v>
      </c>
      <c r="U41" s="81">
        <f t="shared" si="29"/>
        <v>5.7735026918962587E-6</v>
      </c>
      <c r="V41" s="82">
        <f t="shared" si="30"/>
        <v>3.3333333333333347E-11</v>
      </c>
      <c r="W41" s="83">
        <f t="shared" si="31"/>
        <v>2.2222222222222241E-23</v>
      </c>
      <c r="X41" s="34"/>
      <c r="AF41" s="43"/>
      <c r="AG41" s="42"/>
      <c r="AH41" s="42"/>
      <c r="AI41" s="41"/>
      <c r="AJ41" s="6"/>
    </row>
    <row r="42" spans="1:36" ht="14">
      <c r="A42" s="8" t="s">
        <v>204</v>
      </c>
      <c r="B42" s="9"/>
      <c r="C42" s="9"/>
      <c r="D42" s="9"/>
      <c r="E42" s="37"/>
      <c r="F42" s="9"/>
      <c r="G42" s="9"/>
      <c r="H42" s="9"/>
      <c r="I42" s="9"/>
      <c r="J42" s="36">
        <f>SUM(J38:J41)</f>
        <v>8.3333333408333363E-2</v>
      </c>
      <c r="K42" s="35">
        <f>SUM(K38:K41)</f>
        <v>1.3888888888888897E-4</v>
      </c>
      <c r="L42" s="36"/>
      <c r="M42" s="8" t="s">
        <v>204</v>
      </c>
      <c r="N42" s="9"/>
      <c r="O42" s="9"/>
      <c r="P42" s="9"/>
      <c r="Q42" s="37"/>
      <c r="R42" s="9"/>
      <c r="S42" s="9"/>
      <c r="T42" s="9"/>
      <c r="U42" s="9"/>
      <c r="V42" s="36">
        <f>SUM(V38:V41)</f>
        <v>8.3333333408333363E-2</v>
      </c>
      <c r="W42" s="35">
        <f>SUM(W38:W41)</f>
        <v>1.3888888888888897E-4</v>
      </c>
      <c r="X42" s="34"/>
    </row>
    <row r="43" spans="1:36" ht="17">
      <c r="A43" s="27" t="s">
        <v>205</v>
      </c>
      <c r="B43" s="24"/>
      <c r="C43" s="24"/>
      <c r="D43" s="24"/>
      <c r="E43" s="26"/>
      <c r="F43" s="24"/>
      <c r="G43" s="33" t="s">
        <v>206</v>
      </c>
      <c r="H43" s="24"/>
      <c r="I43" s="24"/>
      <c r="J43" s="32">
        <f>SQRT(J42)</f>
        <v>0.28867513472471673</v>
      </c>
      <c r="K43" s="22"/>
      <c r="L43" s="21"/>
      <c r="M43" s="27" t="s">
        <v>205</v>
      </c>
      <c r="N43" s="24"/>
      <c r="O43" s="24"/>
      <c r="P43" s="24"/>
      <c r="Q43" s="26"/>
      <c r="R43" s="24"/>
      <c r="S43" s="33" t="s">
        <v>206</v>
      </c>
      <c r="T43" s="24"/>
      <c r="U43" s="24"/>
      <c r="V43" s="32">
        <f>SQRT(V42)</f>
        <v>0.28867513472471673</v>
      </c>
      <c r="W43" s="22"/>
      <c r="X43" s="21"/>
    </row>
    <row r="44" spans="1:36" ht="17.5">
      <c r="A44" s="8" t="s">
        <v>207</v>
      </c>
      <c r="B44" s="14"/>
      <c r="C44" s="14"/>
      <c r="D44" s="14"/>
      <c r="E44" s="31"/>
      <c r="F44" s="14"/>
      <c r="G44" s="30" t="s">
        <v>208</v>
      </c>
      <c r="H44" s="14"/>
      <c r="I44" s="14"/>
      <c r="J44" s="29">
        <f>J43^4/(K42)</f>
        <v>50.000000089999986</v>
      </c>
      <c r="K44" s="28"/>
      <c r="L44" s="21"/>
      <c r="M44" s="8" t="s">
        <v>207</v>
      </c>
      <c r="N44" s="14"/>
      <c r="O44" s="14"/>
      <c r="P44" s="14"/>
      <c r="Q44" s="31"/>
      <c r="R44" s="14"/>
      <c r="S44" s="30" t="s">
        <v>208</v>
      </c>
      <c r="T44" s="14"/>
      <c r="U44" s="14"/>
      <c r="V44" s="29">
        <f>V43^4/(W42)</f>
        <v>50.000000089999986</v>
      </c>
      <c r="W44" s="28"/>
      <c r="X44" s="21"/>
    </row>
    <row r="45" spans="1:36" ht="15.5">
      <c r="A45" s="27" t="s">
        <v>209</v>
      </c>
      <c r="B45" s="24"/>
      <c r="C45" s="24"/>
      <c r="D45" s="24"/>
      <c r="E45" s="26"/>
      <c r="F45" s="24"/>
      <c r="G45" s="25" t="s">
        <v>210</v>
      </c>
      <c r="H45" s="24"/>
      <c r="I45" s="24"/>
      <c r="J45" s="23">
        <f>1.95996+(2.37356/J44)+(2.818745/J44^2)+(2.546662/J44^3)+(1.761829/J44^4)+(0.245458/J44^5)+(1.000764/J44^6)</f>
        <v>2.008579353948535</v>
      </c>
      <c r="K45" s="22"/>
      <c r="L45" s="21"/>
      <c r="M45" s="27" t="s">
        <v>209</v>
      </c>
      <c r="N45" s="24"/>
      <c r="O45" s="24"/>
      <c r="P45" s="24"/>
      <c r="Q45" s="26"/>
      <c r="R45" s="24"/>
      <c r="S45" s="25" t="s">
        <v>210</v>
      </c>
      <c r="T45" s="24"/>
      <c r="U45" s="24"/>
      <c r="V45" s="23">
        <f>1.95996+(2.37356/V44)+(2.818745/V44^2)+(2.546662/V44^3)+(1.761829/V44^4)+(0.245458/V44^5)+(1.000764/V44^6)</f>
        <v>2.008579353948535</v>
      </c>
      <c r="W45" s="22"/>
      <c r="X45" s="21"/>
    </row>
    <row r="46" spans="1:36" ht="14">
      <c r="A46" s="20" t="s">
        <v>211</v>
      </c>
      <c r="B46" s="17"/>
      <c r="C46" s="17"/>
      <c r="D46" s="17"/>
      <c r="E46" s="19"/>
      <c r="F46" s="17"/>
      <c r="G46" s="18" t="s">
        <v>212</v>
      </c>
      <c r="H46" s="17"/>
      <c r="I46" s="17"/>
      <c r="J46" s="16">
        <f>J43*J45</f>
        <v>0.57982691560637789</v>
      </c>
      <c r="K46" s="15" t="s">
        <v>113</v>
      </c>
      <c r="L46" s="13"/>
      <c r="M46" s="20" t="s">
        <v>211</v>
      </c>
      <c r="N46" s="17"/>
      <c r="O46" s="17"/>
      <c r="P46" s="17"/>
      <c r="Q46" s="19"/>
      <c r="R46" s="17"/>
      <c r="S46" s="18" t="s">
        <v>212</v>
      </c>
      <c r="T46" s="17"/>
      <c r="U46" s="17"/>
      <c r="V46" s="16">
        <f>V43*V45</f>
        <v>0.57982691560637789</v>
      </c>
      <c r="W46" s="15" t="s">
        <v>113</v>
      </c>
      <c r="X46" s="13"/>
    </row>
    <row r="47" spans="1:36" ht="12.75" customHeight="1">
      <c r="A47" s="4" t="s">
        <v>185</v>
      </c>
      <c r="B47" s="76">
        <f>ID!D48</f>
        <v>150</v>
      </c>
      <c r="D47" s="144"/>
      <c r="E47" s="95"/>
      <c r="M47" s="4" t="s">
        <v>186</v>
      </c>
      <c r="N47" s="61">
        <f>ID!D59</f>
        <v>150</v>
      </c>
      <c r="P47" s="144"/>
      <c r="Q47" s="95"/>
    </row>
    <row r="48" spans="1:36" ht="15.75" customHeight="1">
      <c r="A48" s="59" t="s">
        <v>187</v>
      </c>
      <c r="B48" s="56" t="s">
        <v>188</v>
      </c>
      <c r="C48" s="57" t="s">
        <v>189</v>
      </c>
      <c r="D48" s="56" t="s">
        <v>190</v>
      </c>
      <c r="E48" s="58" t="s">
        <v>191</v>
      </c>
      <c r="F48" s="56" t="s">
        <v>192</v>
      </c>
      <c r="G48" s="57" t="s">
        <v>193</v>
      </c>
      <c r="H48" s="56" t="s">
        <v>194</v>
      </c>
      <c r="I48" s="57" t="s">
        <v>195</v>
      </c>
      <c r="J48" s="56" t="s">
        <v>196</v>
      </c>
      <c r="K48" s="70" t="s">
        <v>197</v>
      </c>
      <c r="L48" s="12"/>
      <c r="M48" s="59" t="s">
        <v>187</v>
      </c>
      <c r="N48" s="56" t="s">
        <v>188</v>
      </c>
      <c r="O48" s="57" t="s">
        <v>189</v>
      </c>
      <c r="P48" s="56" t="s">
        <v>190</v>
      </c>
      <c r="Q48" s="58" t="s">
        <v>191</v>
      </c>
      <c r="R48" s="56" t="s">
        <v>192</v>
      </c>
      <c r="S48" s="57" t="s">
        <v>193</v>
      </c>
      <c r="T48" s="56" t="s">
        <v>194</v>
      </c>
      <c r="U48" s="57" t="s">
        <v>195</v>
      </c>
      <c r="V48" s="56" t="s">
        <v>196</v>
      </c>
      <c r="W48" s="70" t="s">
        <v>197</v>
      </c>
    </row>
    <row r="49" spans="1:23" ht="16.5" customHeight="1">
      <c r="A49" s="11" t="s">
        <v>198</v>
      </c>
      <c r="B49" s="40" t="s">
        <v>113</v>
      </c>
      <c r="C49" s="10" t="s">
        <v>199</v>
      </c>
      <c r="D49" s="55">
        <f>ID!O48</f>
        <v>1.0000000000000001E-5</v>
      </c>
      <c r="E49" s="52">
        <f>SQRT(6)</f>
        <v>2.4494897427831779</v>
      </c>
      <c r="F49" s="40">
        <v>4</v>
      </c>
      <c r="G49" s="38">
        <f t="shared" ref="G49:G52" si="32">D49/E49</f>
        <v>4.0824829046386308E-6</v>
      </c>
      <c r="H49" s="54">
        <v>1</v>
      </c>
      <c r="I49" s="38">
        <f t="shared" ref="I49:I52" si="33">G49*H49</f>
        <v>4.0824829046386308E-6</v>
      </c>
      <c r="J49" s="35">
        <f t="shared" ref="J49:J52" si="34">I49^2</f>
        <v>1.6666666666666671E-11</v>
      </c>
      <c r="K49" s="53">
        <f t="shared" ref="K49:K52" si="35">I49^4/F49</f>
        <v>6.9444444444444471E-23</v>
      </c>
      <c r="L49" s="34"/>
      <c r="M49" s="11" t="s">
        <v>198</v>
      </c>
      <c r="N49" s="40" t="s">
        <v>113</v>
      </c>
      <c r="O49" s="10" t="s">
        <v>199</v>
      </c>
      <c r="P49" s="55">
        <f>ID!O59</f>
        <v>1.0000000000000001E-5</v>
      </c>
      <c r="Q49" s="52">
        <f>SQRT(6)</f>
        <v>2.4494897427831779</v>
      </c>
      <c r="R49" s="40">
        <v>4</v>
      </c>
      <c r="S49" s="38">
        <f t="shared" ref="S49:S52" si="36">P49/Q49</f>
        <v>4.0824829046386308E-6</v>
      </c>
      <c r="T49" s="54">
        <v>1</v>
      </c>
      <c r="U49" s="38">
        <f t="shared" ref="U49:U52" si="37">S49*T49</f>
        <v>4.0824829046386308E-6</v>
      </c>
      <c r="V49" s="35">
        <f t="shared" ref="V49:V52" si="38">U49^2</f>
        <v>1.6666666666666671E-11</v>
      </c>
      <c r="W49" s="53">
        <f t="shared" ref="W49:W52" si="39">U49^4/R49</f>
        <v>6.9444444444444471E-23</v>
      </c>
    </row>
    <row r="50" spans="1:23" ht="12.75" customHeight="1">
      <c r="A50" s="51" t="s">
        <v>200</v>
      </c>
      <c r="B50" s="40" t="s">
        <v>113</v>
      </c>
      <c r="C50" s="47" t="s">
        <v>201</v>
      </c>
      <c r="D50" s="40">
        <f>0.5*ID!$F$7</f>
        <v>0.5</v>
      </c>
      <c r="E50" s="50">
        <f>SQRT(3)</f>
        <v>1.7320508075688772</v>
      </c>
      <c r="F50" s="45">
        <v>50</v>
      </c>
      <c r="G50" s="44">
        <f t="shared" si="32"/>
        <v>0.28867513459481292</v>
      </c>
      <c r="H50" s="40">
        <v>1</v>
      </c>
      <c r="I50" s="44">
        <f t="shared" si="33"/>
        <v>0.28867513459481292</v>
      </c>
      <c r="J50" s="39">
        <f t="shared" si="34"/>
        <v>8.3333333333333356E-2</v>
      </c>
      <c r="K50" s="49">
        <f t="shared" si="35"/>
        <v>1.3888888888888897E-4</v>
      </c>
      <c r="L50" s="34"/>
      <c r="M50" s="51" t="s">
        <v>200</v>
      </c>
      <c r="N50" s="40" t="s">
        <v>113</v>
      </c>
      <c r="O50" s="47" t="s">
        <v>201</v>
      </c>
      <c r="P50" s="40">
        <f>0.5*ID!$F$7</f>
        <v>0.5</v>
      </c>
      <c r="Q50" s="50">
        <f>SQRT(3)</f>
        <v>1.7320508075688772</v>
      </c>
      <c r="R50" s="45">
        <v>50</v>
      </c>
      <c r="S50" s="44">
        <f t="shared" si="36"/>
        <v>0.28867513459481292</v>
      </c>
      <c r="T50" s="40">
        <v>1</v>
      </c>
      <c r="U50" s="44">
        <f t="shared" si="37"/>
        <v>0.28867513459481292</v>
      </c>
      <c r="V50" s="39">
        <f t="shared" si="38"/>
        <v>8.3333333333333356E-2</v>
      </c>
      <c r="W50" s="49">
        <f t="shared" si="39"/>
        <v>1.3888888888888897E-4</v>
      </c>
    </row>
    <row r="51" spans="1:23" ht="12.75" customHeight="1">
      <c r="A51" s="48" t="s">
        <v>202</v>
      </c>
      <c r="B51" s="40" t="s">
        <v>113</v>
      </c>
      <c r="C51" s="47" t="s">
        <v>199</v>
      </c>
      <c r="D51" s="94">
        <f>'Input Data Sertifikat ESU'!Y80</f>
        <v>1.0000000000000001E-5</v>
      </c>
      <c r="E51" s="46">
        <v>2</v>
      </c>
      <c r="F51" s="45">
        <v>50</v>
      </c>
      <c r="G51" s="44">
        <f t="shared" si="32"/>
        <v>5.0000000000000004E-6</v>
      </c>
      <c r="H51" s="40">
        <v>1</v>
      </c>
      <c r="I51" s="44">
        <f t="shared" si="33"/>
        <v>5.0000000000000004E-6</v>
      </c>
      <c r="J51" s="39">
        <f t="shared" si="34"/>
        <v>2.5000000000000004E-11</v>
      </c>
      <c r="K51" s="39">
        <f t="shared" si="35"/>
        <v>1.2500000000000005E-23</v>
      </c>
      <c r="L51" s="34"/>
      <c r="M51" s="48" t="s">
        <v>202</v>
      </c>
      <c r="N51" s="40" t="s">
        <v>113</v>
      </c>
      <c r="O51" s="47" t="s">
        <v>199</v>
      </c>
      <c r="P51" s="94">
        <f>'Input Data Sertifikat ESU'!Y90</f>
        <v>1.0000000000000001E-5</v>
      </c>
      <c r="Q51" s="46">
        <v>2</v>
      </c>
      <c r="R51" s="45">
        <v>50</v>
      </c>
      <c r="S51" s="44">
        <f t="shared" si="36"/>
        <v>5.0000000000000004E-6</v>
      </c>
      <c r="T51" s="40">
        <v>1</v>
      </c>
      <c r="U51" s="44">
        <f t="shared" si="37"/>
        <v>5.0000000000000004E-6</v>
      </c>
      <c r="V51" s="39">
        <f t="shared" si="38"/>
        <v>2.5000000000000004E-11</v>
      </c>
      <c r="W51" s="39">
        <f t="shared" si="39"/>
        <v>1.2500000000000005E-23</v>
      </c>
    </row>
    <row r="52" spans="1:23" ht="12.75" customHeight="1">
      <c r="A52" s="78" t="s">
        <v>203</v>
      </c>
      <c r="B52" s="40" t="s">
        <v>113</v>
      </c>
      <c r="C52" s="79" t="s">
        <v>201</v>
      </c>
      <c r="D52" s="80">
        <f>'Input Data Sertifikat ESU'!U80</f>
        <v>1.0000000000000001E-5</v>
      </c>
      <c r="E52" s="80">
        <f>SQRT(3)</f>
        <v>1.7320508075688772</v>
      </c>
      <c r="F52" s="45">
        <v>50</v>
      </c>
      <c r="G52" s="81">
        <f t="shared" si="32"/>
        <v>5.7735026918962587E-6</v>
      </c>
      <c r="H52" s="45">
        <v>1</v>
      </c>
      <c r="I52" s="81">
        <f t="shared" si="33"/>
        <v>5.7735026918962587E-6</v>
      </c>
      <c r="J52" s="82">
        <f t="shared" si="34"/>
        <v>3.3333333333333347E-11</v>
      </c>
      <c r="K52" s="83">
        <f t="shared" si="35"/>
        <v>2.2222222222222241E-23</v>
      </c>
      <c r="L52" s="34"/>
      <c r="M52" s="78" t="s">
        <v>203</v>
      </c>
      <c r="N52" s="40" t="s">
        <v>113</v>
      </c>
      <c r="O52" s="79" t="s">
        <v>201</v>
      </c>
      <c r="P52" s="80">
        <f>'Input Data Sertifikat ESU'!U90</f>
        <v>1.0000000000000001E-5</v>
      </c>
      <c r="Q52" s="80">
        <f>SQRT(3)</f>
        <v>1.7320508075688772</v>
      </c>
      <c r="R52" s="45">
        <v>50</v>
      </c>
      <c r="S52" s="81">
        <f t="shared" si="36"/>
        <v>5.7735026918962587E-6</v>
      </c>
      <c r="T52" s="45">
        <v>1</v>
      </c>
      <c r="U52" s="81">
        <f t="shared" si="37"/>
        <v>5.7735026918962587E-6</v>
      </c>
      <c r="V52" s="82">
        <f t="shared" si="38"/>
        <v>3.3333333333333347E-11</v>
      </c>
      <c r="W52" s="83">
        <f t="shared" si="39"/>
        <v>2.2222222222222241E-23</v>
      </c>
    </row>
    <row r="53" spans="1:23" ht="14">
      <c r="A53" s="8" t="s">
        <v>204</v>
      </c>
      <c r="B53" s="9"/>
      <c r="C53" s="9"/>
      <c r="D53" s="9"/>
      <c r="E53" s="37"/>
      <c r="F53" s="9"/>
      <c r="G53" s="9"/>
      <c r="H53" s="9"/>
      <c r="I53" s="9"/>
      <c r="J53" s="36">
        <f>SUM(J49:J52)</f>
        <v>8.3333333408333363E-2</v>
      </c>
      <c r="K53" s="35">
        <f>SUM(K49:K52)</f>
        <v>1.3888888888888897E-4</v>
      </c>
      <c r="L53" s="34"/>
      <c r="M53" s="8" t="s">
        <v>204</v>
      </c>
      <c r="N53" s="9"/>
      <c r="O53" s="9"/>
      <c r="P53" s="9"/>
      <c r="Q53" s="37"/>
      <c r="R53" s="9"/>
      <c r="S53" s="9"/>
      <c r="T53" s="9"/>
      <c r="U53" s="9"/>
      <c r="V53" s="36">
        <f>SUM(V49:V52)</f>
        <v>8.3333333408333363E-2</v>
      </c>
      <c r="W53" s="35">
        <f>SUM(W49:W52)</f>
        <v>1.3888888888888897E-4</v>
      </c>
    </row>
    <row r="54" spans="1:23" ht="17">
      <c r="A54" s="27" t="s">
        <v>205</v>
      </c>
      <c r="B54" s="24"/>
      <c r="C54" s="24"/>
      <c r="D54" s="24"/>
      <c r="E54" s="26"/>
      <c r="F54" s="24"/>
      <c r="G54" s="33" t="s">
        <v>206</v>
      </c>
      <c r="H54" s="24"/>
      <c r="I54" s="24"/>
      <c r="J54" s="32">
        <f>SQRT(J53)</f>
        <v>0.28867513472471673</v>
      </c>
      <c r="K54" s="22"/>
      <c r="L54" s="21"/>
      <c r="M54" s="27" t="s">
        <v>205</v>
      </c>
      <c r="N54" s="24"/>
      <c r="O54" s="24"/>
      <c r="P54" s="24"/>
      <c r="Q54" s="26"/>
      <c r="R54" s="24"/>
      <c r="S54" s="33" t="s">
        <v>206</v>
      </c>
      <c r="T54" s="24"/>
      <c r="U54" s="24"/>
      <c r="V54" s="32">
        <f>SQRT(V53)</f>
        <v>0.28867513472471673</v>
      </c>
      <c r="W54" s="22"/>
    </row>
    <row r="55" spans="1:23" ht="17.5">
      <c r="A55" s="8" t="s">
        <v>207</v>
      </c>
      <c r="B55" s="14"/>
      <c r="C55" s="14"/>
      <c r="D55" s="14"/>
      <c r="E55" s="31"/>
      <c r="F55" s="14"/>
      <c r="G55" s="30" t="s">
        <v>208</v>
      </c>
      <c r="H55" s="14"/>
      <c r="I55" s="14"/>
      <c r="J55" s="29">
        <f>J54^4/(K53)</f>
        <v>50.000000089999986</v>
      </c>
      <c r="K55" s="28"/>
      <c r="L55" s="21"/>
      <c r="M55" s="8" t="s">
        <v>207</v>
      </c>
      <c r="N55" s="14"/>
      <c r="O55" s="14"/>
      <c r="P55" s="14"/>
      <c r="Q55" s="31"/>
      <c r="R55" s="14"/>
      <c r="S55" s="30" t="s">
        <v>208</v>
      </c>
      <c r="T55" s="14"/>
      <c r="U55" s="14"/>
      <c r="V55" s="29">
        <f>V54^4/(W53)</f>
        <v>50.000000089999986</v>
      </c>
      <c r="W55" s="28"/>
    </row>
    <row r="56" spans="1:23" ht="15.5">
      <c r="A56" s="27" t="s">
        <v>209</v>
      </c>
      <c r="B56" s="24"/>
      <c r="C56" s="24"/>
      <c r="D56" s="24"/>
      <c r="E56" s="26"/>
      <c r="F56" s="24"/>
      <c r="G56" s="25" t="s">
        <v>210</v>
      </c>
      <c r="H56" s="24"/>
      <c r="I56" s="24"/>
      <c r="J56" s="23">
        <f>1.95996+(2.37356/J55)+(2.818745/J55^2)+(2.546662/J55^3)+(1.761829/J55^4)+(0.245458/J55^5)+(1.000764/J55^6)</f>
        <v>2.008579353948535</v>
      </c>
      <c r="K56" s="22"/>
      <c r="L56" s="21"/>
      <c r="M56" s="27" t="s">
        <v>209</v>
      </c>
      <c r="N56" s="24"/>
      <c r="O56" s="24"/>
      <c r="P56" s="24"/>
      <c r="Q56" s="26"/>
      <c r="R56" s="24"/>
      <c r="S56" s="25" t="s">
        <v>210</v>
      </c>
      <c r="T56" s="24"/>
      <c r="U56" s="24"/>
      <c r="V56" s="23">
        <f>1.95996+(2.37356/V55)+(2.818745/V55^2)+(2.546662/V55^3)+(1.761829/V55^4)+(0.245458/V55^5)+(1.000764/V55^6)</f>
        <v>2.008579353948535</v>
      </c>
      <c r="W56" s="22"/>
    </row>
    <row r="57" spans="1:23" ht="14">
      <c r="A57" s="20" t="s">
        <v>211</v>
      </c>
      <c r="B57" s="17"/>
      <c r="C57" s="17"/>
      <c r="D57" s="17"/>
      <c r="E57" s="19"/>
      <c r="F57" s="17"/>
      <c r="G57" s="18" t="s">
        <v>212</v>
      </c>
      <c r="H57" s="17"/>
      <c r="I57" s="17"/>
      <c r="J57" s="16">
        <f>J54*J56</f>
        <v>0.57982691560637789</v>
      </c>
      <c r="K57" s="15" t="s">
        <v>113</v>
      </c>
      <c r="L57" s="13"/>
      <c r="M57" s="20" t="s">
        <v>211</v>
      </c>
      <c r="N57" s="17"/>
      <c r="O57" s="17"/>
      <c r="P57" s="17"/>
      <c r="Q57" s="19"/>
      <c r="R57" s="17"/>
      <c r="S57" s="18" t="s">
        <v>212</v>
      </c>
      <c r="T57" s="17"/>
      <c r="U57" s="17"/>
      <c r="V57" s="16">
        <f>V54*V56</f>
        <v>0.57982691560637789</v>
      </c>
      <c r="W57" s="15" t="s">
        <v>113</v>
      </c>
    </row>
    <row r="58" spans="1:23" ht="14">
      <c r="A58" s="8"/>
      <c r="G58" s="6"/>
      <c r="M58" s="84"/>
      <c r="N58" s="84"/>
      <c r="S58" s="6"/>
      <c r="W58" s="1"/>
    </row>
    <row r="62" spans="1:23" ht="14" hidden="1">
      <c r="A62" s="1068"/>
      <c r="B62" s="1068"/>
      <c r="C62" s="176"/>
      <c r="D62" s="176"/>
      <c r="E62" s="176"/>
      <c r="F62" s="176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U62" s="1067"/>
      <c r="V62" s="1067"/>
    </row>
    <row r="63" spans="1:23" ht="15" hidden="1">
      <c r="A63" s="1069"/>
      <c r="B63" s="1069"/>
      <c r="C63" s="1069"/>
      <c r="D63" s="1069"/>
      <c r="E63" s="1069"/>
      <c r="F63" s="1069"/>
      <c r="G63" s="177"/>
      <c r="H63" s="1063"/>
      <c r="I63" s="1063"/>
      <c r="J63" s="1063"/>
      <c r="K63" s="1063"/>
      <c r="L63" s="177"/>
      <c r="M63" s="177"/>
      <c r="N63" s="177"/>
      <c r="O63" s="177"/>
      <c r="P63" s="177"/>
      <c r="Q63" s="177"/>
    </row>
    <row r="64" spans="1:23" ht="13.5" hidden="1" customHeight="1">
      <c r="A64" s="438"/>
      <c r="B64" s="438"/>
      <c r="C64" s="438"/>
      <c r="D64" s="438"/>
      <c r="E64" s="438"/>
      <c r="F64" s="438"/>
      <c r="G64" s="177"/>
      <c r="H64" s="179"/>
      <c r="I64" s="179"/>
      <c r="J64" s="179"/>
      <c r="K64" s="180"/>
      <c r="L64" s="177"/>
      <c r="M64" s="1068"/>
      <c r="N64" s="1068"/>
      <c r="O64" s="1068"/>
      <c r="P64" s="1069"/>
      <c r="Q64" s="1070"/>
    </row>
    <row r="65" spans="1:25" ht="14" hidden="1">
      <c r="A65" s="439"/>
      <c r="B65" s="439"/>
      <c r="C65" s="439"/>
      <c r="D65" s="439"/>
      <c r="E65" s="439"/>
      <c r="F65" s="439"/>
      <c r="G65" s="177"/>
      <c r="H65" s="180"/>
      <c r="I65" s="179"/>
      <c r="J65" s="180"/>
      <c r="K65" s="180"/>
      <c r="L65" s="177"/>
      <c r="M65" s="440"/>
      <c r="N65" s="1069"/>
      <c r="O65" s="1069"/>
      <c r="P65" s="1069"/>
      <c r="Q65" s="1070"/>
    </row>
    <row r="66" spans="1:25" ht="13.5" hidden="1" customHeight="1">
      <c r="A66" s="439"/>
      <c r="B66" s="439"/>
      <c r="C66" s="439"/>
      <c r="D66" s="439"/>
      <c r="E66" s="439"/>
      <c r="F66" s="439"/>
      <c r="G66" s="177"/>
      <c r="H66" s="179"/>
      <c r="I66" s="179"/>
      <c r="J66" s="179"/>
      <c r="K66" s="180"/>
      <c r="L66" s="177"/>
      <c r="M66" s="441"/>
      <c r="N66" s="441"/>
      <c r="O66" s="441"/>
      <c r="P66" s="1069"/>
      <c r="Q66" s="1070"/>
    </row>
    <row r="67" spans="1:25" ht="14" hidden="1">
      <c r="A67" s="439"/>
      <c r="B67" s="439"/>
      <c r="C67" s="439"/>
      <c r="D67" s="439"/>
      <c r="E67" s="439"/>
      <c r="F67" s="439"/>
      <c r="G67" s="177"/>
      <c r="H67" s="1062"/>
      <c r="I67" s="1062"/>
      <c r="J67" s="1062"/>
      <c r="K67" s="1062"/>
      <c r="L67" s="177"/>
      <c r="M67" s="439"/>
      <c r="N67" s="439"/>
      <c r="O67" s="439"/>
      <c r="P67" s="439"/>
      <c r="Q67" s="439"/>
    </row>
    <row r="68" spans="1:25" ht="13.5" hidden="1" customHeight="1">
      <c r="A68" s="439"/>
      <c r="B68" s="439"/>
      <c r="C68" s="439"/>
      <c r="D68" s="439"/>
      <c r="E68" s="439"/>
      <c r="F68" s="439"/>
      <c r="G68" s="177"/>
      <c r="H68" s="179"/>
      <c r="I68" s="179"/>
      <c r="J68" s="179"/>
      <c r="K68" s="179"/>
      <c r="L68" s="177"/>
      <c r="M68" s="439"/>
      <c r="N68" s="439"/>
      <c r="O68" s="439"/>
      <c r="P68" s="439"/>
      <c r="Q68" s="177"/>
    </row>
    <row r="69" spans="1:25" ht="13.5" hidden="1" customHeight="1">
      <c r="A69" s="439"/>
      <c r="B69" s="439"/>
      <c r="C69" s="439"/>
      <c r="D69" s="439"/>
      <c r="E69" s="439"/>
      <c r="F69" s="439"/>
      <c r="G69" s="177"/>
      <c r="H69" s="180"/>
      <c r="I69" s="179"/>
      <c r="J69" s="180"/>
      <c r="K69" s="180"/>
      <c r="L69" s="177"/>
      <c r="M69" s="439"/>
      <c r="N69" s="439"/>
      <c r="O69" s="439"/>
      <c r="P69" s="439"/>
      <c r="Q69" s="177"/>
    </row>
    <row r="70" spans="1:25" ht="14" hidden="1">
      <c r="A70" s="439"/>
      <c r="B70" s="439"/>
      <c r="C70" s="439"/>
      <c r="D70" s="439"/>
      <c r="E70" s="439"/>
      <c r="F70" s="439"/>
      <c r="G70" s="177"/>
      <c r="H70" s="179"/>
      <c r="I70" s="179"/>
      <c r="J70" s="179"/>
      <c r="K70" s="179"/>
      <c r="L70" s="177"/>
      <c r="M70" s="439"/>
      <c r="N70" s="439"/>
      <c r="O70" s="439"/>
      <c r="P70" s="439"/>
      <c r="Q70" s="177"/>
    </row>
    <row r="71" spans="1:25" ht="14.25" hidden="1" customHeight="1">
      <c r="A71" s="1072"/>
      <c r="B71" s="1072"/>
      <c r="C71" s="177"/>
      <c r="D71" s="177"/>
      <c r="E71" s="177"/>
      <c r="F71" s="177"/>
      <c r="G71" s="177"/>
      <c r="H71" s="1073"/>
      <c r="I71" s="1073"/>
      <c r="J71" s="1073"/>
      <c r="K71" s="1073"/>
      <c r="L71" s="177"/>
      <c r="M71" s="439"/>
      <c r="N71" s="439"/>
      <c r="O71" s="439"/>
      <c r="P71" s="439"/>
      <c r="Q71" s="177"/>
    </row>
    <row r="72" spans="1:25" ht="14" hidden="1">
      <c r="A72" s="438"/>
      <c r="B72" s="438"/>
      <c r="C72" s="177"/>
      <c r="D72" s="177"/>
      <c r="E72" s="177"/>
      <c r="F72" s="177"/>
      <c r="G72" s="177"/>
      <c r="H72" s="179"/>
      <c r="I72" s="179"/>
      <c r="J72" s="179"/>
      <c r="K72" s="179"/>
      <c r="L72" s="177"/>
      <c r="M72" s="439"/>
      <c r="N72" s="439"/>
      <c r="O72" s="439"/>
      <c r="P72" s="439"/>
      <c r="Q72" s="177"/>
    </row>
    <row r="73" spans="1:25" ht="12.75" hidden="1" customHeight="1">
      <c r="A73" s="439"/>
      <c r="B73" s="439"/>
      <c r="C73" s="177"/>
      <c r="D73" s="177"/>
      <c r="E73" s="177"/>
      <c r="F73" s="177"/>
      <c r="G73" s="177"/>
      <c r="H73" s="442"/>
      <c r="I73" s="179"/>
      <c r="J73" s="180"/>
      <c r="K73" s="180"/>
      <c r="L73" s="177"/>
      <c r="M73" s="439"/>
      <c r="N73" s="439"/>
      <c r="O73" s="439"/>
      <c r="P73" s="439"/>
      <c r="Q73" s="177"/>
    </row>
    <row r="74" spans="1:25" ht="13.5" hidden="1" customHeight="1">
      <c r="A74" s="439"/>
      <c r="B74" s="439"/>
      <c r="C74" s="177"/>
      <c r="D74" s="177"/>
      <c r="E74" s="177"/>
      <c r="F74" s="177"/>
      <c r="G74" s="177"/>
      <c r="H74" s="179"/>
      <c r="I74" s="179"/>
      <c r="J74" s="179"/>
      <c r="K74" s="179"/>
      <c r="L74" s="177"/>
      <c r="M74" s="1074"/>
      <c r="N74" s="1074"/>
      <c r="O74" s="1074"/>
      <c r="P74" s="1075"/>
      <c r="Q74" s="1070"/>
    </row>
    <row r="75" spans="1:25" ht="12.75" hidden="1" customHeight="1">
      <c r="A75" s="439"/>
      <c r="B75" s="439"/>
      <c r="C75" s="177"/>
      <c r="D75" s="177"/>
      <c r="E75" s="177"/>
      <c r="F75" s="177"/>
      <c r="G75" s="177"/>
      <c r="H75" s="1073"/>
      <c r="I75" s="1073"/>
      <c r="J75" s="1073"/>
      <c r="K75" s="1073"/>
      <c r="L75" s="177"/>
      <c r="M75" s="441"/>
      <c r="N75" s="1074"/>
      <c r="O75" s="1074"/>
      <c r="P75" s="1075"/>
      <c r="Q75" s="1070"/>
    </row>
    <row r="76" spans="1:25" ht="13.5" hidden="1" customHeight="1">
      <c r="A76" s="439"/>
      <c r="B76" s="439"/>
      <c r="C76" s="177"/>
      <c r="D76" s="177"/>
      <c r="E76" s="177"/>
      <c r="F76" s="177"/>
      <c r="G76" s="177"/>
      <c r="H76" s="179"/>
      <c r="I76" s="179"/>
      <c r="J76" s="179"/>
      <c r="K76" s="179"/>
      <c r="L76" s="177"/>
      <c r="M76" s="441"/>
      <c r="N76" s="441"/>
      <c r="O76" s="441"/>
      <c r="P76" s="1075"/>
      <c r="Q76" s="1070"/>
    </row>
    <row r="77" spans="1:25" ht="15" hidden="1">
      <c r="A77" s="439"/>
      <c r="B77" s="439"/>
      <c r="C77" s="177"/>
      <c r="D77" s="177"/>
      <c r="E77" s="177"/>
      <c r="F77" s="177"/>
      <c r="G77" s="177"/>
      <c r="H77" s="443"/>
      <c r="I77" s="179"/>
      <c r="J77" s="180"/>
      <c r="K77" s="180"/>
      <c r="L77" s="177"/>
      <c r="M77" s="439"/>
      <c r="N77" s="439"/>
      <c r="O77" s="439"/>
      <c r="P77" s="439"/>
      <c r="Q77" s="439"/>
      <c r="V77" s="1071"/>
      <c r="W77" s="1071"/>
      <c r="X77" s="1071"/>
      <c r="Y77" s="1071"/>
    </row>
    <row r="78" spans="1:25" ht="13.5" hidden="1" customHeight="1">
      <c r="A78" s="439"/>
      <c r="B78" s="439"/>
      <c r="C78" s="177"/>
      <c r="D78" s="177"/>
      <c r="E78" s="177"/>
      <c r="F78" s="177"/>
      <c r="G78" s="177"/>
      <c r="H78" s="179"/>
      <c r="I78" s="179"/>
      <c r="J78" s="179"/>
      <c r="K78" s="179"/>
      <c r="L78" s="177"/>
      <c r="M78" s="439"/>
      <c r="N78" s="439"/>
      <c r="O78" s="439"/>
      <c r="P78" s="439"/>
      <c r="Q78" s="177"/>
      <c r="V78" s="67"/>
      <c r="W78" s="67"/>
      <c r="X78" s="67"/>
      <c r="Y78" s="67"/>
    </row>
    <row r="79" spans="1:25" ht="14" hidden="1">
      <c r="A79" s="439"/>
      <c r="B79" s="439"/>
      <c r="C79" s="177"/>
      <c r="D79" s="177"/>
      <c r="E79" s="177"/>
      <c r="F79" s="177"/>
      <c r="G79" s="178"/>
      <c r="H79" s="1073"/>
      <c r="I79" s="1073"/>
      <c r="J79" s="1073"/>
      <c r="K79" s="1073"/>
      <c r="L79" s="177"/>
      <c r="M79" s="439"/>
      <c r="N79" s="439"/>
      <c r="O79" s="439"/>
      <c r="P79" s="439"/>
      <c r="Q79" s="177"/>
      <c r="V79" s="68"/>
      <c r="W79" s="67"/>
      <c r="X79" s="68"/>
      <c r="Y79" s="68"/>
    </row>
    <row r="80" spans="1:25" ht="14" hidden="1">
      <c r="A80" s="1070"/>
      <c r="B80" s="1070"/>
      <c r="C80" s="177"/>
      <c r="D80" s="177"/>
      <c r="E80" s="177"/>
      <c r="F80" s="177"/>
      <c r="G80" s="179"/>
      <c r="H80" s="179"/>
      <c r="I80" s="179"/>
      <c r="J80" s="179"/>
      <c r="K80" s="179"/>
      <c r="L80" s="177"/>
      <c r="M80" s="439"/>
      <c r="N80" s="439"/>
      <c r="O80" s="439"/>
      <c r="P80" s="439"/>
      <c r="Q80" s="177"/>
      <c r="V80" s="67"/>
      <c r="W80" s="67"/>
      <c r="X80" s="67"/>
      <c r="Y80" s="67"/>
    </row>
    <row r="81" spans="1:25" ht="15" hidden="1">
      <c r="A81" s="438"/>
      <c r="B81" s="438"/>
      <c r="C81" s="177"/>
      <c r="D81" s="177"/>
      <c r="E81" s="177"/>
      <c r="F81" s="177"/>
      <c r="G81" s="180"/>
      <c r="H81" s="180"/>
      <c r="I81" s="179"/>
      <c r="J81" s="180"/>
      <c r="K81" s="180"/>
      <c r="L81" s="177"/>
      <c r="M81" s="439"/>
      <c r="N81" s="439"/>
      <c r="O81" s="439"/>
      <c r="P81" s="439"/>
      <c r="Q81" s="177"/>
      <c r="V81" s="1071"/>
      <c r="W81" s="1071"/>
      <c r="X81" s="1071"/>
      <c r="Y81" s="1071"/>
    </row>
    <row r="82" spans="1:25" ht="14" hidden="1">
      <c r="A82" s="439"/>
      <c r="B82" s="439"/>
      <c r="C82" s="177"/>
      <c r="D82" s="177"/>
      <c r="E82" s="177"/>
      <c r="F82" s="177"/>
      <c r="G82" s="179"/>
      <c r="H82" s="179"/>
      <c r="I82" s="179"/>
      <c r="J82" s="179"/>
      <c r="K82" s="179"/>
      <c r="L82" s="177"/>
      <c r="M82" s="439"/>
      <c r="N82" s="439"/>
      <c r="O82" s="439"/>
      <c r="P82" s="439"/>
      <c r="Q82" s="177"/>
      <c r="V82" s="67"/>
      <c r="W82" s="67"/>
      <c r="X82" s="67"/>
      <c r="Y82" s="67"/>
    </row>
    <row r="83" spans="1:25" ht="14" hidden="1">
      <c r="A83" s="439"/>
      <c r="B83" s="439"/>
      <c r="C83" s="177"/>
      <c r="D83" s="177"/>
      <c r="E83" s="177"/>
      <c r="F83" s="177"/>
      <c r="G83" s="178"/>
      <c r="H83" s="1073"/>
      <c r="I83" s="1073"/>
      <c r="J83" s="1073"/>
      <c r="K83" s="1073"/>
      <c r="L83" s="177"/>
      <c r="M83" s="439"/>
      <c r="N83" s="439"/>
      <c r="O83" s="439"/>
      <c r="P83" s="439"/>
      <c r="Q83" s="177"/>
      <c r="V83" s="68"/>
      <c r="W83" s="67"/>
      <c r="X83" s="68"/>
      <c r="Y83" s="68"/>
    </row>
    <row r="84" spans="1:25" ht="14" hidden="1">
      <c r="A84" s="439"/>
      <c r="B84" s="439"/>
      <c r="C84" s="177"/>
      <c r="D84" s="177"/>
      <c r="E84" s="177"/>
      <c r="F84" s="177"/>
      <c r="G84" s="179"/>
      <c r="H84" s="179"/>
      <c r="I84" s="179"/>
      <c r="J84" s="179"/>
      <c r="K84" s="179"/>
      <c r="L84" s="177"/>
      <c r="M84" s="177"/>
      <c r="N84" s="177"/>
      <c r="O84" s="177"/>
      <c r="P84" s="177"/>
      <c r="Q84" s="177"/>
      <c r="V84" s="67"/>
      <c r="W84" s="67"/>
      <c r="X84" s="67"/>
      <c r="Y84" s="67"/>
    </row>
    <row r="85" spans="1:25" ht="14" hidden="1">
      <c r="A85" s="439"/>
      <c r="B85" s="439"/>
      <c r="C85" s="177"/>
      <c r="D85" s="177"/>
      <c r="E85" s="177"/>
      <c r="F85" s="177"/>
      <c r="G85" s="180"/>
      <c r="H85" s="180"/>
      <c r="I85" s="179"/>
      <c r="J85" s="180"/>
      <c r="K85" s="180"/>
      <c r="L85" s="177"/>
      <c r="M85" s="177"/>
      <c r="N85" s="177"/>
      <c r="O85" s="177"/>
      <c r="P85" s="177"/>
      <c r="Q85" s="177"/>
    </row>
    <row r="86" spans="1:25" ht="15.5" hidden="1">
      <c r="A86" s="439"/>
      <c r="B86" s="439"/>
      <c r="C86" s="177"/>
      <c r="D86" s="177"/>
      <c r="E86" s="177"/>
      <c r="F86" s="177"/>
      <c r="G86" s="179"/>
      <c r="H86" s="179"/>
      <c r="I86" s="179"/>
      <c r="J86" s="179"/>
      <c r="K86" s="179"/>
      <c r="L86" s="177"/>
      <c r="M86" s="177"/>
      <c r="N86" s="177"/>
      <c r="O86" s="177"/>
      <c r="P86" s="177"/>
      <c r="Q86" s="177"/>
      <c r="V86" s="105"/>
      <c r="W86" s="105"/>
      <c r="X86" s="105"/>
      <c r="Y86" s="105"/>
    </row>
    <row r="87" spans="1:25" ht="14" hidden="1">
      <c r="A87" s="439"/>
      <c r="B87" s="439"/>
      <c r="C87" s="177"/>
      <c r="D87" s="177"/>
      <c r="E87" s="177"/>
      <c r="F87" s="177"/>
      <c r="G87" s="178"/>
      <c r="H87" s="178"/>
      <c r="I87" s="178"/>
      <c r="J87" s="178"/>
      <c r="K87" s="178"/>
      <c r="L87" s="177"/>
      <c r="M87" s="177"/>
      <c r="N87" s="177"/>
      <c r="O87" s="177"/>
      <c r="P87" s="177"/>
      <c r="Q87" s="177"/>
      <c r="V87" s="106"/>
      <c r="W87" s="106"/>
      <c r="X87" s="106"/>
      <c r="Y87" s="106"/>
    </row>
    <row r="88" spans="1:25" ht="14" hidden="1">
      <c r="A88" s="439"/>
      <c r="B88" s="439"/>
      <c r="C88" s="177"/>
      <c r="D88" s="177"/>
      <c r="E88" s="177"/>
      <c r="F88" s="177"/>
      <c r="G88" s="179"/>
      <c r="H88" s="179"/>
      <c r="I88" s="179"/>
      <c r="J88" s="179"/>
      <c r="K88" s="179"/>
      <c r="L88" s="177"/>
      <c r="M88" s="177"/>
      <c r="N88" s="177"/>
      <c r="O88" s="177"/>
      <c r="P88" s="177"/>
      <c r="Q88" s="177"/>
      <c r="V88" s="107"/>
      <c r="W88" s="106"/>
      <c r="X88" s="107"/>
      <c r="Y88" s="107"/>
    </row>
    <row r="89" spans="1:25" ht="14" hidden="1">
      <c r="A89" s="1072"/>
      <c r="B89" s="1072"/>
      <c r="C89" s="177"/>
      <c r="D89" s="177"/>
      <c r="E89" s="177"/>
      <c r="F89" s="177"/>
      <c r="G89" s="180"/>
      <c r="H89" s="180"/>
      <c r="I89" s="179"/>
      <c r="J89" s="180"/>
      <c r="K89" s="180"/>
      <c r="L89" s="177"/>
      <c r="M89" s="177"/>
      <c r="N89" s="177"/>
      <c r="O89" s="177"/>
      <c r="P89" s="177"/>
      <c r="Q89" s="177"/>
      <c r="V89" s="106"/>
      <c r="W89" s="106"/>
      <c r="X89" s="106"/>
      <c r="Y89" s="106"/>
    </row>
    <row r="90" spans="1:25" ht="15.5" hidden="1">
      <c r="A90" s="438"/>
      <c r="B90" s="438"/>
      <c r="C90" s="177"/>
      <c r="D90" s="177"/>
      <c r="E90" s="177"/>
      <c r="F90" s="177"/>
      <c r="G90" s="179"/>
      <c r="H90" s="179"/>
      <c r="I90" s="179"/>
      <c r="J90" s="179"/>
      <c r="K90" s="179"/>
      <c r="L90" s="177"/>
      <c r="M90" s="177"/>
      <c r="N90" s="177"/>
      <c r="O90" s="177"/>
      <c r="P90" s="177"/>
      <c r="Q90" s="177"/>
      <c r="V90" s="105"/>
      <c r="W90" s="105"/>
      <c r="X90" s="105"/>
      <c r="Y90" s="105"/>
    </row>
    <row r="91" spans="1:25" ht="14" hidden="1">
      <c r="A91" s="439"/>
      <c r="B91" s="439"/>
      <c r="C91" s="177"/>
      <c r="D91" s="177"/>
      <c r="E91" s="177"/>
      <c r="F91" s="177"/>
      <c r="G91" s="178"/>
      <c r="H91" s="178"/>
      <c r="I91" s="178"/>
      <c r="J91" s="178"/>
      <c r="K91" s="178"/>
      <c r="L91" s="177"/>
      <c r="M91" s="177"/>
      <c r="N91" s="177"/>
      <c r="O91" s="177"/>
      <c r="P91" s="177"/>
      <c r="Q91" s="181"/>
      <c r="R91" s="106"/>
      <c r="S91" s="106"/>
      <c r="T91" s="106"/>
    </row>
    <row r="92" spans="1:25" ht="14">
      <c r="A92" s="439"/>
      <c r="B92" s="439"/>
      <c r="C92" s="177"/>
      <c r="D92" s="177"/>
      <c r="E92" s="177"/>
      <c r="F92" s="177"/>
      <c r="G92" s="179"/>
      <c r="H92" s="179"/>
      <c r="I92" s="179"/>
      <c r="J92" s="179"/>
      <c r="K92" s="179"/>
      <c r="L92" s="177"/>
      <c r="M92" s="177"/>
      <c r="N92" s="177"/>
      <c r="O92" s="177"/>
      <c r="P92" s="177"/>
      <c r="Q92" s="182"/>
      <c r="R92" s="106"/>
      <c r="S92" s="107"/>
      <c r="T92" s="107"/>
    </row>
    <row r="93" spans="1:25" ht="14">
      <c r="A93" s="439"/>
      <c r="B93" s="439"/>
      <c r="C93" s="177"/>
      <c r="D93" s="177"/>
      <c r="E93" s="177"/>
      <c r="F93" s="177"/>
      <c r="G93" s="180"/>
      <c r="H93" s="180"/>
      <c r="I93" s="179"/>
      <c r="J93" s="180"/>
      <c r="K93" s="180"/>
      <c r="L93" s="177"/>
      <c r="M93" s="177"/>
      <c r="N93" s="177"/>
      <c r="O93" s="177"/>
      <c r="P93" s="177"/>
      <c r="Q93" s="181"/>
      <c r="R93" s="106"/>
      <c r="S93" s="106"/>
      <c r="T93" s="106"/>
    </row>
    <row r="94" spans="1:25" ht="15.5">
      <c r="A94" s="439"/>
      <c r="B94" s="439"/>
      <c r="C94" s="177"/>
      <c r="D94" s="177"/>
      <c r="E94" s="177"/>
      <c r="F94" s="177"/>
      <c r="G94" s="179"/>
      <c r="H94" s="179"/>
      <c r="I94" s="179"/>
      <c r="J94" s="179"/>
      <c r="K94" s="179"/>
      <c r="L94" s="177"/>
      <c r="M94" s="177"/>
      <c r="N94" s="177"/>
      <c r="O94" s="177"/>
      <c r="P94" s="177"/>
      <c r="Q94" s="183"/>
      <c r="R94" s="105"/>
      <c r="S94" s="105"/>
      <c r="T94" s="105"/>
    </row>
    <row r="95" spans="1:25">
      <c r="A95" s="4"/>
      <c r="P95" s="77"/>
      <c r="Q95" s="106"/>
      <c r="R95" s="106"/>
      <c r="S95" s="106"/>
      <c r="T95" s="106"/>
    </row>
    <row r="96" spans="1:25">
      <c r="V96" s="107"/>
      <c r="W96" s="106"/>
      <c r="X96" s="107"/>
      <c r="Y96" s="107"/>
    </row>
    <row r="97" spans="25:25">
      <c r="Y97" s="108"/>
    </row>
  </sheetData>
  <mergeCells count="25">
    <mergeCell ref="V77:Y77"/>
    <mergeCell ref="V81:Y81"/>
    <mergeCell ref="A89:B89"/>
    <mergeCell ref="A71:B71"/>
    <mergeCell ref="H83:K83"/>
    <mergeCell ref="H79:K79"/>
    <mergeCell ref="H75:K75"/>
    <mergeCell ref="H71:K71"/>
    <mergeCell ref="A80:B80"/>
    <mergeCell ref="M74:O74"/>
    <mergeCell ref="N75:O75"/>
    <mergeCell ref="Q74:Q76"/>
    <mergeCell ref="P74:P76"/>
    <mergeCell ref="H67:K67"/>
    <mergeCell ref="H63:K63"/>
    <mergeCell ref="A2:W2"/>
    <mergeCell ref="U62:V62"/>
    <mergeCell ref="A62:B62"/>
    <mergeCell ref="A63:B63"/>
    <mergeCell ref="C63:D63"/>
    <mergeCell ref="E63:F63"/>
    <mergeCell ref="N65:O65"/>
    <mergeCell ref="Q64:Q66"/>
    <mergeCell ref="M64:O64"/>
    <mergeCell ref="P64:P66"/>
  </mergeCells>
  <pageMargins left="0.71" right="1.3" top="0.28000000000000003" bottom="0.39" header="0.22" footer="0.3"/>
  <pageSetup paperSize="9" scale="46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AF125"/>
  <sheetViews>
    <sheetView tabSelected="1" view="pageBreakPreview" topLeftCell="A27" zoomScale="85" zoomScaleNormal="115" zoomScaleSheetLayoutView="85" workbookViewId="0">
      <selection activeCell="E39" sqref="E39"/>
    </sheetView>
  </sheetViews>
  <sheetFormatPr defaultRowHeight="13"/>
  <cols>
    <col min="1" max="1" width="4.1796875" customWidth="1"/>
    <col min="2" max="2" width="5.54296875" customWidth="1"/>
    <col min="3" max="3" width="18" customWidth="1"/>
    <col min="4" max="4" width="10.54296875" customWidth="1"/>
    <col min="5" max="5" width="13" customWidth="1"/>
    <col min="6" max="6" width="9.7265625" customWidth="1"/>
    <col min="7" max="7" width="12.54296875" customWidth="1"/>
    <col min="8" max="8" width="8.453125" customWidth="1"/>
    <col min="9" max="9" width="9" customWidth="1"/>
    <col min="10" max="10" width="8.7265625" customWidth="1"/>
    <col min="11" max="11" width="8.26953125" customWidth="1"/>
    <col min="12" max="12" width="7.7265625" customWidth="1"/>
    <col min="13" max="13" width="13.1796875" style="85" customWidth="1"/>
    <col min="14" max="14" width="5.7265625" style="85" customWidth="1"/>
    <col min="15" max="15" width="6.453125" style="85" customWidth="1"/>
    <col min="16" max="16" width="12.7265625" style="85" customWidth="1"/>
    <col min="17" max="20" width="12.7265625" customWidth="1"/>
    <col min="21" max="22" width="4.26953125" customWidth="1"/>
    <col min="25" max="25" width="20.81640625" customWidth="1"/>
  </cols>
  <sheetData>
    <row r="1" spans="1:18" ht="18.5">
      <c r="A1" s="1084" t="s">
        <v>213</v>
      </c>
      <c r="B1" s="1084"/>
      <c r="C1" s="1084"/>
      <c r="D1" s="1084"/>
      <c r="E1" s="1084"/>
      <c r="F1" s="1084"/>
      <c r="G1" s="1084"/>
      <c r="H1" s="1084"/>
      <c r="I1" s="1084"/>
      <c r="J1" s="1084"/>
      <c r="K1" s="1084"/>
      <c r="L1" s="1084"/>
      <c r="M1" s="102"/>
      <c r="N1" s="102"/>
      <c r="O1" s="102"/>
      <c r="P1" s="102"/>
    </row>
    <row r="2" spans="1:18" ht="17">
      <c r="A2" s="1085" t="str">
        <f>ID!H2&amp;ID!I2</f>
        <v>Nomor Sertifikat : 22 / 2 / I - 22 / E - 002.3 DL</v>
      </c>
      <c r="B2" s="1085"/>
      <c r="C2" s="1085"/>
      <c r="D2" s="1085"/>
      <c r="E2" s="1085"/>
      <c r="F2" s="1085"/>
      <c r="G2" s="1085"/>
      <c r="H2" s="1085"/>
      <c r="I2" s="1085"/>
      <c r="J2" s="1085"/>
      <c r="K2" s="1085"/>
      <c r="L2" s="1085"/>
      <c r="M2" s="103"/>
      <c r="N2" s="103"/>
      <c r="O2" s="103"/>
      <c r="P2" s="103"/>
    </row>
    <row r="3" spans="1:18" ht="14.5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88"/>
      <c r="N3" s="88"/>
      <c r="O3" s="88"/>
      <c r="P3" s="88"/>
    </row>
    <row r="4" spans="1:18" ht="14.5">
      <c r="A4" s="115" t="str">
        <f>ID!A4</f>
        <v>Merek</v>
      </c>
      <c r="B4" s="115"/>
      <c r="D4" s="116" t="str">
        <f>$N$19&amp;$Q$4&amp;ID!F4</f>
        <v>:   ZERONE</v>
      </c>
      <c r="F4" s="116"/>
      <c r="G4" s="116"/>
      <c r="H4" s="116"/>
      <c r="I4" s="117"/>
      <c r="J4" s="117"/>
      <c r="K4" s="115"/>
      <c r="L4" s="115"/>
      <c r="M4" s="88"/>
      <c r="N4" s="88"/>
      <c r="O4" s="88"/>
      <c r="P4" s="88"/>
      <c r="Q4" s="99" t="s">
        <v>214</v>
      </c>
    </row>
    <row r="5" spans="1:18" ht="14.5">
      <c r="A5" s="115" t="str">
        <f>ID!A5</f>
        <v>Model/Type</v>
      </c>
      <c r="B5" s="115"/>
      <c r="D5" s="116" t="str">
        <f>$N$19&amp;$Q$4&amp;ID!F5</f>
        <v>:   DOCTANZ 400</v>
      </c>
      <c r="F5" s="116"/>
      <c r="G5" s="116"/>
      <c r="H5" s="116"/>
      <c r="I5" s="117"/>
      <c r="J5" s="117"/>
      <c r="K5" s="115"/>
      <c r="L5" s="115"/>
      <c r="M5" s="88"/>
      <c r="N5" s="88"/>
      <c r="O5" s="88"/>
      <c r="P5" s="88"/>
      <c r="Q5" s="100"/>
    </row>
    <row r="6" spans="1:18" ht="14.5">
      <c r="A6" s="115" t="str">
        <f>ID!A6</f>
        <v>No. Seri</v>
      </c>
      <c r="B6" s="115"/>
      <c r="D6" s="116" t="str">
        <f>$N$19&amp;$Q$4&amp;ID!F6</f>
        <v>:   ZA0A13O3010</v>
      </c>
      <c r="F6" s="116"/>
      <c r="G6" s="116"/>
      <c r="H6" s="116"/>
      <c r="I6" s="117"/>
      <c r="J6" s="117"/>
      <c r="K6" s="115"/>
      <c r="L6" s="115"/>
      <c r="M6" s="88"/>
      <c r="N6" s="88"/>
      <c r="O6" s="88"/>
      <c r="P6" s="88"/>
      <c r="Q6" s="101"/>
    </row>
    <row r="7" spans="1:18" ht="14.5" hidden="1">
      <c r="A7" s="115" t="str">
        <f>ID!A7</f>
        <v>Resolusi</v>
      </c>
      <c r="B7" s="115"/>
      <c r="D7" s="116" t="str">
        <f>$N$19&amp;$Q$4&amp;ID!F7&amp;Q4&amp;"W"</f>
        <v>:   1  W</v>
      </c>
      <c r="F7" s="116"/>
      <c r="G7" s="116"/>
      <c r="H7" s="116"/>
      <c r="I7" s="117"/>
      <c r="J7" s="117"/>
      <c r="K7" s="115"/>
      <c r="L7" s="115"/>
      <c r="M7" s="88"/>
      <c r="N7" s="88"/>
      <c r="O7" s="88"/>
      <c r="P7" s="88"/>
      <c r="Q7" s="101"/>
    </row>
    <row r="8" spans="1:18" ht="14.5">
      <c r="A8" s="115" t="str">
        <f>ID!A8</f>
        <v>Tanggal Penerimaan Alat</v>
      </c>
      <c r="B8" s="115"/>
      <c r="D8" s="116" t="str">
        <f>$N$19&amp;$Q$4&amp;ID!F8</f>
        <v>:   12 Januari 2022</v>
      </c>
      <c r="F8" s="116"/>
      <c r="G8" s="116"/>
      <c r="H8" s="116"/>
      <c r="I8" s="117"/>
      <c r="J8" s="117"/>
      <c r="K8" s="115"/>
      <c r="L8" s="115"/>
      <c r="M8" s="88"/>
      <c r="N8" s="88"/>
      <c r="O8" s="88"/>
      <c r="P8" s="88"/>
      <c r="Q8" s="101"/>
    </row>
    <row r="9" spans="1:18" ht="14.5">
      <c r="A9" s="116" t="str">
        <f>ID!A9</f>
        <v>Tanggal Kalibrasi</v>
      </c>
      <c r="B9" s="115"/>
      <c r="D9" s="116" t="str">
        <f>$N$19&amp;$Q$4&amp;ID!F9</f>
        <v>:   12 Januari 2022</v>
      </c>
      <c r="F9" s="116"/>
      <c r="G9" s="116"/>
      <c r="H9" s="116"/>
      <c r="I9" s="117"/>
      <c r="J9" s="117"/>
      <c r="K9" s="115"/>
      <c r="L9" s="115"/>
      <c r="M9" s="88"/>
      <c r="N9" s="88"/>
      <c r="O9" s="88"/>
      <c r="P9" s="88"/>
      <c r="Q9" s="101"/>
    </row>
    <row r="10" spans="1:18" ht="14.5">
      <c r="A10" s="116" t="str">
        <f>ID!A10</f>
        <v>Tempat Kalibrasi</v>
      </c>
      <c r="B10" s="115"/>
      <c r="D10" s="116" t="str">
        <f>$N$19&amp;$Q$4&amp;ID!F10</f>
        <v>:   OK 2</v>
      </c>
      <c r="F10" s="116"/>
      <c r="G10" s="116"/>
      <c r="H10" s="116"/>
      <c r="I10" s="117"/>
      <c r="J10" s="117"/>
      <c r="K10" s="115"/>
      <c r="L10" s="115"/>
      <c r="M10" s="88"/>
      <c r="N10" s="88"/>
      <c r="O10" s="88"/>
      <c r="P10" s="88"/>
      <c r="Q10" s="101"/>
    </row>
    <row r="11" spans="1:18" ht="14.5">
      <c r="A11" s="116" t="s">
        <v>27</v>
      </c>
      <c r="B11" s="115"/>
      <c r="D11" s="116" t="str">
        <f>$N$19&amp;$Q$4&amp;ID!F11</f>
        <v>:   OK 2</v>
      </c>
      <c r="F11" s="116"/>
      <c r="G11" s="116"/>
      <c r="H11" s="116"/>
      <c r="I11" s="117"/>
      <c r="J11" s="117"/>
      <c r="K11" s="115"/>
      <c r="L11" s="115"/>
      <c r="M11" s="88"/>
      <c r="N11" s="88"/>
      <c r="O11" s="88"/>
      <c r="P11" s="88"/>
      <c r="R11" t="s">
        <v>108</v>
      </c>
    </row>
    <row r="12" spans="1:18" ht="14.5">
      <c r="A12" s="115" t="s">
        <v>29</v>
      </c>
      <c r="B12" s="115"/>
      <c r="D12" s="116" t="str">
        <f>$N$19&amp;$Q$4&amp;ID!F12</f>
        <v>:   MK.23-18</v>
      </c>
      <c r="F12" s="116"/>
      <c r="G12" s="116"/>
      <c r="H12" s="116"/>
      <c r="I12" s="115"/>
      <c r="J12" s="115"/>
      <c r="K12" s="115"/>
      <c r="L12" s="115"/>
      <c r="M12" s="88"/>
      <c r="N12" s="88"/>
      <c r="O12" s="88"/>
      <c r="P12" s="88"/>
    </row>
    <row r="13" spans="1:18" ht="14.5">
      <c r="A13" s="115"/>
      <c r="B13" s="115"/>
      <c r="C13" s="115"/>
      <c r="D13" s="115"/>
      <c r="F13" s="115"/>
      <c r="G13" s="115"/>
      <c r="H13" s="115"/>
      <c r="I13" s="115"/>
      <c r="J13" s="115"/>
      <c r="K13" s="115"/>
      <c r="L13" s="115"/>
      <c r="M13" s="88"/>
      <c r="N13" s="88"/>
      <c r="O13" s="88"/>
      <c r="P13" s="88"/>
    </row>
    <row r="14" spans="1:18" ht="14.5">
      <c r="A14" s="118" t="s">
        <v>31</v>
      </c>
      <c r="B14" s="118" t="s">
        <v>32</v>
      </c>
      <c r="C14" s="115"/>
      <c r="D14" s="115"/>
      <c r="F14" s="115"/>
      <c r="G14" s="115"/>
      <c r="H14" s="119"/>
      <c r="I14" s="119"/>
      <c r="J14" s="119"/>
      <c r="K14" s="1107"/>
      <c r="L14" s="1107"/>
      <c r="M14" s="88"/>
      <c r="N14" s="88"/>
      <c r="O14" s="88"/>
      <c r="P14" s="88"/>
    </row>
    <row r="15" spans="1:18" ht="14.5">
      <c r="A15" s="115"/>
      <c r="B15" s="115" t="s">
        <v>35</v>
      </c>
      <c r="D15" s="159" t="str">
        <f>N19&amp;'DB Thermohygro '!L345</f>
        <v>: ( 22.9 ± 0.3 ) °C</v>
      </c>
      <c r="F15" s="116" t="s">
        <v>108</v>
      </c>
      <c r="G15" s="120"/>
      <c r="H15" s="116"/>
      <c r="I15" s="116"/>
      <c r="J15" s="116"/>
      <c r="K15" s="1108"/>
      <c r="L15" s="1108"/>
      <c r="M15" s="88"/>
      <c r="N15" s="88"/>
      <c r="O15" s="88"/>
      <c r="P15" s="88"/>
    </row>
    <row r="16" spans="1:18" ht="14.5">
      <c r="A16" s="115"/>
      <c r="B16" s="115" t="s">
        <v>215</v>
      </c>
      <c r="D16" s="159" t="str">
        <f>N19&amp;'DB Thermohygro '!L346</f>
        <v>: ( 66.4 ± 2.6 ) %RH</v>
      </c>
      <c r="F16" s="116"/>
      <c r="G16" s="120"/>
      <c r="H16" s="116"/>
      <c r="I16" s="116"/>
      <c r="J16" s="116"/>
      <c r="K16" s="1108"/>
      <c r="L16" s="1108"/>
      <c r="M16" s="88"/>
      <c r="N16" s="88"/>
      <c r="O16" s="88"/>
      <c r="P16" s="88"/>
    </row>
    <row r="17" spans="1:32" ht="14.5">
      <c r="A17" s="115"/>
      <c r="B17" s="115" t="s">
        <v>39</v>
      </c>
      <c r="D17" s="379" t="str">
        <f>N19&amp;'DB Kelistrikan '!M144</f>
        <v>: ( 226.1 ± 2.7 ) Volt</v>
      </c>
      <c r="F17" s="115"/>
      <c r="G17" s="115"/>
      <c r="H17" s="115"/>
      <c r="I17" s="115"/>
      <c r="J17" s="115"/>
      <c r="K17" s="115"/>
      <c r="L17" s="115"/>
      <c r="M17" s="88"/>
      <c r="N17" s="88"/>
      <c r="O17" s="88"/>
      <c r="P17" s="88"/>
    </row>
    <row r="18" spans="1:32" ht="15.5">
      <c r="A18" s="115"/>
      <c r="B18" s="115"/>
      <c r="C18" s="115"/>
      <c r="D18" s="115"/>
      <c r="F18" s="115"/>
      <c r="G18" s="115"/>
      <c r="H18" s="121"/>
      <c r="I18" s="121"/>
      <c r="J18" s="122"/>
      <c r="K18" s="122"/>
      <c r="L18" s="122"/>
      <c r="M18" s="88"/>
      <c r="N18" s="88"/>
      <c r="O18" s="88"/>
      <c r="P18" s="112"/>
    </row>
    <row r="19" spans="1:32" ht="14.5">
      <c r="A19" s="118" t="s">
        <v>41</v>
      </c>
      <c r="B19" s="118" t="s">
        <v>120</v>
      </c>
      <c r="C19" s="115"/>
      <c r="D19" s="115"/>
      <c r="F19" s="115"/>
      <c r="G19" s="115"/>
      <c r="H19" s="115"/>
      <c r="I19" s="115"/>
      <c r="J19" s="115"/>
      <c r="K19" s="115"/>
      <c r="L19" s="115"/>
      <c r="M19" s="88"/>
      <c r="N19" s="658" t="s">
        <v>216</v>
      </c>
      <c r="O19" s="88"/>
      <c r="P19" s="101"/>
    </row>
    <row r="20" spans="1:32" ht="14.5">
      <c r="A20" s="115"/>
      <c r="B20" s="115" t="s">
        <v>43</v>
      </c>
      <c r="D20" s="115" t="str">
        <f>$N$19&amp;$Q$4&amp;ID!F20</f>
        <v>:   Baik</v>
      </c>
      <c r="F20" s="116"/>
      <c r="G20" s="116"/>
      <c r="H20" s="116"/>
      <c r="I20" s="115"/>
      <c r="J20" s="115"/>
      <c r="K20" s="115"/>
      <c r="L20" s="115"/>
      <c r="N20" s="658">
        <f>IF(ID!F20="Baik",5,"0")</f>
        <v>5</v>
      </c>
      <c r="O20" s="622"/>
      <c r="P20" s="623" t="s">
        <v>217</v>
      </c>
      <c r="Q20" s="623" t="s">
        <v>75</v>
      </c>
      <c r="R20" s="43"/>
      <c r="S20" s="619" t="s">
        <v>218</v>
      </c>
      <c r="T20" s="104"/>
      <c r="U20" s="104"/>
      <c r="V20" s="148"/>
      <c r="W20" s="1076" t="str">
        <f>IF(OR(H27="-",P26=S22),W21,IF(OR(S27&gt;T27,C27=W29),"",IF(H27&gt;J27,W22,"")))</f>
        <v>Alat tidak boleh digunakan pada instalasi tanpa dilengkapi grounding</v>
      </c>
      <c r="X20" s="1076"/>
      <c r="Y20" s="1076"/>
      <c r="Z20" s="1076"/>
      <c r="AA20" s="1076"/>
      <c r="AB20" s="1076"/>
      <c r="AC20" s="1076"/>
      <c r="AD20" s="1076"/>
      <c r="AE20" s="1076"/>
    </row>
    <row r="21" spans="1:32" ht="14.5">
      <c r="A21" s="115"/>
      <c r="B21" s="115" t="s">
        <v>46</v>
      </c>
      <c r="D21" s="115" t="str">
        <f>$N$19&amp;$Q$4&amp;ID!F21</f>
        <v>:   Baik</v>
      </c>
      <c r="F21" s="116"/>
      <c r="G21" s="116"/>
      <c r="H21" s="116"/>
      <c r="I21" s="115"/>
      <c r="J21" s="115"/>
      <c r="K21" s="115"/>
      <c r="L21" s="115"/>
      <c r="N21" s="658">
        <f>IF(ID!F21="Baik",5,"0")</f>
        <v>5</v>
      </c>
      <c r="O21" s="622"/>
      <c r="P21" s="624"/>
      <c r="Q21" s="624"/>
      <c r="R21" s="43"/>
      <c r="S21" s="619" t="s">
        <v>126</v>
      </c>
      <c r="T21" s="104"/>
      <c r="U21" s="104"/>
      <c r="V21" s="148"/>
      <c r="W21" s="1077" t="s">
        <v>219</v>
      </c>
      <c r="X21" s="1077"/>
      <c r="Y21" s="1077"/>
      <c r="Z21" s="1077"/>
      <c r="AA21" s="1077"/>
      <c r="AB21" s="1077"/>
      <c r="AC21" s="1077"/>
      <c r="AD21" s="1077"/>
      <c r="AE21" s="1077"/>
    </row>
    <row r="22" spans="1:32" ht="14.5">
      <c r="B22" s="118"/>
      <c r="C22" s="118"/>
      <c r="D22" s="115"/>
      <c r="E22" s="115"/>
      <c r="F22" s="115"/>
      <c r="G22" s="115"/>
      <c r="H22" s="115"/>
      <c r="I22" s="115"/>
      <c r="J22" s="115"/>
      <c r="K22" s="115"/>
      <c r="L22" s="115"/>
      <c r="N22" s="216">
        <f>SUM(N20:N21)</f>
        <v>10</v>
      </c>
      <c r="O22" s="622"/>
      <c r="P22" s="625">
        <f>IF(OR(R27="",C27=W29,P26=S22),H27,IF(H27&gt;J27,S27,H27))</f>
        <v>26.431589329814717</v>
      </c>
      <c r="Q22" s="626">
        <f>IF(OR(R27="",C27=W29,P26=S22),J27,IF(H27&gt;J27,T27,J27))</f>
        <v>100</v>
      </c>
      <c r="R22" s="43"/>
      <c r="S22" s="619" t="s">
        <v>220</v>
      </c>
      <c r="T22" s="104"/>
      <c r="U22" s="104"/>
      <c r="V22" s="148"/>
      <c r="W22" s="1077" t="s">
        <v>221</v>
      </c>
      <c r="X22" s="1077"/>
      <c r="Y22" s="1077"/>
      <c r="Z22" s="1077"/>
      <c r="AA22" s="1077"/>
      <c r="AB22" s="1077"/>
      <c r="AC22" s="1077"/>
      <c r="AD22" s="1077"/>
      <c r="AE22" s="1077"/>
    </row>
    <row r="23" spans="1:32" ht="14.5">
      <c r="A23" s="118" t="s">
        <v>47</v>
      </c>
      <c r="B23" s="118" t="s">
        <v>122</v>
      </c>
      <c r="D23" s="115"/>
      <c r="E23" s="115"/>
      <c r="F23" s="115"/>
      <c r="G23" s="115"/>
      <c r="H23" s="115"/>
      <c r="I23" s="115"/>
      <c r="J23" s="115"/>
      <c r="K23" s="123"/>
      <c r="L23" s="123"/>
      <c r="M23" s="89"/>
      <c r="N23" s="627"/>
      <c r="O23" s="628"/>
      <c r="P23" s="629"/>
      <c r="Q23" s="43"/>
      <c r="R23" s="43"/>
      <c r="S23" s="43"/>
      <c r="T23" s="43"/>
      <c r="U23" s="148"/>
      <c r="V23" s="148"/>
      <c r="W23" s="630"/>
      <c r="X23" s="630"/>
      <c r="Y23" s="630"/>
      <c r="Z23" s="630"/>
      <c r="AA23" s="630"/>
      <c r="AB23" s="630"/>
      <c r="AC23" s="630"/>
      <c r="AD23" s="630"/>
      <c r="AE23" s="630"/>
    </row>
    <row r="24" spans="1:32" ht="30" customHeight="1">
      <c r="B24" s="124" t="s">
        <v>49</v>
      </c>
      <c r="C24" s="1109" t="s">
        <v>123</v>
      </c>
      <c r="D24" s="1110"/>
      <c r="E24" s="1110"/>
      <c r="F24" s="1110"/>
      <c r="G24" s="1110"/>
      <c r="H24" s="1109" t="s">
        <v>124</v>
      </c>
      <c r="I24" s="1111"/>
      <c r="J24" s="1109" t="s">
        <v>125</v>
      </c>
      <c r="K24" s="1111"/>
      <c r="M24" s="88"/>
      <c r="N24" s="627"/>
      <c r="O24" s="628"/>
      <c r="P24" s="629"/>
      <c r="Q24" s="43"/>
      <c r="R24" s="43"/>
      <c r="S24" s="43"/>
      <c r="T24" s="43"/>
      <c r="U24" s="148"/>
      <c r="V24" s="148"/>
      <c r="W24" s="630"/>
      <c r="X24" s="630"/>
      <c r="Y24" s="630"/>
      <c r="Z24" s="630"/>
      <c r="AA24" s="630"/>
      <c r="AB24" s="630"/>
      <c r="AC24" s="630"/>
      <c r="AD24" s="630"/>
      <c r="AE24" s="630"/>
    </row>
    <row r="25" spans="1:32" ht="14.25" customHeight="1">
      <c r="B25" s="154">
        <v>1</v>
      </c>
      <c r="C25" s="140" t="s">
        <v>53</v>
      </c>
      <c r="D25" s="126"/>
      <c r="E25" s="126"/>
      <c r="F25" s="126"/>
      <c r="G25" s="126"/>
      <c r="H25" s="127">
        <f>'DB Kelistrikan '!O138</f>
        <v>2.0000005571428572</v>
      </c>
      <c r="I25" s="156" t="str">
        <f>IF(H25="-","",IF(H25="OL","","MΩ"))</f>
        <v>MΩ</v>
      </c>
      <c r="J25" s="664">
        <f>ID!N25</f>
        <v>2</v>
      </c>
      <c r="K25" s="145" t="s">
        <v>222</v>
      </c>
      <c r="L25" s="152"/>
      <c r="M25" s="88"/>
      <c r="N25" s="657">
        <f>IF(OR(H25="-",H25="OL",H25="OR",H25&gt;=J25),10,0)</f>
        <v>10</v>
      </c>
      <c r="O25" s="631"/>
      <c r="P25"/>
      <c r="U25" s="148"/>
      <c r="V25" s="148"/>
      <c r="W25" s="1078" t="s">
        <v>223</v>
      </c>
      <c r="X25" s="1079"/>
      <c r="Y25" s="1079"/>
      <c r="Z25" s="1079"/>
      <c r="AA25" s="1079"/>
      <c r="AB25" s="1079"/>
      <c r="AC25" s="1080"/>
      <c r="AD25" s="630"/>
      <c r="AE25" s="630"/>
    </row>
    <row r="26" spans="1:32" ht="14.25" customHeight="1">
      <c r="B26" s="154">
        <v>2</v>
      </c>
      <c r="C26" s="140" t="str">
        <f>ID!C26</f>
        <v>Resistansi Pembumian Protektif</v>
      </c>
      <c r="D26" s="126"/>
      <c r="E26" s="126"/>
      <c r="F26" s="126"/>
      <c r="G26" s="126"/>
      <c r="H26" s="618">
        <f>'DB Kelistrikan '!O139</f>
        <v>0.22866740670119501</v>
      </c>
      <c r="I26" s="156" t="str">
        <f>IF(H26="-","",IF(H26="OL","","Ω"))</f>
        <v>Ω</v>
      </c>
      <c r="J26" s="662">
        <f>ID!N26</f>
        <v>0.2</v>
      </c>
      <c r="K26" s="145" t="s">
        <v>57</v>
      </c>
      <c r="L26" s="152"/>
      <c r="M26" s="88"/>
      <c r="N26" s="657">
        <f>IF(OR(H26="-",H26="OL",H26&lt;=J26,C27=W29),10,0)</f>
        <v>0</v>
      </c>
      <c r="O26" s="631"/>
      <c r="P26" s="632" t="str">
        <f>IF(H27="-",S22,ID!P25)</f>
        <v>G</v>
      </c>
      <c r="Q26" s="633"/>
      <c r="R26" s="623" t="s">
        <v>62</v>
      </c>
      <c r="S26" s="623" t="s">
        <v>224</v>
      </c>
      <c r="T26" s="623" t="s">
        <v>75</v>
      </c>
      <c r="U26" s="148"/>
      <c r="V26" s="148"/>
      <c r="W26" s="634" t="s">
        <v>225</v>
      </c>
      <c r="X26" s="635"/>
      <c r="Y26" s="635"/>
      <c r="Z26" s="635"/>
      <c r="AA26" s="635"/>
      <c r="AB26" s="636"/>
      <c r="AC26" s="637">
        <v>0.2</v>
      </c>
      <c r="AD26" s="630" t="s">
        <v>226</v>
      </c>
      <c r="AE26" s="638"/>
    </row>
    <row r="27" spans="1:32" ht="14.25" customHeight="1">
      <c r="B27" s="154">
        <v>3</v>
      </c>
      <c r="C27" s="140" t="str">
        <f>ID!C27</f>
        <v>Arus bocor peralatan untuk peralatan elektromedik kelas I</v>
      </c>
      <c r="D27" s="126"/>
      <c r="E27" s="126"/>
      <c r="F27" s="126"/>
      <c r="G27" s="126"/>
      <c r="H27" s="127">
        <f>'DB Kelistrikan '!O140</f>
        <v>567.54076366591801</v>
      </c>
      <c r="I27" s="156" t="str">
        <f>IF(H27="-","",IF(H27="OL","","µA"))</f>
        <v>µA</v>
      </c>
      <c r="J27" s="663">
        <f>ID!N27</f>
        <v>500</v>
      </c>
      <c r="K27" s="145" t="s">
        <v>62</v>
      </c>
      <c r="L27" s="152"/>
      <c r="M27" s="88"/>
      <c r="N27" s="657">
        <f>IF(P22&lt;=Q22,10,0)</f>
        <v>10</v>
      </c>
      <c r="O27" s="104"/>
      <c r="P27" s="619" t="s">
        <v>129</v>
      </c>
      <c r="Q27" s="620" t="s">
        <v>130</v>
      </c>
      <c r="R27" s="639">
        <f>ID!R27</f>
        <v>10</v>
      </c>
      <c r="S27" s="625">
        <f>'DB Kelistrikan '!O142</f>
        <v>26.431589329814717</v>
      </c>
      <c r="T27" s="621">
        <v>100</v>
      </c>
      <c r="U27" s="148"/>
      <c r="V27" s="148"/>
      <c r="W27" s="640" t="s">
        <v>227</v>
      </c>
      <c r="X27" s="641"/>
      <c r="Y27" s="641"/>
      <c r="Z27" s="641"/>
      <c r="AA27" s="641"/>
      <c r="AB27" s="642"/>
      <c r="AC27" s="637">
        <v>0.3</v>
      </c>
      <c r="AD27" s="630" t="s">
        <v>228</v>
      </c>
      <c r="AE27" s="638"/>
    </row>
    <row r="28" spans="1:32" ht="14.25" customHeight="1">
      <c r="B28" s="154">
        <v>4</v>
      </c>
      <c r="C28" s="140" t="s">
        <v>66</v>
      </c>
      <c r="D28" s="126"/>
      <c r="E28" s="126"/>
      <c r="F28" s="126"/>
      <c r="G28" s="126"/>
      <c r="H28" s="127">
        <f>'DB Kelistrikan '!O141</f>
        <v>26.431589329814717</v>
      </c>
      <c r="I28" s="156" t="str">
        <f>IF(H28="-","",IF(H28="OL","","µA"))</f>
        <v>µA</v>
      </c>
      <c r="J28" s="663">
        <f>ID!N28</f>
        <v>50</v>
      </c>
      <c r="K28" s="145" t="s">
        <v>62</v>
      </c>
      <c r="L28" s="152"/>
      <c r="M28" s="88"/>
      <c r="N28" s="657">
        <f>IF(H28&lt;=J28,10,0)</f>
        <v>10</v>
      </c>
      <c r="O28" s="631"/>
      <c r="P28" s="104"/>
      <c r="Q28" s="104"/>
      <c r="R28" s="104"/>
      <c r="S28" s="104"/>
      <c r="T28" s="104"/>
      <c r="U28" s="148"/>
      <c r="V28" s="148"/>
      <c r="W28" s="643" t="s">
        <v>128</v>
      </c>
      <c r="X28" s="644"/>
      <c r="Y28" s="644"/>
      <c r="Z28" s="644"/>
      <c r="AA28" s="644"/>
      <c r="AB28" s="642"/>
      <c r="AC28" s="637">
        <v>500</v>
      </c>
      <c r="AD28" s="638"/>
      <c r="AE28" s="638"/>
    </row>
    <row r="29" spans="1:32" ht="14.5">
      <c r="B29" s="118"/>
      <c r="C29" s="118"/>
      <c r="D29" s="115"/>
      <c r="E29" s="115"/>
      <c r="F29" s="115"/>
      <c r="G29" s="115"/>
      <c r="H29" s="115"/>
      <c r="I29" s="115"/>
      <c r="J29" s="115"/>
      <c r="K29" s="115"/>
      <c r="L29" s="115"/>
      <c r="M29" s="88"/>
      <c r="N29" s="656">
        <f>IF(OR(H27="-",H28="-",N27+N28=20),SUM(N25:N28),0)</f>
        <v>30</v>
      </c>
      <c r="O29" s="622"/>
      <c r="P29" s="104"/>
      <c r="Q29" s="148"/>
      <c r="R29" s="148"/>
      <c r="S29" s="148"/>
      <c r="T29" s="148"/>
      <c r="U29" s="148"/>
      <c r="V29" s="148"/>
      <c r="W29" s="643" t="s">
        <v>229</v>
      </c>
      <c r="X29" s="644"/>
      <c r="Y29" s="644"/>
      <c r="Z29" s="644"/>
      <c r="AA29" s="644"/>
      <c r="AB29" s="642"/>
      <c r="AC29" s="637">
        <v>100</v>
      </c>
      <c r="AD29" s="638"/>
      <c r="AE29" s="638"/>
    </row>
    <row r="30" spans="1:32" ht="14.5">
      <c r="A30" s="118" t="s">
        <v>71</v>
      </c>
      <c r="B30" s="118" t="str">
        <f>ID!B30</f>
        <v xml:space="preserve">Pengujian Kinerja </v>
      </c>
      <c r="D30" s="118"/>
      <c r="E30" s="118"/>
      <c r="F30" s="115"/>
      <c r="G30" s="115"/>
      <c r="H30" s="115"/>
      <c r="I30" s="115"/>
      <c r="J30" s="115"/>
      <c r="K30" s="115"/>
      <c r="L30" s="115"/>
      <c r="M30" s="88"/>
      <c r="N30" s="88"/>
      <c r="O30" s="88"/>
      <c r="P30" s="88"/>
    </row>
    <row r="31" spans="1:32" ht="25.5" customHeight="1">
      <c r="A31" s="95"/>
      <c r="B31" s="118" t="str">
        <f>ID!B41</f>
        <v>a. Kalibrasi Daya Keluaran Cutting</v>
      </c>
      <c r="D31" s="118"/>
      <c r="E31" s="118"/>
      <c r="F31" s="115"/>
      <c r="G31" s="115"/>
      <c r="H31" s="115"/>
      <c r="I31" s="115"/>
      <c r="J31" s="115"/>
      <c r="K31" s="116"/>
      <c r="L31" s="116"/>
      <c r="M31" s="86"/>
      <c r="S31" s="155"/>
      <c r="T31" s="147"/>
      <c r="U31" s="213"/>
      <c r="AB31" s="113"/>
      <c r="AC31" s="114"/>
      <c r="AD31" s="114"/>
      <c r="AE31" s="95"/>
      <c r="AF31" s="95"/>
    </row>
    <row r="32" spans="1:32" s="221" customFormat="1" ht="15" customHeight="1">
      <c r="A32" s="217"/>
      <c r="B32" s="1086" t="s">
        <v>0</v>
      </c>
      <c r="C32" s="1086" t="s">
        <v>50</v>
      </c>
      <c r="D32" s="1088" t="s">
        <v>143</v>
      </c>
      <c r="E32" s="1088" t="s">
        <v>74</v>
      </c>
      <c r="F32" s="1090" t="s">
        <v>230</v>
      </c>
      <c r="G32" s="1104" t="s">
        <v>231</v>
      </c>
      <c r="H32" s="1094" t="s">
        <v>232</v>
      </c>
      <c r="I32" s="1095"/>
      <c r="J32" s="218"/>
      <c r="K32" s="1093" t="s">
        <v>233</v>
      </c>
      <c r="L32" s="1093"/>
      <c r="M32" s="219"/>
      <c r="N32" s="220"/>
      <c r="O32" s="220"/>
      <c r="P32" s="220"/>
      <c r="S32" s="226"/>
      <c r="T32" s="222"/>
      <c r="U32" s="227"/>
      <c r="AB32" s="223"/>
      <c r="AC32" s="224"/>
      <c r="AD32" s="224"/>
      <c r="AE32" s="217"/>
      <c r="AF32" s="217"/>
    </row>
    <row r="33" spans="1:32" s="221" customFormat="1" ht="30.75" customHeight="1">
      <c r="A33" s="217"/>
      <c r="B33" s="1087"/>
      <c r="C33" s="1087"/>
      <c r="D33" s="1089"/>
      <c r="E33" s="1089"/>
      <c r="F33" s="1091"/>
      <c r="G33" s="1105"/>
      <c r="H33" s="1096"/>
      <c r="I33" s="1097"/>
      <c r="J33" s="218"/>
      <c r="K33" s="1093"/>
      <c r="L33" s="1093"/>
      <c r="M33" s="219"/>
      <c r="N33" s="220"/>
      <c r="O33" s="220"/>
      <c r="P33" s="220"/>
      <c r="S33" s="226"/>
      <c r="T33" s="222"/>
      <c r="U33" s="227"/>
      <c r="AB33" s="223"/>
      <c r="AC33" s="224"/>
      <c r="AD33" s="224"/>
      <c r="AE33" s="217"/>
      <c r="AF33" s="217"/>
    </row>
    <row r="34" spans="1:32" ht="15" customHeight="1">
      <c r="A34" s="95"/>
      <c r="B34" s="129">
        <v>1</v>
      </c>
      <c r="C34" s="1098" t="str">
        <f>ID!C44</f>
        <v>Daya Keluaran Cutting 
( W )</v>
      </c>
      <c r="D34" s="129">
        <f>ID!D44</f>
        <v>20</v>
      </c>
      <c r="E34" s="175">
        <f>IFERROR(ID!N44,"-")</f>
        <v>20.00001</v>
      </c>
      <c r="F34" s="215">
        <f>IFERROR((E34-D34)/E34*100,"-")</f>
        <v>4.9999974998119621E-5</v>
      </c>
      <c r="G34" s="1101" t="s">
        <v>234</v>
      </c>
      <c r="H34" s="130" t="str">
        <f t="shared" ref="H34:H38" si="0">IF(I34="-","","±")</f>
        <v>±</v>
      </c>
      <c r="I34" s="184">
        <f>IF(E34="-","-",ABS(BUDGET!$J$13)/D34*100)</f>
        <v>2.8991345780318896</v>
      </c>
      <c r="J34" s="151"/>
      <c r="K34" s="1106">
        <f>IF(E34="-",0,(ABS(F34)+I34))</f>
        <v>2.8991845780068877</v>
      </c>
      <c r="L34" s="1106"/>
      <c r="M34" s="86"/>
      <c r="N34" s="1081">
        <f>(COUNTIF(O34:O38,"YES")/(COUNTA(O34:O38))*100)</f>
        <v>100</v>
      </c>
      <c r="O34" s="85" t="str">
        <f>IF(K34&lt;=20,"YES","NO")</f>
        <v>YES</v>
      </c>
      <c r="S34" s="155"/>
      <c r="T34" s="147"/>
      <c r="U34" s="213"/>
      <c r="AB34" s="113"/>
      <c r="AC34" s="114"/>
      <c r="AD34" s="114"/>
      <c r="AE34" s="95"/>
      <c r="AF34" s="95"/>
    </row>
    <row r="35" spans="1:32" ht="15" customHeight="1">
      <c r="A35" s="95"/>
      <c r="B35" s="129">
        <v>2</v>
      </c>
      <c r="C35" s="1099"/>
      <c r="D35" s="129">
        <f>ID!D45</f>
        <v>50</v>
      </c>
      <c r="E35" s="175">
        <f>IFERROR(ID!N45,"-")</f>
        <v>50.000010000000003</v>
      </c>
      <c r="F35" s="215">
        <f t="shared" ref="F35:F38" si="1">IFERROR((E35-D35)/E35*100,"-")</f>
        <v>1.9999996006349072E-5</v>
      </c>
      <c r="G35" s="1102"/>
      <c r="H35" s="130" t="str">
        <f t="shared" si="0"/>
        <v>±</v>
      </c>
      <c r="I35" s="184">
        <f>IF(E35="-","-",ABS(BUDGET!$J$24)/D35*100)</f>
        <v>1.1596538312127558</v>
      </c>
      <c r="J35" s="151"/>
      <c r="K35" s="1106">
        <f>IF(E35="-",0,(ABS(F35)+I35))</f>
        <v>1.1596738312087622</v>
      </c>
      <c r="L35" s="1106"/>
      <c r="M35" s="86"/>
      <c r="N35" s="1082"/>
      <c r="O35" s="85" t="str">
        <f t="shared" ref="O35:O47" si="2">IF(K35&lt;=20,"YES","NO")</f>
        <v>YES</v>
      </c>
      <c r="S35" s="155"/>
      <c r="T35" s="147"/>
      <c r="U35" s="213"/>
      <c r="AB35" s="113"/>
      <c r="AC35" s="114"/>
      <c r="AD35" s="114"/>
      <c r="AE35" s="95"/>
      <c r="AF35" s="95"/>
    </row>
    <row r="36" spans="1:32" ht="15" customHeight="1">
      <c r="A36" s="95"/>
      <c r="B36" s="129">
        <v>3</v>
      </c>
      <c r="C36" s="1099"/>
      <c r="D36" s="129">
        <f>ID!D46</f>
        <v>80</v>
      </c>
      <c r="E36" s="175">
        <f>IFERROR(ID!N46,"-")</f>
        <v>80.000010000000003</v>
      </c>
      <c r="F36" s="215">
        <f t="shared" si="1"/>
        <v>1.2499998441467865E-5</v>
      </c>
      <c r="G36" s="1102"/>
      <c r="H36" s="130" t="str">
        <f t="shared" si="0"/>
        <v>±</v>
      </c>
      <c r="I36" s="184">
        <f>IF(E36="-","-",ABS(BUDGET!$J$35)/D36*100)</f>
        <v>0.72478364450797239</v>
      </c>
      <c r="J36" s="151"/>
      <c r="K36" s="1106">
        <f>IF(E36="-",0,(ABS(F36)+I36))</f>
        <v>0.72479614450641383</v>
      </c>
      <c r="L36" s="1106"/>
      <c r="M36" s="86"/>
      <c r="N36" s="1082"/>
      <c r="O36" s="85" t="str">
        <f t="shared" si="2"/>
        <v>YES</v>
      </c>
      <c r="S36" s="155"/>
      <c r="T36" s="147"/>
      <c r="U36" s="213"/>
      <c r="AB36" s="113"/>
      <c r="AC36" s="114"/>
      <c r="AD36" s="114"/>
      <c r="AE36" s="95"/>
      <c r="AF36" s="95"/>
    </row>
    <row r="37" spans="1:32" ht="15" customHeight="1">
      <c r="A37" s="95"/>
      <c r="B37" s="129">
        <v>4</v>
      </c>
      <c r="C37" s="1099"/>
      <c r="D37" s="129">
        <f>ID!D47</f>
        <v>100</v>
      </c>
      <c r="E37" s="175">
        <f>IFERROR(ID!N47,"-")</f>
        <v>100.00001</v>
      </c>
      <c r="F37" s="215">
        <f t="shared" si="1"/>
        <v>9.9999990031742354E-6</v>
      </c>
      <c r="G37" s="1102"/>
      <c r="H37" s="130" t="str">
        <f t="shared" si="0"/>
        <v>±</v>
      </c>
      <c r="I37" s="184">
        <f>IF(E37="-","-",ABS(BUDGET!$J$46)/D37*100)</f>
        <v>0.57982691560637789</v>
      </c>
      <c r="J37" s="151"/>
      <c r="K37" s="1106">
        <f>IF(E37="-",0,(ABS(F37)+I37))</f>
        <v>0.57983691560538109</v>
      </c>
      <c r="L37" s="1106"/>
      <c r="M37" s="86"/>
      <c r="N37" s="1082"/>
      <c r="O37" s="85" t="str">
        <f t="shared" si="2"/>
        <v>YES</v>
      </c>
      <c r="S37" s="155"/>
      <c r="T37" s="147"/>
      <c r="U37" s="213"/>
      <c r="AB37" s="113"/>
      <c r="AC37" s="114"/>
      <c r="AD37" s="114"/>
      <c r="AE37" s="95"/>
      <c r="AF37" s="95"/>
    </row>
    <row r="38" spans="1:32" ht="15" customHeight="1">
      <c r="A38" s="95"/>
      <c r="B38" s="129">
        <v>5</v>
      </c>
      <c r="C38" s="1100"/>
      <c r="D38" s="129">
        <f>ID!D48</f>
        <v>150</v>
      </c>
      <c r="E38" s="175">
        <f>IFERROR(ID!N48,"-")</f>
        <v>150.00001</v>
      </c>
      <c r="F38" s="215">
        <f t="shared" si="1"/>
        <v>6.6666662243383434E-6</v>
      </c>
      <c r="G38" s="1103"/>
      <c r="H38" s="130" t="str">
        <f t="shared" si="0"/>
        <v>±</v>
      </c>
      <c r="I38" s="184">
        <f>IF(E38="-","-",ABS(BUDGET!$J$57)/D38*100)</f>
        <v>0.38655127707091858</v>
      </c>
      <c r="J38" s="151"/>
      <c r="K38" s="1106">
        <f>IF(E38="-",0,(ABS(F38)+I38))</f>
        <v>0.38655794373714292</v>
      </c>
      <c r="L38" s="1106"/>
      <c r="M38" s="86"/>
      <c r="N38" s="1083"/>
      <c r="O38" s="85" t="str">
        <f t="shared" si="2"/>
        <v>YES</v>
      </c>
      <c r="S38" s="155"/>
      <c r="T38" s="147"/>
      <c r="U38" s="213"/>
      <c r="AB38" s="113"/>
      <c r="AC38" s="114"/>
      <c r="AD38" s="114"/>
      <c r="AE38" s="95"/>
      <c r="AF38" s="95"/>
    </row>
    <row r="39" spans="1:32" ht="15" customHeight="1">
      <c r="A39" s="95"/>
      <c r="B39" s="131"/>
      <c r="C39" s="135"/>
      <c r="D39" s="131"/>
      <c r="E39" s="153"/>
      <c r="F39" s="142"/>
      <c r="G39" s="146"/>
      <c r="H39" s="136"/>
      <c r="I39" s="476"/>
      <c r="J39" s="134"/>
      <c r="K39" s="1124"/>
      <c r="L39" s="1124"/>
      <c r="M39" s="86"/>
      <c r="N39" s="617">
        <f>IF(N34&gt;=80,1,0)</f>
        <v>1</v>
      </c>
      <c r="S39" s="155"/>
      <c r="T39" s="147"/>
      <c r="U39" s="213"/>
      <c r="AB39" s="113"/>
      <c r="AC39" s="114"/>
      <c r="AD39" s="114"/>
      <c r="AE39" s="95"/>
      <c r="AF39" s="95"/>
    </row>
    <row r="40" spans="1:32" ht="15" customHeight="1">
      <c r="A40" s="95"/>
      <c r="B40" s="128" t="str">
        <f>ID!B52</f>
        <v>b. Kalibrasi Daya Keluaran Coagulating</v>
      </c>
      <c r="D40" s="137"/>
      <c r="E40" s="137"/>
      <c r="F40" s="137"/>
      <c r="G40" s="132"/>
      <c r="H40" s="138"/>
      <c r="I40" s="133"/>
      <c r="J40" s="132"/>
      <c r="K40" s="1124"/>
      <c r="L40" s="1124"/>
      <c r="M40" s="86"/>
      <c r="N40" s="659">
        <f>IF(N43&gt;=80,1,0)</f>
        <v>1</v>
      </c>
      <c r="S40" s="155"/>
      <c r="T40" s="147"/>
      <c r="U40" s="213"/>
      <c r="AB40" s="113"/>
      <c r="AC40" s="114"/>
      <c r="AD40" s="114"/>
      <c r="AE40" s="95"/>
      <c r="AF40" s="95"/>
    </row>
    <row r="41" spans="1:32" s="221" customFormat="1" ht="15" customHeight="1">
      <c r="A41" s="217"/>
      <c r="B41" s="1086" t="s">
        <v>0</v>
      </c>
      <c r="C41" s="1086" t="s">
        <v>50</v>
      </c>
      <c r="D41" s="1088" t="s">
        <v>143</v>
      </c>
      <c r="E41" s="1092" t="s">
        <v>74</v>
      </c>
      <c r="F41" s="1090" t="str">
        <f>F32</f>
        <v>Koreksi Relatif (%)</v>
      </c>
      <c r="G41" s="1104" t="str">
        <f>G32</f>
        <v>Toleransi
(%)</v>
      </c>
      <c r="H41" s="1094" t="s">
        <v>232</v>
      </c>
      <c r="I41" s="1095"/>
      <c r="J41" s="225"/>
      <c r="K41" s="1093" t="s">
        <v>233</v>
      </c>
      <c r="L41" s="1093"/>
      <c r="M41" s="219"/>
      <c r="N41" s="660">
        <f>SUM(N39+N40)</f>
        <v>2</v>
      </c>
      <c r="O41" s="479"/>
      <c r="S41" s="155"/>
      <c r="T41" s="147"/>
      <c r="U41" s="213"/>
      <c r="AB41" s="223"/>
      <c r="AC41" s="224"/>
      <c r="AD41" s="224"/>
      <c r="AE41" s="217"/>
      <c r="AF41" s="217"/>
    </row>
    <row r="42" spans="1:32" s="221" customFormat="1" ht="30" customHeight="1">
      <c r="A42" s="217"/>
      <c r="B42" s="1087"/>
      <c r="C42" s="1087"/>
      <c r="D42" s="1123"/>
      <c r="E42" s="1092"/>
      <c r="F42" s="1091"/>
      <c r="G42" s="1105"/>
      <c r="H42" s="1096"/>
      <c r="I42" s="1097"/>
      <c r="J42" s="225"/>
      <c r="K42" s="1093"/>
      <c r="L42" s="1093"/>
      <c r="M42" s="219"/>
      <c r="N42" s="616">
        <f>IF(N41&gt;=1.5,50,0)</f>
        <v>50</v>
      </c>
      <c r="O42" s="220"/>
      <c r="S42" s="155"/>
      <c r="T42" s="147"/>
      <c r="U42" s="213"/>
      <c r="AB42" s="223"/>
      <c r="AC42" s="224"/>
      <c r="AD42" s="224"/>
      <c r="AE42" s="217"/>
      <c r="AF42" s="217"/>
    </row>
    <row r="43" spans="1:32" ht="15" customHeight="1">
      <c r="A43" s="95"/>
      <c r="B43" s="129">
        <v>1</v>
      </c>
      <c r="C43" s="1098" t="s">
        <v>235</v>
      </c>
      <c r="D43" s="129">
        <f>ID!D55</f>
        <v>20</v>
      </c>
      <c r="E43" s="175">
        <f>IFERROR(ID!N55,"-")</f>
        <v>20.00001</v>
      </c>
      <c r="F43" s="215">
        <f>IFERROR((E43-D43)/E43*100,"-")</f>
        <v>4.9999974998119621E-5</v>
      </c>
      <c r="G43" s="1101" t="s">
        <v>234</v>
      </c>
      <c r="H43" s="130" t="str">
        <f>IF(I43="-","","±")</f>
        <v>±</v>
      </c>
      <c r="I43" s="184">
        <f>IF(E43="-","-",ABS(BUDGET!$V$13)/D43*100)</f>
        <v>2.8991345780318896</v>
      </c>
      <c r="J43" s="151"/>
      <c r="K43" s="1121">
        <f>IF(E43="-",0,(ABS(F43)+I43))</f>
        <v>2.8991845780068877</v>
      </c>
      <c r="L43" s="1121"/>
      <c r="M43" s="86"/>
      <c r="N43" s="1081">
        <f>(COUNTIF(O43:O47,"YES")/(COUNTA(O43:O47))*100)</f>
        <v>100</v>
      </c>
      <c r="O43" s="85" t="str">
        <f t="shared" si="2"/>
        <v>YES</v>
      </c>
      <c r="S43" s="155"/>
      <c r="T43" s="147"/>
      <c r="U43" s="213"/>
      <c r="AB43" s="113"/>
      <c r="AC43" s="114"/>
      <c r="AD43" s="114"/>
      <c r="AE43" s="95"/>
      <c r="AF43" s="95"/>
    </row>
    <row r="44" spans="1:32" ht="15" customHeight="1">
      <c r="A44" s="95"/>
      <c r="B44" s="129">
        <v>2</v>
      </c>
      <c r="C44" s="1099"/>
      <c r="D44" s="129">
        <f>ID!D56</f>
        <v>50</v>
      </c>
      <c r="E44" s="175">
        <f>IFERROR(ID!N56,"-")</f>
        <v>50.000010000000003</v>
      </c>
      <c r="F44" s="215">
        <f t="shared" ref="F44:F46" si="3">IFERROR((E44-D44)/E44*100,"-")</f>
        <v>1.9999996006349072E-5</v>
      </c>
      <c r="G44" s="1102"/>
      <c r="H44" s="130" t="str">
        <f t="shared" ref="H44:H47" si="4">IF(I44="-","","±")</f>
        <v>±</v>
      </c>
      <c r="I44" s="184">
        <f>IF(E44="-","-",ABS(BUDGET!$V$24)/D44*100)</f>
        <v>1.1596538312127558</v>
      </c>
      <c r="J44" s="151"/>
      <c r="K44" s="1121">
        <f>IF(E44="-",0,(ABS(F44)+I44))</f>
        <v>1.1596738312087622</v>
      </c>
      <c r="L44" s="1121"/>
      <c r="M44" s="86"/>
      <c r="N44" s="1082"/>
      <c r="O44" s="85" t="str">
        <f t="shared" si="2"/>
        <v>YES</v>
      </c>
      <c r="S44" s="155"/>
      <c r="T44" s="147"/>
      <c r="U44" s="213"/>
      <c r="AB44" s="113"/>
      <c r="AC44" s="114"/>
      <c r="AD44" s="114"/>
      <c r="AE44" s="95"/>
      <c r="AF44" s="95"/>
    </row>
    <row r="45" spans="1:32" ht="15" customHeight="1">
      <c r="A45" s="95"/>
      <c r="B45" s="129">
        <v>3</v>
      </c>
      <c r="C45" s="1099"/>
      <c r="D45" s="129">
        <f>ID!D57</f>
        <v>80</v>
      </c>
      <c r="E45" s="175">
        <f>IFERROR(ID!N57,"-")</f>
        <v>80.000010000000003</v>
      </c>
      <c r="F45" s="215">
        <f t="shared" si="3"/>
        <v>1.2499998441467865E-5</v>
      </c>
      <c r="G45" s="1102"/>
      <c r="H45" s="130" t="str">
        <f t="shared" si="4"/>
        <v>±</v>
      </c>
      <c r="I45" s="184">
        <f>IF(E45="-","-",ABS(BUDGET!$V$35)/D45*100)</f>
        <v>0.72478364450797239</v>
      </c>
      <c r="J45" s="151"/>
      <c r="K45" s="1121">
        <f>IF(E45="-",0,(ABS(F45)+I45))</f>
        <v>0.72479614450641383</v>
      </c>
      <c r="L45" s="1121"/>
      <c r="M45" s="86"/>
      <c r="N45" s="1082"/>
      <c r="O45" s="85" t="str">
        <f t="shared" si="2"/>
        <v>YES</v>
      </c>
      <c r="S45" s="155"/>
      <c r="T45" s="147"/>
      <c r="U45" s="213"/>
      <c r="AB45" s="113"/>
      <c r="AC45" s="114"/>
      <c r="AD45" s="114"/>
      <c r="AE45" s="95"/>
      <c r="AF45" s="95"/>
    </row>
    <row r="46" spans="1:32" ht="15" customHeight="1">
      <c r="A46" s="95"/>
      <c r="B46" s="129">
        <v>4</v>
      </c>
      <c r="C46" s="1099"/>
      <c r="D46" s="129">
        <f>ID!D58</f>
        <v>100</v>
      </c>
      <c r="E46" s="175">
        <f>IFERROR(ID!N58,"-")</f>
        <v>100.00001</v>
      </c>
      <c r="F46" s="215">
        <f t="shared" si="3"/>
        <v>9.9999990031742354E-6</v>
      </c>
      <c r="G46" s="1102"/>
      <c r="H46" s="130" t="str">
        <f t="shared" si="4"/>
        <v>±</v>
      </c>
      <c r="I46" s="184">
        <f>IF(E46="-","-",ABS(BUDGET!$V$46)/D46*100)</f>
        <v>0.57982691560637789</v>
      </c>
      <c r="J46" s="151"/>
      <c r="K46" s="1121">
        <f t="shared" ref="K46:K47" si="5">IF(E46="-",0,(ABS(F46)+I46))</f>
        <v>0.57983691560538109</v>
      </c>
      <c r="L46" s="1121"/>
      <c r="M46" s="86"/>
      <c r="N46" s="1082"/>
      <c r="O46" s="85" t="str">
        <f t="shared" si="2"/>
        <v>YES</v>
      </c>
      <c r="S46" s="155"/>
      <c r="T46" s="147"/>
      <c r="U46" s="213"/>
      <c r="AB46" s="113"/>
      <c r="AC46" s="114"/>
      <c r="AD46" s="114"/>
      <c r="AE46" s="95"/>
      <c r="AF46" s="95"/>
    </row>
    <row r="47" spans="1:32" ht="15.75" customHeight="1">
      <c r="A47" s="95"/>
      <c r="B47" s="129">
        <v>5</v>
      </c>
      <c r="C47" s="1100"/>
      <c r="D47" s="129">
        <f>ID!D59</f>
        <v>150</v>
      </c>
      <c r="E47" s="175">
        <f>IFERROR(ID!N59,"-")</f>
        <v>150.00001</v>
      </c>
      <c r="F47" s="215">
        <f>IFERROR((E47-D47)/E47*100,"-")</f>
        <v>6.6666662243383434E-6</v>
      </c>
      <c r="G47" s="1103"/>
      <c r="H47" s="130" t="str">
        <f t="shared" si="4"/>
        <v>±</v>
      </c>
      <c r="I47" s="184">
        <f>IF(E47="-","-",ABS(BUDGET!$V$57)/D47*100)</f>
        <v>0.38655127707091858</v>
      </c>
      <c r="J47" s="151"/>
      <c r="K47" s="1121">
        <f t="shared" si="5"/>
        <v>0.38655794373714292</v>
      </c>
      <c r="L47" s="1121"/>
      <c r="M47" s="86"/>
      <c r="N47" s="1083"/>
      <c r="O47" s="85" t="str">
        <f t="shared" si="2"/>
        <v>YES</v>
      </c>
      <c r="S47" s="155"/>
      <c r="T47" s="147"/>
      <c r="U47" s="213"/>
      <c r="AB47" s="113"/>
      <c r="AC47" s="114"/>
      <c r="AD47" s="114"/>
      <c r="AE47" s="95"/>
      <c r="AF47" s="95"/>
    </row>
    <row r="48" spans="1:32" ht="19.5" customHeight="1">
      <c r="B48" s="116"/>
      <c r="C48" s="116"/>
      <c r="D48" s="137"/>
      <c r="E48" s="137"/>
      <c r="F48" s="137"/>
      <c r="G48" s="137"/>
      <c r="H48" s="137"/>
      <c r="I48" s="137"/>
      <c r="J48" s="137"/>
      <c r="K48" s="137"/>
      <c r="L48" s="137"/>
      <c r="M48" s="90"/>
      <c r="N48" s="477"/>
      <c r="O48" s="478"/>
    </row>
    <row r="49" spans="1:19" ht="14.5">
      <c r="A49" s="431" t="s">
        <v>85</v>
      </c>
      <c r="B49" s="431" t="s">
        <v>150</v>
      </c>
      <c r="C49" s="434"/>
      <c r="D49" s="434"/>
      <c r="E49" s="434"/>
      <c r="F49" s="434"/>
      <c r="G49" s="434"/>
      <c r="H49" s="434"/>
      <c r="I49" s="434"/>
      <c r="J49" s="434"/>
      <c r="K49" s="434"/>
      <c r="L49" s="436"/>
      <c r="M49" s="90"/>
      <c r="N49" s="91"/>
      <c r="O49" s="96"/>
      <c r="P49" s="90"/>
    </row>
    <row r="50" spans="1:19" ht="14.5">
      <c r="A50" s="429"/>
      <c r="B50" s="437" t="str">
        <f>ID!B63</f>
        <v>Ketidakpastian pengukuran dilaporkan pada tingkat kepercayaan 95 % dengan faktor cakupan k = 2</v>
      </c>
      <c r="C50" s="429"/>
      <c r="D50" s="429"/>
      <c r="E50" s="429"/>
      <c r="F50" s="429"/>
      <c r="G50" s="429"/>
      <c r="H50" s="429"/>
      <c r="I50" s="429"/>
      <c r="J50" s="429"/>
      <c r="K50" s="429"/>
      <c r="L50" s="436"/>
      <c r="M50" s="88"/>
      <c r="N50" s="88"/>
      <c r="O50" s="97"/>
      <c r="P50" s="150"/>
    </row>
    <row r="51" spans="1:19" ht="14.5">
      <c r="A51" s="429"/>
      <c r="B51" s="437" t="str">
        <f>ID!B64</f>
        <v>Hasil pengukuran keselamatan listrik tertelusur ke Satuan Internasional ( SI ) melalui PT. Kaliman</v>
      </c>
      <c r="C51" s="429"/>
      <c r="D51" s="429"/>
      <c r="E51" s="429"/>
      <c r="F51" s="429"/>
      <c r="G51" s="429"/>
      <c r="H51" s="429"/>
      <c r="I51" s="429"/>
      <c r="J51" s="429"/>
      <c r="K51" s="429"/>
      <c r="L51" s="436"/>
      <c r="M51" s="88"/>
      <c r="N51" s="88"/>
      <c r="O51" s="97"/>
      <c r="P51" s="88"/>
    </row>
    <row r="52" spans="1:19" ht="14.5" hidden="1">
      <c r="A52" s="429"/>
      <c r="B52" s="437" t="str">
        <f>ID!B65</f>
        <v>Hasil pengujian arus bocor karena frekuensi tinggi tertelusur ke Satuan Internasional melalui CALTEK PTE. LTD.</v>
      </c>
      <c r="C52" s="429"/>
      <c r="D52" s="429"/>
      <c r="E52" s="429"/>
      <c r="F52" s="429"/>
      <c r="G52" s="429"/>
      <c r="H52" s="429"/>
      <c r="I52" s="429"/>
      <c r="J52" s="429"/>
      <c r="K52" s="429"/>
      <c r="L52" s="436"/>
      <c r="M52" s="88"/>
      <c r="N52" s="88"/>
      <c r="O52" s="97"/>
      <c r="P52" s="88"/>
    </row>
    <row r="53" spans="1:19" ht="14.5" hidden="1">
      <c r="A53" s="429"/>
      <c r="B53" s="437" t="str">
        <f>ID!B66</f>
        <v>Hasil pengujian contact quality monitoring / REM tertelusur ke Satuan Internasional melalui CALTEK PTE. LTD.</v>
      </c>
      <c r="C53" s="429"/>
      <c r="D53" s="429"/>
      <c r="E53" s="429"/>
      <c r="F53" s="429"/>
      <c r="G53" s="429"/>
      <c r="H53" s="429"/>
      <c r="I53" s="429"/>
      <c r="J53" s="429"/>
      <c r="K53" s="429"/>
      <c r="L53" s="436"/>
      <c r="M53" s="88"/>
      <c r="N53" s="88"/>
      <c r="O53" s="88"/>
      <c r="P53" s="88"/>
      <c r="S53" s="149"/>
    </row>
    <row r="54" spans="1:19" ht="14.5">
      <c r="A54" s="429"/>
      <c r="B54" s="437" t="str">
        <f>ID!B67</f>
        <v>Hasil Kalibrasi daya keluaran tertelusur ke Satuan Internasional melalui CALTEK PTE. LTD.</v>
      </c>
      <c r="C54" s="429"/>
      <c r="D54" s="429"/>
      <c r="E54" s="429"/>
      <c r="F54" s="429"/>
      <c r="G54" s="429"/>
      <c r="H54" s="429"/>
      <c r="I54" s="429"/>
      <c r="J54" s="429"/>
      <c r="K54" s="429"/>
      <c r="L54" s="436"/>
      <c r="M54" s="88"/>
      <c r="N54" s="88"/>
      <c r="O54" s="88"/>
      <c r="S54" s="149"/>
    </row>
    <row r="55" spans="1:19" ht="14.5">
      <c r="A55" s="429"/>
      <c r="B55" s="437" t="str">
        <f>ID!B68</f>
        <v>Pengaturan load cutting pada 250Ω</v>
      </c>
      <c r="C55" s="429"/>
      <c r="D55" s="429"/>
      <c r="E55" s="429"/>
      <c r="F55" s="429"/>
      <c r="G55" s="429"/>
      <c r="H55" s="429"/>
      <c r="I55" s="429"/>
      <c r="J55" s="429"/>
      <c r="K55" s="429"/>
      <c r="L55" s="436"/>
      <c r="M55" s="88"/>
      <c r="N55" s="88"/>
      <c r="O55" s="88"/>
      <c r="S55" s="149"/>
    </row>
    <row r="56" spans="1:19" ht="14.5">
      <c r="A56" s="429"/>
      <c r="B56" s="437" t="str">
        <f>ID!B69</f>
        <v>Pengaturan load coagulating pada 250Ω</v>
      </c>
      <c r="C56" s="429"/>
      <c r="D56" s="429"/>
      <c r="E56" s="429"/>
      <c r="F56" s="429"/>
      <c r="G56" s="429"/>
      <c r="H56" s="429"/>
      <c r="I56" s="429"/>
      <c r="J56" s="429"/>
      <c r="K56" s="429"/>
      <c r="L56" s="436"/>
      <c r="M56" s="88"/>
      <c r="N56" s="88"/>
      <c r="O56" s="88"/>
      <c r="S56" s="149"/>
    </row>
    <row r="57" spans="1:19" ht="14.5">
      <c r="A57" s="429"/>
      <c r="B57" s="471" t="str">
        <f>W20</f>
        <v>Alat tidak boleh digunakan pada instalasi tanpa dilengkapi grounding</v>
      </c>
      <c r="C57" s="429"/>
      <c r="D57" s="429"/>
      <c r="E57" s="429"/>
      <c r="F57" s="429"/>
      <c r="G57" s="429"/>
      <c r="H57" s="429"/>
      <c r="I57" s="429"/>
      <c r="J57" s="429"/>
      <c r="K57" s="429"/>
      <c r="L57" s="436"/>
      <c r="M57" s="88"/>
      <c r="N57" s="88"/>
      <c r="O57" s="88"/>
      <c r="S57" s="149"/>
    </row>
    <row r="58" spans="1:19" ht="14.5">
      <c r="A58" s="429"/>
      <c r="B58" s="437"/>
      <c r="C58" s="429"/>
      <c r="D58" s="429"/>
      <c r="E58" s="429"/>
      <c r="F58" s="429"/>
      <c r="G58" s="429"/>
      <c r="H58" s="429"/>
      <c r="I58" s="429"/>
      <c r="J58" s="429"/>
      <c r="K58" s="429"/>
      <c r="L58" s="436"/>
      <c r="M58" s="88"/>
      <c r="N58" s="88"/>
      <c r="O58" s="88"/>
      <c r="S58" s="149"/>
    </row>
    <row r="59" spans="1:19" ht="14.5">
      <c r="A59" s="431" t="s">
        <v>102</v>
      </c>
      <c r="B59" s="431" t="s">
        <v>90</v>
      </c>
      <c r="C59" s="431"/>
      <c r="D59" s="429"/>
      <c r="E59" s="429"/>
      <c r="F59" s="429"/>
      <c r="G59" s="429"/>
      <c r="H59" s="429"/>
      <c r="I59" s="429"/>
      <c r="J59" s="429"/>
      <c r="K59" s="429"/>
      <c r="L59" s="436"/>
      <c r="M59" s="88"/>
      <c r="N59" s="88"/>
      <c r="O59" s="88"/>
      <c r="S59" s="142"/>
    </row>
    <row r="60" spans="1:19" ht="14.5">
      <c r="A60" s="429"/>
      <c r="B60" s="141" t="str">
        <f>ID!B74</f>
        <v>Electrosurgical Analyzer, Merek : Fluke, Model : QA-ES III, SN : 4639004</v>
      </c>
      <c r="C60" s="429"/>
      <c r="D60" s="429"/>
      <c r="E60" s="429"/>
      <c r="F60" s="429"/>
      <c r="G60" s="429"/>
      <c r="H60" s="429"/>
      <c r="I60" s="429"/>
      <c r="J60" s="429"/>
      <c r="K60" s="429"/>
      <c r="L60" s="436"/>
      <c r="M60" s="88"/>
      <c r="N60" s="88"/>
      <c r="O60" s="88"/>
      <c r="S60" s="142"/>
    </row>
    <row r="61" spans="1:19" ht="14.5">
      <c r="A61" s="429"/>
      <c r="B61" s="141" t="str">
        <f>ID!B75:N75</f>
        <v>Electrical Safety Analyzer, Merek : Fluke, Model : ESA 615, SN : 4670010</v>
      </c>
      <c r="C61" s="429"/>
      <c r="D61" s="429"/>
      <c r="E61" s="429"/>
      <c r="F61" s="429"/>
      <c r="G61" s="429"/>
      <c r="H61" s="429"/>
      <c r="I61" s="429"/>
      <c r="J61" s="429"/>
      <c r="K61" s="429"/>
      <c r="L61" s="436"/>
      <c r="M61" s="88"/>
      <c r="N61" s="88"/>
      <c r="O61" s="88"/>
      <c r="S61" s="142"/>
    </row>
    <row r="62" spans="1:19" ht="14.5" hidden="1">
      <c r="A62" s="429"/>
      <c r="B62" s="141"/>
      <c r="C62" s="429"/>
      <c r="D62" s="429"/>
      <c r="E62" s="429"/>
      <c r="F62" s="429"/>
      <c r="G62" s="429"/>
      <c r="H62" s="429"/>
      <c r="I62" s="429"/>
      <c r="J62" s="429"/>
      <c r="K62" s="429"/>
      <c r="L62" s="436"/>
      <c r="M62" s="88"/>
      <c r="N62" s="88"/>
      <c r="O62" s="88"/>
      <c r="S62" s="142"/>
    </row>
    <row r="63" spans="1:19" ht="14.5">
      <c r="A63" s="431" t="s">
        <v>156</v>
      </c>
      <c r="B63" s="435" t="s">
        <v>155</v>
      </c>
      <c r="C63" s="429"/>
      <c r="D63" s="429"/>
      <c r="E63" s="429"/>
      <c r="F63" s="429"/>
      <c r="G63" s="429"/>
      <c r="H63" s="429"/>
      <c r="I63" s="429"/>
      <c r="J63" s="429"/>
      <c r="K63" s="429"/>
      <c r="L63" s="436"/>
      <c r="M63" s="88"/>
      <c r="N63" s="88"/>
      <c r="O63" s="88"/>
      <c r="S63" s="142"/>
    </row>
    <row r="64" spans="1:19" ht="15" customHeight="1">
      <c r="A64" s="431"/>
      <c r="B64" s="1120" t="str">
        <f>ID!B79</f>
        <v>Alat yang dikalibrasi dalam batas toleransi dan dinyatakan LAIK PAKAI, dimana hasil atau skor akhir sama dengan atau melampaui 70 % berdasarkan Keputusan Direktur Jenderal Pelayanan Kesehatan No : HK.02.02/V/0412/2020</v>
      </c>
      <c r="C64" s="1120"/>
      <c r="D64" s="1120"/>
      <c r="E64" s="1120"/>
      <c r="F64" s="1120"/>
      <c r="G64" s="1120"/>
      <c r="H64" s="1120"/>
      <c r="I64" s="1120"/>
      <c r="J64" s="1120"/>
      <c r="K64" s="1120"/>
      <c r="L64" s="1120"/>
      <c r="M64" s="88"/>
      <c r="N64" s="88"/>
      <c r="O64" s="88"/>
      <c r="S64" s="142"/>
    </row>
    <row r="65" spans="1:19" ht="28.5" customHeight="1">
      <c r="A65" s="429"/>
      <c r="B65" s="1120"/>
      <c r="C65" s="1120"/>
      <c r="D65" s="1120"/>
      <c r="E65" s="1120"/>
      <c r="F65" s="1120"/>
      <c r="G65" s="1120"/>
      <c r="H65" s="1120"/>
      <c r="I65" s="1120"/>
      <c r="J65" s="1120"/>
      <c r="K65" s="1120"/>
      <c r="L65" s="1120"/>
      <c r="M65" s="88"/>
      <c r="N65" s="88"/>
      <c r="O65" s="88"/>
      <c r="S65" s="142"/>
    </row>
    <row r="66" spans="1:19" ht="14.5">
      <c r="A66" s="436"/>
      <c r="B66" s="436"/>
      <c r="C66" s="429"/>
      <c r="D66" s="429"/>
      <c r="E66" s="429"/>
      <c r="F66" s="429"/>
      <c r="G66" s="429"/>
      <c r="H66" s="429"/>
      <c r="I66" s="429"/>
      <c r="J66" s="429"/>
      <c r="K66" s="429"/>
      <c r="L66" s="436"/>
      <c r="M66" s="88"/>
      <c r="N66" s="88"/>
      <c r="O66" s="88"/>
      <c r="S66" s="142"/>
    </row>
    <row r="67" spans="1:19" ht="14.5">
      <c r="A67" s="431" t="s">
        <v>158</v>
      </c>
      <c r="B67" s="431" t="str">
        <f>ID!B82</f>
        <v>Petugas Kalibrasi</v>
      </c>
      <c r="C67" s="429"/>
      <c r="D67" s="429"/>
      <c r="E67" s="429"/>
      <c r="F67" s="429"/>
      <c r="G67" s="429"/>
      <c r="H67" s="429"/>
      <c r="I67" s="429"/>
      <c r="J67" s="429"/>
      <c r="K67" s="429"/>
      <c r="L67" s="436"/>
      <c r="M67" s="86"/>
      <c r="N67" s="88"/>
      <c r="O67" s="88"/>
    </row>
    <row r="68" spans="1:19" ht="14.5">
      <c r="A68" s="429"/>
      <c r="B68" s="437" t="str">
        <f>ID!B83</f>
        <v>Muhammad Iqbal Saiful Rahman</v>
      </c>
      <c r="C68" s="436"/>
      <c r="D68" s="436"/>
      <c r="E68" s="436"/>
      <c r="F68" s="436"/>
      <c r="G68" s="436"/>
      <c r="H68" s="436"/>
      <c r="I68" s="436"/>
      <c r="J68" s="436"/>
      <c r="K68" s="141"/>
      <c r="L68" s="436"/>
      <c r="M68" s="86"/>
      <c r="N68" s="86"/>
    </row>
    <row r="69" spans="1:19" ht="14.5">
      <c r="A69" s="436"/>
      <c r="B69" s="436"/>
      <c r="C69" s="436"/>
      <c r="D69" s="436"/>
      <c r="E69" s="436"/>
      <c r="F69" s="436"/>
      <c r="G69" s="436"/>
      <c r="H69" s="436"/>
      <c r="I69" s="436"/>
      <c r="J69" s="436"/>
      <c r="K69" s="436"/>
      <c r="L69" s="436"/>
      <c r="M69" s="86"/>
    </row>
    <row r="70" spans="1:19" ht="14.5">
      <c r="A70" s="436"/>
      <c r="B70" s="436"/>
      <c r="C70" s="436"/>
      <c r="D70" s="436"/>
      <c r="E70" s="436"/>
      <c r="F70" s="436"/>
      <c r="G70" s="436"/>
      <c r="H70" s="436"/>
      <c r="I70" s="436"/>
      <c r="J70" s="1119"/>
      <c r="K70" s="1119"/>
      <c r="L70" s="436"/>
      <c r="M70" s="98"/>
    </row>
    <row r="71" spans="1:19" ht="14.5" hidden="1">
      <c r="A71" s="436"/>
      <c r="B71" s="436"/>
      <c r="C71" s="436"/>
      <c r="D71" s="436"/>
      <c r="E71" s="436"/>
      <c r="F71" s="436"/>
      <c r="G71" s="436"/>
      <c r="H71" s="436"/>
      <c r="I71" s="436"/>
      <c r="J71" s="1117"/>
      <c r="K71" s="1118"/>
      <c r="L71" s="436"/>
      <c r="M71" s="87"/>
    </row>
    <row r="72" spans="1:19" hidden="1">
      <c r="A72" s="436"/>
      <c r="B72" s="436"/>
      <c r="C72" s="436"/>
      <c r="D72" s="436"/>
      <c r="E72" s="436"/>
      <c r="F72" s="436"/>
      <c r="G72" s="436"/>
      <c r="H72" s="436"/>
      <c r="I72" s="436"/>
      <c r="J72" s="1118"/>
      <c r="K72" s="1118"/>
      <c r="L72" s="436"/>
    </row>
    <row r="73" spans="1:19" hidden="1">
      <c r="A73" s="436"/>
      <c r="B73" s="436"/>
      <c r="C73" s="436"/>
      <c r="D73" s="436"/>
      <c r="E73" s="436"/>
      <c r="F73" s="436"/>
      <c r="G73" s="436"/>
      <c r="H73" s="436"/>
      <c r="I73" s="436"/>
      <c r="J73" s="1118"/>
      <c r="K73" s="1118"/>
      <c r="L73" s="436"/>
    </row>
    <row r="74" spans="1:19" hidden="1">
      <c r="A74" s="436"/>
      <c r="B74" s="436"/>
      <c r="C74" s="436"/>
      <c r="D74" s="436"/>
      <c r="E74" s="436"/>
      <c r="F74" s="436"/>
      <c r="G74" s="436"/>
      <c r="H74" s="436"/>
      <c r="I74" s="436"/>
      <c r="J74" s="1118"/>
      <c r="K74" s="1118"/>
      <c r="L74" s="436"/>
    </row>
    <row r="75" spans="1:19" hidden="1">
      <c r="A75" s="436"/>
      <c r="B75" s="436"/>
      <c r="C75" s="436"/>
      <c r="D75" s="436"/>
      <c r="E75" s="436"/>
      <c r="F75" s="436"/>
      <c r="G75" s="436"/>
      <c r="H75" s="436"/>
      <c r="I75" s="436"/>
      <c r="J75" s="436"/>
      <c r="K75" s="436"/>
      <c r="L75" s="436"/>
    </row>
    <row r="76" spans="1:19" hidden="1">
      <c r="A76" s="436"/>
      <c r="B76" s="436"/>
      <c r="C76" s="436"/>
      <c r="D76" s="436"/>
      <c r="E76" s="436"/>
      <c r="F76" s="436"/>
      <c r="G76" s="436"/>
      <c r="H76" s="436"/>
      <c r="I76" s="436"/>
      <c r="J76" s="436"/>
      <c r="K76" s="436"/>
      <c r="L76" s="436"/>
    </row>
    <row r="77" spans="1:19" hidden="1">
      <c r="A77" s="436"/>
      <c r="B77" s="436"/>
      <c r="C77" s="436"/>
      <c r="D77" s="436"/>
      <c r="E77" s="436"/>
      <c r="F77" s="436"/>
      <c r="G77" s="436"/>
      <c r="H77" s="436"/>
      <c r="I77" s="436"/>
      <c r="J77" s="436"/>
      <c r="K77" s="436"/>
      <c r="L77" s="436"/>
    </row>
    <row r="78" spans="1:19" hidden="1">
      <c r="A78" s="436"/>
      <c r="B78" s="436"/>
      <c r="C78" s="436"/>
      <c r="D78" s="436"/>
      <c r="E78" s="436"/>
      <c r="F78" s="436"/>
      <c r="G78" s="436"/>
      <c r="H78" s="436"/>
      <c r="I78" s="436"/>
      <c r="J78" s="436"/>
      <c r="K78" s="436"/>
      <c r="L78" s="436"/>
    </row>
    <row r="79" spans="1:19" hidden="1">
      <c r="A79" s="436"/>
      <c r="B79" s="436"/>
      <c r="C79" s="436"/>
      <c r="D79" s="436"/>
      <c r="E79" s="436"/>
      <c r="F79" s="436"/>
      <c r="G79" s="436"/>
      <c r="H79" s="436"/>
      <c r="I79" s="436"/>
      <c r="J79" s="436"/>
      <c r="K79" s="436"/>
      <c r="L79" s="436"/>
    </row>
    <row r="80" spans="1:19" hidden="1">
      <c r="A80" s="436"/>
      <c r="B80" s="436"/>
      <c r="C80" s="436"/>
      <c r="D80" s="436"/>
      <c r="E80" s="436"/>
      <c r="F80" s="436"/>
      <c r="G80" s="436"/>
      <c r="H80" s="436"/>
      <c r="I80" s="436"/>
      <c r="J80" s="436"/>
      <c r="K80" s="436"/>
      <c r="L80" s="436"/>
    </row>
    <row r="81" spans="1:12" hidden="1">
      <c r="A81" s="436"/>
      <c r="B81" s="436"/>
      <c r="C81" s="436"/>
      <c r="D81" s="436"/>
      <c r="E81" s="436"/>
      <c r="F81" s="436"/>
      <c r="G81" s="436"/>
      <c r="H81" s="436"/>
      <c r="I81" s="436"/>
      <c r="J81" s="436"/>
      <c r="K81" s="436"/>
      <c r="L81" s="436"/>
    </row>
    <row r="82" spans="1:12" hidden="1">
      <c r="A82" s="436"/>
      <c r="B82" s="436"/>
      <c r="C82" s="436"/>
      <c r="D82" s="436"/>
      <c r="E82" s="436"/>
      <c r="F82" s="436"/>
      <c r="G82" s="436"/>
      <c r="H82" s="436"/>
      <c r="I82" s="436"/>
      <c r="J82" s="436"/>
      <c r="K82" s="436"/>
      <c r="L82" s="436"/>
    </row>
    <row r="83" spans="1:12" hidden="1">
      <c r="A83" s="436"/>
      <c r="B83" s="436"/>
      <c r="C83" s="436"/>
      <c r="D83" s="436"/>
      <c r="E83" s="436"/>
      <c r="F83" s="436"/>
      <c r="G83" s="436"/>
      <c r="H83" s="436"/>
      <c r="I83" s="436"/>
      <c r="J83" s="436"/>
      <c r="K83" s="436"/>
      <c r="L83" s="436"/>
    </row>
    <row r="84" spans="1:12" hidden="1">
      <c r="A84" s="436"/>
      <c r="B84" s="436"/>
      <c r="C84" s="436"/>
      <c r="D84" s="436"/>
      <c r="E84" s="436"/>
      <c r="F84" s="436"/>
      <c r="G84" s="436"/>
      <c r="H84" s="436"/>
      <c r="I84" s="436"/>
      <c r="J84" s="436"/>
      <c r="K84" s="436"/>
      <c r="L84" s="436"/>
    </row>
    <row r="85" spans="1:12" hidden="1">
      <c r="A85" s="436"/>
      <c r="B85" s="436"/>
      <c r="C85" s="436"/>
      <c r="D85" s="436"/>
      <c r="E85" s="436"/>
      <c r="F85" s="436"/>
      <c r="G85" s="436"/>
      <c r="H85" s="436"/>
      <c r="I85" s="436"/>
      <c r="J85" s="436"/>
      <c r="K85" s="436"/>
      <c r="L85" s="436"/>
    </row>
    <row r="86" spans="1:12" hidden="1">
      <c r="A86" s="436"/>
      <c r="B86" s="436"/>
      <c r="C86" s="436"/>
      <c r="D86" s="436"/>
      <c r="E86" s="436"/>
      <c r="F86" s="436"/>
      <c r="G86" s="436"/>
      <c r="H86" s="436"/>
      <c r="I86" s="436"/>
      <c r="J86" s="436"/>
      <c r="K86" s="436"/>
      <c r="L86" s="436"/>
    </row>
    <row r="87" spans="1:12" hidden="1">
      <c r="A87" s="436"/>
      <c r="B87" s="436"/>
      <c r="C87" s="436"/>
      <c r="D87" s="436"/>
      <c r="E87" s="436"/>
      <c r="F87" s="436"/>
      <c r="G87" s="436"/>
      <c r="H87" s="436"/>
      <c r="I87" s="436"/>
      <c r="J87" s="436"/>
      <c r="K87" s="436"/>
      <c r="L87" s="436"/>
    </row>
    <row r="88" spans="1:12" hidden="1">
      <c r="A88" s="436"/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</row>
    <row r="89" spans="1:12" hidden="1">
      <c r="A89" s="436"/>
      <c r="B89" s="436"/>
      <c r="C89" s="436"/>
      <c r="D89" s="436"/>
      <c r="E89" s="436"/>
      <c r="F89" s="436"/>
      <c r="G89" s="436"/>
      <c r="H89" s="436"/>
      <c r="I89" s="436"/>
      <c r="J89" s="436"/>
      <c r="K89" s="436"/>
      <c r="L89" s="436"/>
    </row>
    <row r="90" spans="1:12" hidden="1">
      <c r="A90" s="436"/>
      <c r="B90" s="436"/>
      <c r="C90" s="436"/>
      <c r="D90" s="436"/>
      <c r="E90" s="436"/>
      <c r="F90" s="436"/>
      <c r="G90" s="436"/>
      <c r="H90" s="436"/>
      <c r="I90" s="436"/>
      <c r="J90" s="436"/>
      <c r="K90" s="436"/>
      <c r="L90" s="436"/>
    </row>
    <row r="91" spans="1:12" hidden="1">
      <c r="A91" s="436"/>
      <c r="B91" s="436"/>
      <c r="C91" s="436"/>
      <c r="D91" s="436"/>
      <c r="E91" s="436"/>
      <c r="F91" s="436"/>
      <c r="G91" s="436"/>
      <c r="H91" s="436"/>
      <c r="I91" s="436"/>
      <c r="J91" s="436"/>
      <c r="K91" s="436"/>
      <c r="L91" s="436"/>
    </row>
    <row r="92" spans="1:12" hidden="1">
      <c r="A92" s="436"/>
      <c r="B92" s="436"/>
      <c r="C92" s="436"/>
      <c r="D92" s="436"/>
      <c r="E92" s="436"/>
      <c r="F92" s="436"/>
      <c r="G92" s="436"/>
      <c r="H92" s="436"/>
      <c r="I92" s="436"/>
      <c r="J92" s="436"/>
      <c r="K92" s="436"/>
      <c r="L92" s="436"/>
    </row>
    <row r="93" spans="1:12" hidden="1">
      <c r="A93" s="436"/>
      <c r="B93" s="436"/>
      <c r="C93" s="436"/>
      <c r="D93" s="436"/>
      <c r="E93" s="436"/>
      <c r="F93" s="436"/>
      <c r="G93" s="436"/>
      <c r="H93" s="436"/>
      <c r="I93" s="436"/>
      <c r="J93" s="436"/>
      <c r="K93" s="436"/>
      <c r="L93" s="436"/>
    </row>
    <row r="94" spans="1:12" hidden="1">
      <c r="A94" s="436"/>
      <c r="B94" s="436"/>
      <c r="C94" s="436"/>
      <c r="D94" s="436"/>
      <c r="E94" s="436"/>
      <c r="F94" s="436"/>
      <c r="G94" s="436"/>
      <c r="H94" s="436"/>
      <c r="I94" s="436"/>
      <c r="J94" s="436"/>
      <c r="K94" s="436"/>
      <c r="L94" s="436"/>
    </row>
    <row r="95" spans="1:12" hidden="1">
      <c r="A95" s="436"/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</row>
    <row r="96" spans="1:12" hidden="1">
      <c r="A96" s="436"/>
      <c r="B96" s="436"/>
      <c r="C96" s="436"/>
      <c r="D96" s="436"/>
      <c r="E96" s="436"/>
      <c r="F96" s="436"/>
      <c r="G96" s="436"/>
      <c r="H96" s="436"/>
      <c r="I96" s="436"/>
      <c r="J96" s="436"/>
      <c r="K96" s="436"/>
      <c r="L96" s="436"/>
    </row>
    <row r="97" spans="1:12" hidden="1">
      <c r="A97" s="436"/>
      <c r="B97" s="436"/>
      <c r="C97" s="436"/>
      <c r="D97" s="436"/>
      <c r="E97" s="436"/>
      <c r="F97" s="436"/>
      <c r="G97" s="436"/>
      <c r="H97" s="436"/>
      <c r="I97" s="436"/>
      <c r="J97" s="436"/>
      <c r="K97" s="436"/>
      <c r="L97" s="436"/>
    </row>
    <row r="98" spans="1:12" hidden="1">
      <c r="A98" s="436"/>
      <c r="B98" s="436"/>
      <c r="C98" s="436"/>
      <c r="D98" s="436"/>
      <c r="E98" s="436"/>
      <c r="F98" s="436"/>
      <c r="G98" s="436"/>
      <c r="H98" s="436"/>
      <c r="I98" s="436"/>
      <c r="J98" s="436"/>
      <c r="K98" s="436"/>
      <c r="L98" s="436"/>
    </row>
    <row r="99" spans="1:12" ht="24" hidden="1" customHeight="1">
      <c r="A99" s="436"/>
      <c r="B99" s="436"/>
      <c r="C99" s="436"/>
      <c r="D99" s="436"/>
      <c r="E99" s="436"/>
      <c r="F99" s="436"/>
      <c r="G99" s="436"/>
      <c r="H99" s="436"/>
      <c r="I99" s="436"/>
      <c r="J99" s="436"/>
      <c r="K99" s="436"/>
      <c r="L99" s="436"/>
    </row>
    <row r="100" spans="1:12" hidden="1">
      <c r="A100" s="436"/>
      <c r="B100" s="436"/>
      <c r="C100" s="436"/>
      <c r="D100" s="436"/>
      <c r="E100" s="436"/>
      <c r="F100" s="436"/>
      <c r="G100" s="436"/>
      <c r="H100" s="436"/>
      <c r="I100" s="436"/>
      <c r="J100" s="436"/>
      <c r="K100" s="436"/>
      <c r="L100" s="436"/>
    </row>
    <row r="101" spans="1:12" hidden="1">
      <c r="A101" s="436"/>
      <c r="B101" s="436"/>
      <c r="C101" s="436"/>
      <c r="D101" s="436"/>
      <c r="E101" s="436"/>
      <c r="F101" s="436"/>
      <c r="G101" s="436"/>
      <c r="H101" s="436"/>
      <c r="I101" s="436"/>
      <c r="J101" s="436"/>
      <c r="K101" s="436"/>
      <c r="L101" s="436"/>
    </row>
    <row r="102" spans="1:12" hidden="1">
      <c r="A102" s="436"/>
      <c r="B102" s="436"/>
      <c r="C102" s="436"/>
      <c r="D102" s="436"/>
      <c r="E102" s="436"/>
      <c r="F102" s="436"/>
      <c r="G102" s="436"/>
      <c r="H102" s="436"/>
      <c r="I102" s="436"/>
      <c r="J102" s="436"/>
      <c r="K102" s="436"/>
      <c r="L102" s="436"/>
    </row>
    <row r="103" spans="1:12" hidden="1">
      <c r="A103" s="436"/>
      <c r="B103" s="436"/>
      <c r="C103" s="436"/>
      <c r="D103" s="436"/>
      <c r="E103" s="436"/>
      <c r="F103" s="436"/>
      <c r="G103" s="436"/>
      <c r="H103" s="436"/>
      <c r="I103" s="436"/>
      <c r="J103" s="436"/>
      <c r="K103" s="436"/>
      <c r="L103" s="436"/>
    </row>
    <row r="104" spans="1:12" hidden="1">
      <c r="A104" s="436"/>
      <c r="B104" s="436"/>
      <c r="C104" s="436"/>
      <c r="D104" s="436"/>
      <c r="E104" s="436"/>
      <c r="F104" s="436"/>
      <c r="G104" s="436"/>
      <c r="H104" s="436"/>
      <c r="I104" s="436"/>
      <c r="J104" s="436"/>
      <c r="K104" s="436"/>
      <c r="L104" s="436"/>
    </row>
    <row r="105" spans="1:12" hidden="1">
      <c r="A105" s="436"/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</row>
    <row r="106" spans="1:12" hidden="1">
      <c r="A106" s="436"/>
      <c r="B106" s="436"/>
      <c r="C106" s="436"/>
      <c r="D106" s="436"/>
      <c r="E106" s="436"/>
      <c r="F106" s="436"/>
      <c r="G106" s="436"/>
      <c r="H106" s="436"/>
      <c r="I106" s="436"/>
      <c r="J106" s="436"/>
      <c r="K106" s="436"/>
      <c r="L106" s="436"/>
    </row>
    <row r="107" spans="1:12" hidden="1">
      <c r="A107" s="436"/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</row>
    <row r="108" spans="1:12" hidden="1">
      <c r="A108" s="436"/>
      <c r="B108" s="436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</row>
    <row r="109" spans="1:12" hidden="1">
      <c r="A109" s="436"/>
      <c r="B109" s="436"/>
      <c r="C109" s="436"/>
      <c r="D109" s="436"/>
      <c r="E109" s="436"/>
      <c r="F109" s="436"/>
      <c r="G109" s="436"/>
      <c r="H109" s="436"/>
      <c r="I109" s="436"/>
      <c r="J109" s="436"/>
      <c r="K109" s="436"/>
      <c r="L109" s="436"/>
    </row>
    <row r="110" spans="1:12" hidden="1">
      <c r="A110" s="436"/>
      <c r="B110" s="436"/>
      <c r="C110" s="436"/>
      <c r="D110" s="436"/>
      <c r="E110" s="436"/>
      <c r="F110" s="436"/>
      <c r="G110" s="436"/>
      <c r="H110" s="436"/>
      <c r="I110" s="436"/>
      <c r="J110" s="436"/>
      <c r="K110" s="436"/>
      <c r="L110" s="436"/>
    </row>
    <row r="111" spans="1:12" hidden="1">
      <c r="A111" s="436"/>
      <c r="B111" s="436"/>
      <c r="C111" s="436"/>
      <c r="D111" s="436"/>
      <c r="E111" s="436"/>
      <c r="F111" s="436"/>
      <c r="G111" s="436"/>
      <c r="H111" s="436"/>
      <c r="I111" s="436"/>
      <c r="J111" s="436"/>
      <c r="K111" s="436"/>
      <c r="L111" s="436"/>
    </row>
    <row r="112" spans="1:12" hidden="1">
      <c r="A112" s="436"/>
      <c r="B112" s="436"/>
      <c r="C112" s="436"/>
      <c r="D112" s="436"/>
      <c r="E112" s="436"/>
      <c r="F112" s="436"/>
      <c r="G112" s="436"/>
      <c r="H112" s="436"/>
      <c r="I112" s="436"/>
      <c r="J112" s="436"/>
      <c r="K112" s="436"/>
      <c r="L112" s="436"/>
    </row>
    <row r="113" spans="1:12" hidden="1">
      <c r="A113" s="436"/>
      <c r="B113" s="436"/>
      <c r="C113" s="436"/>
      <c r="D113" s="436"/>
      <c r="E113" s="436"/>
      <c r="F113" s="436"/>
      <c r="G113" s="436"/>
      <c r="H113" s="436"/>
      <c r="I113" s="436"/>
      <c r="J113" s="436"/>
      <c r="K113" s="436"/>
      <c r="L113" s="436"/>
    </row>
    <row r="114" spans="1:12" hidden="1">
      <c r="A114" s="436"/>
      <c r="B114" s="436"/>
      <c r="C114" s="436"/>
      <c r="D114" s="436"/>
      <c r="E114" s="436"/>
      <c r="F114" s="436"/>
      <c r="G114" s="436"/>
      <c r="H114" s="436"/>
      <c r="I114" s="436"/>
      <c r="J114" s="436"/>
      <c r="K114" s="436"/>
      <c r="L114" s="436"/>
    </row>
    <row r="115" spans="1:12" hidden="1">
      <c r="A115" s="436"/>
      <c r="B115" s="436"/>
      <c r="C115" s="436"/>
      <c r="D115" s="436"/>
      <c r="E115" s="436"/>
      <c r="F115" s="436"/>
      <c r="G115" s="436"/>
      <c r="H115" s="436"/>
      <c r="I115" s="436"/>
      <c r="J115" s="436"/>
      <c r="K115" s="436"/>
      <c r="L115" s="436"/>
    </row>
    <row r="116" spans="1:12" hidden="1">
      <c r="A116" s="436"/>
      <c r="B116" s="436"/>
      <c r="C116" s="436"/>
      <c r="D116" s="436"/>
      <c r="E116" s="436"/>
      <c r="F116" s="436"/>
      <c r="G116" s="436"/>
      <c r="H116" s="436"/>
      <c r="I116" s="436"/>
      <c r="J116" s="436"/>
      <c r="K116" s="436"/>
      <c r="L116" s="436"/>
    </row>
    <row r="117" spans="1:12">
      <c r="A117" s="436"/>
      <c r="B117" s="436"/>
      <c r="C117" s="436"/>
      <c r="D117" s="436"/>
      <c r="E117" s="436"/>
      <c r="F117" s="436"/>
      <c r="G117" s="436"/>
      <c r="H117" s="436"/>
      <c r="I117" s="436"/>
      <c r="J117" s="1122" t="s">
        <v>236</v>
      </c>
      <c r="K117" s="1122"/>
      <c r="L117" s="436"/>
    </row>
    <row r="118" spans="1:12">
      <c r="A118" s="436"/>
      <c r="B118" s="436"/>
      <c r="C118" s="436"/>
      <c r="D118" s="436"/>
      <c r="E118" s="436"/>
      <c r="F118" s="436"/>
      <c r="G118" s="436"/>
      <c r="H118" s="436"/>
      <c r="I118" s="436"/>
      <c r="J118" s="1115">
        <f>SUM(N42+N29+N22)</f>
        <v>90</v>
      </c>
      <c r="K118" s="1116"/>
      <c r="L118" s="436"/>
    </row>
    <row r="119" spans="1:12">
      <c r="A119" s="436"/>
      <c r="B119" s="436"/>
      <c r="C119" s="436"/>
      <c r="D119" s="436"/>
      <c r="E119" s="436"/>
      <c r="F119" s="436"/>
      <c r="G119" s="436"/>
      <c r="H119" s="436"/>
      <c r="I119" s="436"/>
      <c r="J119" s="1116"/>
      <c r="K119" s="1116"/>
      <c r="L119" s="436"/>
    </row>
    <row r="120" spans="1:12">
      <c r="A120" s="436"/>
      <c r="B120" s="436"/>
      <c r="C120" s="436"/>
      <c r="D120" s="436"/>
      <c r="E120" s="436"/>
      <c r="F120" s="436"/>
      <c r="G120" s="436"/>
      <c r="H120" s="436"/>
      <c r="I120" s="436"/>
      <c r="J120" s="1116"/>
      <c r="K120" s="1116"/>
      <c r="L120" s="436"/>
    </row>
    <row r="121" spans="1:12">
      <c r="A121" s="436"/>
      <c r="B121" s="436"/>
      <c r="C121" s="436"/>
      <c r="D121" s="436"/>
      <c r="E121" s="436"/>
      <c r="F121" s="436"/>
      <c r="G121" s="436"/>
      <c r="H121" s="436"/>
      <c r="I121" s="436"/>
      <c r="J121" s="1116"/>
      <c r="K121" s="1116"/>
      <c r="L121" s="436"/>
    </row>
    <row r="122" spans="1:12">
      <c r="A122" s="436"/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</row>
    <row r="123" spans="1:12" ht="14">
      <c r="A123" s="436"/>
      <c r="B123" s="436"/>
      <c r="C123" s="1113" t="s">
        <v>237</v>
      </c>
      <c r="D123" s="1113"/>
      <c r="E123" s="1113"/>
      <c r="F123" s="1113"/>
      <c r="G123" s="1113"/>
      <c r="H123" s="1113" t="s">
        <v>1</v>
      </c>
      <c r="I123" s="1113"/>
      <c r="J123" s="1113"/>
      <c r="K123" s="677" t="s">
        <v>238</v>
      </c>
      <c r="L123" s="436"/>
    </row>
    <row r="124" spans="1:12" ht="14">
      <c r="A124" s="436"/>
      <c r="B124" s="436"/>
      <c r="C124" s="678" t="s">
        <v>239</v>
      </c>
      <c r="D124" s="1112" t="str">
        <f>B68</f>
        <v>Muhammad Iqbal Saiful Rahman</v>
      </c>
      <c r="E124" s="1112"/>
      <c r="F124" s="1112"/>
      <c r="G124" s="1112"/>
      <c r="H124" s="1114" t="str">
        <f>ID!B86</f>
        <v>3 2 22</v>
      </c>
      <c r="I124" s="1114"/>
      <c r="J124" s="1114"/>
      <c r="K124" s="679"/>
      <c r="L124" s="436"/>
    </row>
    <row r="125" spans="1:12" ht="14">
      <c r="A125" s="436"/>
      <c r="B125" s="436"/>
      <c r="C125" s="678" t="s">
        <v>240</v>
      </c>
      <c r="D125" s="1112"/>
      <c r="E125" s="1112"/>
      <c r="F125" s="1112"/>
      <c r="G125" s="1112"/>
      <c r="H125" s="1112"/>
      <c r="I125" s="1112"/>
      <c r="J125" s="1112"/>
      <c r="K125" s="679"/>
      <c r="L125" s="436"/>
    </row>
  </sheetData>
  <sheetProtection formatCells="0" formatColumns="0" formatRows="0" insertColumns="0" insertRows="0" deleteColumns="0" deleteRows="0"/>
  <mergeCells count="57">
    <mergeCell ref="F41:F42"/>
    <mergeCell ref="J117:K117"/>
    <mergeCell ref="N34:N38"/>
    <mergeCell ref="H41:I42"/>
    <mergeCell ref="D41:D42"/>
    <mergeCell ref="K38:L38"/>
    <mergeCell ref="K39:L39"/>
    <mergeCell ref="K40:L40"/>
    <mergeCell ref="K35:L35"/>
    <mergeCell ref="K36:L36"/>
    <mergeCell ref="K37:L37"/>
    <mergeCell ref="K34:L34"/>
    <mergeCell ref="J118:K121"/>
    <mergeCell ref="K41:L42"/>
    <mergeCell ref="J71:K74"/>
    <mergeCell ref="J70:K70"/>
    <mergeCell ref="B64:L65"/>
    <mergeCell ref="K45:L45"/>
    <mergeCell ref="K46:L46"/>
    <mergeCell ref="K47:L47"/>
    <mergeCell ref="G41:G42"/>
    <mergeCell ref="B41:B42"/>
    <mergeCell ref="C41:C42"/>
    <mergeCell ref="C43:C47"/>
    <mergeCell ref="G43:G47"/>
    <mergeCell ref="K43:L43"/>
    <mergeCell ref="K44:L44"/>
    <mergeCell ref="E41:E42"/>
    <mergeCell ref="H125:J125"/>
    <mergeCell ref="C123:G123"/>
    <mergeCell ref="H123:J123"/>
    <mergeCell ref="D125:G125"/>
    <mergeCell ref="H124:J124"/>
    <mergeCell ref="D124:G124"/>
    <mergeCell ref="K14:L14"/>
    <mergeCell ref="K15:L15"/>
    <mergeCell ref="K16:L16"/>
    <mergeCell ref="C24:G24"/>
    <mergeCell ref="H24:I24"/>
    <mergeCell ref="J24:K24"/>
    <mergeCell ref="C34:C38"/>
    <mergeCell ref="G34:G38"/>
    <mergeCell ref="G32:G33"/>
    <mergeCell ref="E32:E33"/>
    <mergeCell ref="A1:L1"/>
    <mergeCell ref="A2:L2"/>
    <mergeCell ref="B32:B33"/>
    <mergeCell ref="C32:C33"/>
    <mergeCell ref="D32:D33"/>
    <mergeCell ref="F32:F33"/>
    <mergeCell ref="K32:L33"/>
    <mergeCell ref="H32:I33"/>
    <mergeCell ref="W20:AE20"/>
    <mergeCell ref="W21:AE21"/>
    <mergeCell ref="W22:AE22"/>
    <mergeCell ref="W25:AC25"/>
    <mergeCell ref="N43:N47"/>
  </mergeCells>
  <pageMargins left="0.70866141732283472" right="0.70866141732283472" top="0.55118110236220474" bottom="0.74803149606299213" header="0.31496062992125984" footer="0.31496062992125984"/>
  <pageSetup paperSize="9" scale="54" orientation="portrait" horizontalDpi="4294967293" verticalDpi="4294967293" r:id="rId1"/>
  <headerFooter>
    <oddHeader>&amp;R&amp;"Calibri,Regular"&amp;8KL. 023-18</oddHeader>
    <oddFooter>&amp;R&amp;K00-046ESU 12.3.2022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DBE62E1-54E2-4D0E-8A23-66A15748B3E1}">
            <x14:iconSet iconSet="3Symbols2" custom="1">
              <x14:cfvo type="percent">
                <xm:f>0</xm:f>
              </x14:cfvo>
              <x14:cfvo type="num">
                <xm:f>70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J118:K121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AD101"/>
  <sheetViews>
    <sheetView view="pageBreakPreview" zoomScale="90" zoomScaleNormal="55" zoomScaleSheetLayoutView="90" zoomScalePageLayoutView="75" workbookViewId="0">
      <selection activeCell="E9" sqref="E9"/>
    </sheetView>
  </sheetViews>
  <sheetFormatPr defaultRowHeight="13"/>
  <cols>
    <col min="1" max="1" width="3.81640625" style="838" customWidth="1"/>
    <col min="2" max="2" width="5.54296875" style="838" customWidth="1"/>
    <col min="3" max="3" width="17.26953125" style="838" customWidth="1"/>
    <col min="4" max="4" width="1.81640625" style="865" customWidth="1"/>
    <col min="5" max="8" width="16.7265625" style="838" customWidth="1"/>
    <col min="9" max="9" width="9.453125" style="838" customWidth="1"/>
    <col min="10" max="10" width="5.81640625" style="838" customWidth="1"/>
    <col min="11" max="11" width="7.453125" style="838" customWidth="1"/>
    <col min="12" max="12" width="8.26953125" style="838" customWidth="1"/>
    <col min="13" max="13" width="8.81640625" style="865" customWidth="1"/>
    <col min="14" max="14" width="10.7265625" style="865" customWidth="1"/>
    <col min="15" max="15" width="7.81640625" style="865" customWidth="1"/>
    <col min="16" max="17" width="8.7265625" style="838"/>
    <col min="18" max="19" width="10.1796875" style="838" bestFit="1" customWidth="1"/>
    <col min="20" max="16384" width="8.7265625" style="838"/>
  </cols>
  <sheetData>
    <row r="1" spans="1:16" ht="18.5">
      <c r="A1" s="1135" t="str">
        <f>'Penyelia Kalibrasi'!A1</f>
        <v>HASIL KALIBRASI ELEKTROSURGERY UNIT</v>
      </c>
      <c r="B1" s="1135"/>
      <c r="C1" s="1135"/>
      <c r="D1" s="1135"/>
      <c r="E1" s="1135"/>
      <c r="F1" s="1135"/>
      <c r="G1" s="1135"/>
      <c r="H1" s="1135"/>
      <c r="I1" s="1135"/>
      <c r="J1" s="1135"/>
      <c r="K1" s="1135"/>
      <c r="L1" s="1135"/>
      <c r="M1" s="837"/>
      <c r="N1" s="837"/>
      <c r="O1" s="837"/>
    </row>
    <row r="2" spans="1:16" ht="17">
      <c r="A2" s="1136" t="str">
        <f>'Penyelia Kalibrasi'!A2</f>
        <v>Nomor Sertifikat : 22 / 2 / I - 22 / E - 002.3 DL</v>
      </c>
      <c r="B2" s="1136"/>
      <c r="C2" s="1136"/>
      <c r="D2" s="1136"/>
      <c r="E2" s="1136"/>
      <c r="F2" s="1136"/>
      <c r="G2" s="1136"/>
      <c r="H2" s="1136"/>
      <c r="I2" s="1136"/>
      <c r="J2" s="1136"/>
      <c r="K2" s="1136"/>
      <c r="L2" s="1136"/>
      <c r="M2" s="839"/>
      <c r="N2" s="839"/>
      <c r="O2" s="839"/>
    </row>
    <row r="3" spans="1:16" ht="14.5">
      <c r="B3" s="689"/>
      <c r="C3" s="689"/>
      <c r="D3" s="840"/>
      <c r="E3" s="689"/>
      <c r="F3" s="689"/>
      <c r="G3" s="689"/>
      <c r="H3" s="689"/>
      <c r="J3" s="689"/>
      <c r="K3" s="689"/>
      <c r="L3" s="689"/>
      <c r="M3" s="840"/>
      <c r="N3" s="840"/>
      <c r="O3" s="840"/>
    </row>
    <row r="4" spans="1:16" ht="14.5">
      <c r="A4" s="689" t="str">
        <f>'Penyelia Kalibrasi'!A4</f>
        <v>Merek</v>
      </c>
      <c r="B4" s="689"/>
      <c r="D4" s="840" t="s">
        <v>21</v>
      </c>
      <c r="E4" s="756" t="str">
        <f>ID!F4</f>
        <v>ZERONE</v>
      </c>
      <c r="G4" s="756"/>
      <c r="H4" s="756"/>
      <c r="J4" s="756"/>
      <c r="K4" s="757"/>
      <c r="L4" s="689"/>
      <c r="M4" s="840"/>
      <c r="N4" s="840"/>
      <c r="O4" s="840"/>
      <c r="P4" s="841" t="s">
        <v>214</v>
      </c>
    </row>
    <row r="5" spans="1:16" ht="14.5">
      <c r="A5" s="689" t="str">
        <f>'Penyelia Kalibrasi'!A5</f>
        <v>Model/Type</v>
      </c>
      <c r="B5" s="689"/>
      <c r="D5" s="840" t="s">
        <v>21</v>
      </c>
      <c r="E5" s="756" t="str">
        <f>ID!F5</f>
        <v>DOCTANZ 400</v>
      </c>
      <c r="G5" s="756"/>
      <c r="H5" s="756"/>
      <c r="J5" s="756"/>
      <c r="K5" s="757"/>
      <c r="L5" s="689"/>
      <c r="M5" s="840"/>
      <c r="N5" s="840"/>
      <c r="O5" s="840"/>
      <c r="P5" s="842"/>
    </row>
    <row r="6" spans="1:16" ht="14.5">
      <c r="A6" s="689" t="str">
        <f>'Penyelia Kalibrasi'!A6</f>
        <v>No. Seri</v>
      </c>
      <c r="B6" s="689"/>
      <c r="D6" s="840" t="s">
        <v>21</v>
      </c>
      <c r="E6" s="756" t="str">
        <f>ID!F6</f>
        <v>ZA0A13O3010</v>
      </c>
      <c r="G6" s="756"/>
      <c r="H6" s="756"/>
      <c r="J6" s="756"/>
      <c r="K6" s="757"/>
      <c r="L6" s="689"/>
      <c r="M6" s="840"/>
      <c r="N6" s="840"/>
      <c r="O6" s="840"/>
      <c r="P6" s="701"/>
    </row>
    <row r="7" spans="1:16" ht="15" customHeight="1">
      <c r="A7" s="689" t="str">
        <f>'Penyelia Kalibrasi'!A7</f>
        <v>Resolusi</v>
      </c>
      <c r="B7" s="689"/>
      <c r="D7" s="840" t="s">
        <v>21</v>
      </c>
      <c r="E7" s="917">
        <f>ID!F7</f>
        <v>1</v>
      </c>
      <c r="G7" s="756"/>
      <c r="H7" s="756"/>
      <c r="J7" s="756"/>
      <c r="K7" s="757"/>
      <c r="L7" s="689"/>
      <c r="M7" s="840"/>
      <c r="N7" s="840"/>
      <c r="O7" s="840"/>
      <c r="P7" s="701"/>
    </row>
    <row r="8" spans="1:16" ht="14.5">
      <c r="A8" s="689" t="str">
        <f>'Penyelia Kalibrasi'!A8</f>
        <v>Tanggal Penerimaan Alat</v>
      </c>
      <c r="B8" s="689"/>
      <c r="D8" s="840" t="s">
        <v>21</v>
      </c>
      <c r="E8" s="756" t="str">
        <f>ID!F8</f>
        <v>12 Januari 2022</v>
      </c>
      <c r="G8" s="756"/>
      <c r="H8" s="756"/>
      <c r="J8" s="756"/>
      <c r="K8" s="757"/>
      <c r="L8" s="689"/>
      <c r="M8" s="840"/>
      <c r="N8" s="840"/>
      <c r="O8" s="840"/>
      <c r="P8" s="701"/>
    </row>
    <row r="9" spans="1:16" ht="14.5">
      <c r="A9" s="689" t="str">
        <f>'Penyelia Kalibrasi'!A9</f>
        <v>Tanggal Kalibrasi</v>
      </c>
      <c r="B9" s="689"/>
      <c r="D9" s="840" t="s">
        <v>21</v>
      </c>
      <c r="E9" s="756" t="str">
        <f>ID!F9</f>
        <v>12 Januari 2022</v>
      </c>
      <c r="G9" s="756"/>
      <c r="H9" s="756"/>
      <c r="J9" s="756"/>
      <c r="K9" s="757"/>
      <c r="L9" s="689"/>
      <c r="M9" s="840"/>
      <c r="N9" s="840"/>
      <c r="O9" s="840"/>
      <c r="P9" s="701"/>
    </row>
    <row r="10" spans="1:16" ht="14.5">
      <c r="A10" s="689" t="str">
        <f>'Penyelia Kalibrasi'!A10</f>
        <v>Tempat Kalibrasi</v>
      </c>
      <c r="B10" s="689"/>
      <c r="D10" s="840" t="s">
        <v>21</v>
      </c>
      <c r="E10" s="756" t="str">
        <f>ID!F10</f>
        <v>OK 2</v>
      </c>
      <c r="G10" s="756"/>
      <c r="H10" s="756"/>
      <c r="J10" s="756"/>
      <c r="K10" s="757"/>
      <c r="L10" s="689"/>
      <c r="M10" s="840"/>
      <c r="N10" s="840"/>
      <c r="O10" s="840"/>
      <c r="P10" s="701"/>
    </row>
    <row r="11" spans="1:16" ht="14.5">
      <c r="A11" s="689" t="str">
        <f>'Penyelia Kalibrasi'!A11</f>
        <v>Nama Ruang</v>
      </c>
      <c r="B11" s="689"/>
      <c r="D11" s="840" t="s">
        <v>21</v>
      </c>
      <c r="E11" s="756" t="str">
        <f>ID!F11</f>
        <v>OK 2</v>
      </c>
      <c r="G11" s="756"/>
      <c r="H11" s="756"/>
      <c r="J11" s="756"/>
      <c r="K11" s="757"/>
      <c r="L11" s="689"/>
      <c r="M11" s="840"/>
      <c r="N11" s="840"/>
      <c r="O11" s="840"/>
      <c r="P11" s="701"/>
    </row>
    <row r="12" spans="1:16" ht="14.5">
      <c r="A12" s="689" t="str">
        <f>'Penyelia Kalibrasi'!A12</f>
        <v>Metode Kerja</v>
      </c>
      <c r="B12" s="689"/>
      <c r="D12" s="840" t="s">
        <v>21</v>
      </c>
      <c r="E12" s="756" t="str">
        <f>ID!F12</f>
        <v>MK.23-18</v>
      </c>
      <c r="G12" s="756"/>
      <c r="H12" s="756"/>
      <c r="J12" s="756"/>
      <c r="K12" s="689"/>
      <c r="L12" s="689"/>
      <c r="M12" s="840"/>
      <c r="N12" s="840"/>
      <c r="O12" s="840"/>
    </row>
    <row r="13" spans="1:16" ht="14.5">
      <c r="B13" s="689"/>
      <c r="C13" s="689"/>
      <c r="D13" s="840"/>
      <c r="E13" s="689"/>
      <c r="F13" s="756"/>
      <c r="G13" s="689"/>
      <c r="H13" s="689"/>
      <c r="J13" s="689"/>
      <c r="K13" s="689"/>
      <c r="L13" s="689"/>
      <c r="M13" s="840"/>
      <c r="N13" s="840"/>
      <c r="O13" s="840"/>
    </row>
    <row r="14" spans="1:16" ht="14.5">
      <c r="A14" s="761" t="s">
        <v>31</v>
      </c>
      <c r="B14" s="761" t="s">
        <v>32</v>
      </c>
      <c r="C14" s="689"/>
      <c r="D14" s="840"/>
      <c r="E14" s="756"/>
      <c r="G14" s="689"/>
      <c r="H14" s="689"/>
      <c r="J14" s="843"/>
      <c r="K14" s="843"/>
      <c r="L14" s="843"/>
      <c r="M14" s="840"/>
      <c r="N14" s="840"/>
      <c r="O14" s="840"/>
    </row>
    <row r="15" spans="1:16" ht="14.5">
      <c r="A15" s="689"/>
      <c r="B15" s="689" t="s">
        <v>35</v>
      </c>
      <c r="D15" s="840" t="s">
        <v>21</v>
      </c>
      <c r="E15" s="770" t="str">
        <f>'DB Thermohygro '!M357</f>
        <v>22.9</v>
      </c>
      <c r="F15" s="922" t="str">
        <f>'DB Thermohygro '!N357</f>
        <v>0.3</v>
      </c>
      <c r="G15" s="844"/>
      <c r="H15" s="845"/>
      <c r="J15" s="756"/>
      <c r="K15" s="756"/>
      <c r="L15" s="846"/>
      <c r="M15" s="840"/>
      <c r="N15" s="840"/>
      <c r="O15" s="840"/>
    </row>
    <row r="16" spans="1:16" ht="14.5">
      <c r="A16" s="689"/>
      <c r="B16" s="689" t="s">
        <v>117</v>
      </c>
      <c r="D16" s="840" t="s">
        <v>21</v>
      </c>
      <c r="E16" s="770" t="str">
        <f>'DB Thermohygro '!M358</f>
        <v>66.4</v>
      </c>
      <c r="F16" s="922" t="str">
        <f>'DB Thermohygro '!N358</f>
        <v>2.6</v>
      </c>
      <c r="G16" s="844"/>
      <c r="H16" s="845"/>
      <c r="J16" s="756"/>
      <c r="K16" s="756"/>
      <c r="L16" s="846"/>
      <c r="M16" s="840"/>
      <c r="N16" s="840"/>
      <c r="O16" s="840"/>
    </row>
    <row r="17" spans="1:30" ht="14.5">
      <c r="A17" s="689"/>
      <c r="B17" s="689" t="s">
        <v>39</v>
      </c>
      <c r="D17" s="840" t="s">
        <v>21</v>
      </c>
      <c r="E17" s="925" t="str">
        <f>TEXT('DB Kelistrikan '!P137,"0.0")</f>
        <v>226.1</v>
      </c>
      <c r="F17" s="926" t="str">
        <f>TEXT('DB Kelistrikan '!P143,"0.0")</f>
        <v>2.7</v>
      </c>
      <c r="G17" s="847"/>
      <c r="H17" s="844"/>
      <c r="J17" s="689"/>
      <c r="K17" s="689"/>
      <c r="L17" s="689"/>
      <c r="M17" s="840"/>
      <c r="N17" s="840"/>
      <c r="O17" s="840"/>
    </row>
    <row r="18" spans="1:30" ht="15.5">
      <c r="A18" s="689"/>
      <c r="B18" s="689"/>
      <c r="C18" s="689"/>
      <c r="D18" s="840"/>
      <c r="E18" s="770"/>
      <c r="G18" s="689"/>
      <c r="H18" s="689"/>
      <c r="J18" s="709"/>
      <c r="K18" s="709"/>
      <c r="L18" s="846"/>
      <c r="M18" s="840"/>
      <c r="N18" s="840"/>
      <c r="O18" s="848"/>
    </row>
    <row r="19" spans="1:30" ht="14.5">
      <c r="A19" s="761" t="s">
        <v>41</v>
      </c>
      <c r="B19" s="761" t="s">
        <v>42</v>
      </c>
      <c r="C19" s="689"/>
      <c r="D19" s="840"/>
      <c r="E19" s="756"/>
      <c r="G19" s="689"/>
      <c r="H19" s="689"/>
      <c r="J19" s="689"/>
      <c r="K19" s="689"/>
      <c r="L19" s="689"/>
      <c r="M19" s="840"/>
      <c r="N19" s="840"/>
      <c r="O19" s="701"/>
    </row>
    <row r="20" spans="1:30" ht="14.5">
      <c r="A20" s="689"/>
      <c r="B20" s="689" t="s">
        <v>43</v>
      </c>
      <c r="D20" s="840" t="s">
        <v>21</v>
      </c>
      <c r="E20" s="771" t="str">
        <f>ID!F20</f>
        <v>Baik</v>
      </c>
      <c r="G20" s="756"/>
      <c r="H20" s="756"/>
      <c r="J20" s="756"/>
      <c r="K20" s="689"/>
      <c r="L20" s="689"/>
      <c r="M20" s="840"/>
      <c r="N20" s="840"/>
      <c r="O20" s="849"/>
    </row>
    <row r="21" spans="1:30" ht="14.5">
      <c r="A21" s="689"/>
      <c r="B21" s="689" t="s">
        <v>46</v>
      </c>
      <c r="D21" s="840" t="s">
        <v>21</v>
      </c>
      <c r="E21" s="771" t="str">
        <f>ID!F21</f>
        <v>Baik</v>
      </c>
      <c r="G21" s="756"/>
      <c r="H21" s="756"/>
      <c r="J21" s="756"/>
      <c r="K21" s="689"/>
      <c r="L21" s="689"/>
      <c r="M21" s="840"/>
      <c r="N21" s="840"/>
      <c r="O21" s="849"/>
    </row>
    <row r="22" spans="1:30" ht="14.5">
      <c r="B22" s="761"/>
      <c r="C22" s="761"/>
      <c r="D22" s="840"/>
      <c r="E22" s="689"/>
      <c r="F22" s="689"/>
      <c r="G22" s="689"/>
      <c r="H22" s="689"/>
      <c r="J22" s="689"/>
      <c r="K22" s="689"/>
      <c r="L22" s="689"/>
      <c r="M22" s="840"/>
      <c r="N22" s="840"/>
      <c r="O22" s="850"/>
    </row>
    <row r="23" spans="1:30" ht="14.5">
      <c r="A23" s="761" t="s">
        <v>47</v>
      </c>
      <c r="B23" s="761" t="s">
        <v>303</v>
      </c>
      <c r="D23" s="851"/>
      <c r="E23" s="689"/>
      <c r="F23" s="689"/>
      <c r="G23" s="689"/>
      <c r="H23" s="689"/>
      <c r="J23" s="689"/>
      <c r="K23" s="689"/>
      <c r="L23" s="852"/>
      <c r="M23" s="851"/>
      <c r="N23" s="851"/>
      <c r="O23" s="840"/>
    </row>
    <row r="24" spans="1:30" s="853" customFormat="1" ht="30" customHeight="1">
      <c r="B24" s="854" t="s">
        <v>49</v>
      </c>
      <c r="C24" s="1125" t="s">
        <v>123</v>
      </c>
      <c r="D24" s="1128"/>
      <c r="E24" s="1128"/>
      <c r="F24" s="1128"/>
      <c r="G24" s="1128"/>
      <c r="H24" s="1126"/>
      <c r="I24" s="1127" t="s">
        <v>124</v>
      </c>
      <c r="J24" s="1127"/>
      <c r="K24" s="1125" t="s">
        <v>125</v>
      </c>
      <c r="L24" s="1126"/>
      <c r="M24" s="855"/>
      <c r="N24" s="856"/>
      <c r="O24" s="857"/>
    </row>
    <row r="25" spans="1:30" ht="14.5">
      <c r="B25" s="858">
        <v>1</v>
      </c>
      <c r="C25" s="859" t="str">
        <f>'Penyelia Kalibrasi'!C25</f>
        <v>Resistansi Isolasi</v>
      </c>
      <c r="D25" s="860"/>
      <c r="E25" s="860"/>
      <c r="F25" s="860"/>
      <c r="G25" s="860"/>
      <c r="H25" s="861"/>
      <c r="I25" s="772">
        <f>'Penyelia Kalibrasi'!H25</f>
        <v>2.0000005571428572</v>
      </c>
      <c r="J25" s="862" t="str">
        <f>'Penyelia Kalibrasi'!I25</f>
        <v>MΩ</v>
      </c>
      <c r="K25" s="863">
        <f>'Penyelia Kalibrasi'!J25</f>
        <v>2</v>
      </c>
      <c r="L25" s="864" t="str">
        <f>'Penyelia Kalibrasi'!K25</f>
        <v>M Ω</v>
      </c>
      <c r="M25" s="840"/>
      <c r="O25" s="849"/>
    </row>
    <row r="26" spans="1:30" ht="14">
      <c r="B26" s="858">
        <v>2</v>
      </c>
      <c r="C26" s="859" t="str">
        <f>'Penyelia Kalibrasi'!C26</f>
        <v>Resistansi Pembumian Protektif</v>
      </c>
      <c r="D26" s="860"/>
      <c r="E26" s="860"/>
      <c r="F26" s="860"/>
      <c r="G26" s="860"/>
      <c r="H26" s="861"/>
      <c r="I26" s="773">
        <f>'Penyelia Kalibrasi'!H26</f>
        <v>0.22866740670119501</v>
      </c>
      <c r="J26" s="862" t="str">
        <f>'Penyelia Kalibrasi'!I26</f>
        <v>Ω</v>
      </c>
      <c r="K26" s="866">
        <f>'Penyelia Kalibrasi'!J26</f>
        <v>0.2</v>
      </c>
      <c r="L26" s="864" t="str">
        <f>'Penyelia Kalibrasi'!K26</f>
        <v>Ω</v>
      </c>
      <c r="O26" s="849"/>
    </row>
    <row r="27" spans="1:30" ht="14">
      <c r="B27" s="858">
        <v>3</v>
      </c>
      <c r="C27" s="859" t="str">
        <f>'Penyelia Kalibrasi'!C27</f>
        <v>Arus bocor peralatan untuk peralatan elektromedik kelas I</v>
      </c>
      <c r="D27" s="860"/>
      <c r="E27" s="860"/>
      <c r="F27" s="860"/>
      <c r="G27" s="860"/>
      <c r="H27" s="861"/>
      <c r="I27" s="774">
        <f>'Penyelia Kalibrasi'!H27</f>
        <v>567.54076366591801</v>
      </c>
      <c r="J27" s="862" t="str">
        <f>'Penyelia Kalibrasi'!I27</f>
        <v>µA</v>
      </c>
      <c r="K27" s="867">
        <f>'Penyelia Kalibrasi'!J27</f>
        <v>500</v>
      </c>
      <c r="L27" s="864" t="str">
        <f>'Penyelia Kalibrasi'!K27</f>
        <v>µA</v>
      </c>
      <c r="O27" s="849"/>
    </row>
    <row r="28" spans="1:30" ht="14.5">
      <c r="B28" s="858">
        <v>4</v>
      </c>
      <c r="C28" s="859" t="str">
        <f>'Penyelia Kalibrasi'!C28</f>
        <v>Arus bocor peralatan yang diaplikasikan</v>
      </c>
      <c r="D28" s="860"/>
      <c r="E28" s="860"/>
      <c r="F28" s="860"/>
      <c r="G28" s="860"/>
      <c r="H28" s="861"/>
      <c r="I28" s="774">
        <f>'Penyelia Kalibrasi'!H28</f>
        <v>26.431589329814717</v>
      </c>
      <c r="J28" s="862" t="str">
        <f>'Penyelia Kalibrasi'!I28</f>
        <v>µA</v>
      </c>
      <c r="K28" s="867">
        <f>'Penyelia Kalibrasi'!J28</f>
        <v>50</v>
      </c>
      <c r="L28" s="864" t="str">
        <f>'Penyelia Kalibrasi'!K28</f>
        <v>µA</v>
      </c>
      <c r="M28" s="840"/>
      <c r="O28" s="849"/>
    </row>
    <row r="29" spans="1:30" ht="15" customHeight="1">
      <c r="B29" s="761"/>
      <c r="C29" s="761"/>
      <c r="D29" s="840"/>
      <c r="E29" s="689"/>
      <c r="F29" s="689"/>
      <c r="G29" s="689"/>
      <c r="H29" s="689"/>
      <c r="J29" s="689"/>
      <c r="K29" s="689"/>
      <c r="L29" s="689"/>
      <c r="M29" s="840"/>
      <c r="N29" s="840"/>
      <c r="O29" s="850"/>
    </row>
    <row r="30" spans="1:30" ht="14.5">
      <c r="A30" s="761" t="s">
        <v>71</v>
      </c>
      <c r="B30" s="761" t="str">
        <f>ID!B30</f>
        <v xml:space="preserve">Pengujian Kinerja </v>
      </c>
      <c r="D30" s="840"/>
      <c r="E30" s="761"/>
      <c r="F30" s="761"/>
      <c r="G30" s="689"/>
      <c r="H30" s="689"/>
      <c r="J30" s="689"/>
      <c r="K30" s="689"/>
      <c r="L30" s="689"/>
      <c r="M30" s="840"/>
      <c r="N30" s="840"/>
      <c r="O30" s="840"/>
    </row>
    <row r="31" spans="1:30" ht="20.25" customHeight="1">
      <c r="B31" s="868" t="s">
        <v>304</v>
      </c>
      <c r="D31" s="840"/>
      <c r="E31" s="761"/>
      <c r="F31" s="761"/>
      <c r="G31" s="689"/>
      <c r="H31" s="689"/>
      <c r="J31" s="689"/>
      <c r="K31" s="689"/>
      <c r="L31" s="689"/>
      <c r="M31" s="840"/>
      <c r="N31" s="840"/>
      <c r="O31" s="840"/>
    </row>
    <row r="32" spans="1:30" ht="19.5" customHeight="1">
      <c r="A32" s="869"/>
      <c r="B32" s="761" t="str">
        <f>ID!B41</f>
        <v>a. Kalibrasi Daya Keluaran Cutting</v>
      </c>
      <c r="E32" s="761"/>
      <c r="F32" s="761"/>
      <c r="G32" s="689"/>
      <c r="H32" s="689"/>
      <c r="I32" s="870"/>
      <c r="J32" s="689"/>
      <c r="K32" s="689"/>
      <c r="L32" s="756"/>
      <c r="M32" s="871"/>
      <c r="R32" s="872"/>
      <c r="S32" s="873"/>
      <c r="Z32" s="874"/>
      <c r="AA32" s="869"/>
      <c r="AB32" s="875"/>
      <c r="AC32" s="875"/>
      <c r="AD32" s="875"/>
    </row>
    <row r="33" spans="1:30" s="853" customFormat="1" ht="24" customHeight="1">
      <c r="A33" s="876"/>
      <c r="B33" s="877" t="s">
        <v>0</v>
      </c>
      <c r="C33" s="1144" t="s">
        <v>50</v>
      </c>
      <c r="D33" s="1145"/>
      <c r="E33" s="1129" t="s">
        <v>143</v>
      </c>
      <c r="F33" s="1129" t="s">
        <v>74</v>
      </c>
      <c r="G33" s="1131" t="s">
        <v>305</v>
      </c>
      <c r="H33" s="1131" t="s">
        <v>306</v>
      </c>
      <c r="I33" s="1134" t="s">
        <v>307</v>
      </c>
      <c r="J33" s="1134"/>
      <c r="K33" s="1138" t="s">
        <v>308</v>
      </c>
      <c r="L33" s="1139"/>
      <c r="N33" s="856"/>
      <c r="Q33" s="878"/>
      <c r="R33" s="879"/>
      <c r="Y33" s="880"/>
      <c r="Z33" s="881"/>
      <c r="AA33" s="881"/>
      <c r="AB33" s="876"/>
      <c r="AC33" s="876"/>
    </row>
    <row r="34" spans="1:30" s="853" customFormat="1" ht="21.75" customHeight="1">
      <c r="A34" s="876"/>
      <c r="B34" s="882"/>
      <c r="C34" s="1146"/>
      <c r="D34" s="1147"/>
      <c r="E34" s="1130"/>
      <c r="F34" s="1130"/>
      <c r="G34" s="1132"/>
      <c r="H34" s="1132"/>
      <c r="I34" s="1134"/>
      <c r="J34" s="1134"/>
      <c r="K34" s="1140"/>
      <c r="L34" s="1141"/>
      <c r="N34" s="856"/>
      <c r="Q34" s="878"/>
      <c r="R34" s="879"/>
      <c r="Y34" s="880"/>
      <c r="Z34" s="881"/>
      <c r="AA34" s="881"/>
      <c r="AB34" s="876"/>
      <c r="AC34" s="876"/>
    </row>
    <row r="35" spans="1:30" s="745" customFormat="1" ht="15" customHeight="1">
      <c r="A35" s="883"/>
      <c r="B35" s="884">
        <v>1</v>
      </c>
      <c r="C35" s="1148" t="str">
        <f>ID!C44</f>
        <v>Daya Keluaran Cutting 
( W )</v>
      </c>
      <c r="D35" s="1149"/>
      <c r="E35" s="884">
        <f>'Penyelia Kalibrasi'!D34</f>
        <v>20</v>
      </c>
      <c r="F35" s="775">
        <f>IFERROR('Penyelia Kalibrasi'!E34,"-")</f>
        <v>20.00001</v>
      </c>
      <c r="G35" s="776">
        <f>IFERROR((F35-E35),"-")</f>
        <v>9.9999999996214228E-6</v>
      </c>
      <c r="H35" s="775">
        <f>IFERROR('Penyelia Kalibrasi'!F34,"-")</f>
        <v>4.9999974998119621E-5</v>
      </c>
      <c r="I35" s="1133" t="s">
        <v>422</v>
      </c>
      <c r="J35" s="1133"/>
      <c r="K35" s="885" t="str">
        <f>'Penyelia Kalibrasi'!H34</f>
        <v>±</v>
      </c>
      <c r="L35" s="777">
        <f>IFERROR('Penyelia Kalibrasi'!I34,"-")</f>
        <v>2.8991345780318896</v>
      </c>
      <c r="M35" s="886"/>
      <c r="N35" s="887"/>
      <c r="Q35" s="888"/>
      <c r="R35" s="873"/>
      <c r="Y35" s="889"/>
      <c r="Z35" s="890"/>
      <c r="AA35" s="890"/>
      <c r="AB35" s="883"/>
      <c r="AC35" s="883"/>
    </row>
    <row r="36" spans="1:30" s="745" customFormat="1" ht="15" customHeight="1">
      <c r="A36" s="883"/>
      <c r="B36" s="884">
        <v>2</v>
      </c>
      <c r="C36" s="1150"/>
      <c r="D36" s="1151"/>
      <c r="E36" s="884">
        <f>'Penyelia Kalibrasi'!D35</f>
        <v>50</v>
      </c>
      <c r="F36" s="775">
        <f>IFERROR('Penyelia Kalibrasi'!E35,"-")</f>
        <v>50.000010000000003</v>
      </c>
      <c r="G36" s="776">
        <f t="shared" ref="G36:G39" si="0">IFERROR((F36-E36),"-")</f>
        <v>1.0000000003174137E-5</v>
      </c>
      <c r="H36" s="775">
        <f>IFERROR('Penyelia Kalibrasi'!F35,"-")</f>
        <v>1.9999996006349072E-5</v>
      </c>
      <c r="I36" s="1133"/>
      <c r="J36" s="1133"/>
      <c r="K36" s="885" t="str">
        <f>'Penyelia Kalibrasi'!H35</f>
        <v>±</v>
      </c>
      <c r="L36" s="777">
        <f>IFERROR('Penyelia Kalibrasi'!I35,"-")</f>
        <v>1.1596538312127558</v>
      </c>
      <c r="M36" s="886"/>
      <c r="N36" s="886"/>
      <c r="Q36" s="888"/>
      <c r="R36" s="873"/>
      <c r="Y36" s="889"/>
      <c r="Z36" s="890"/>
      <c r="AA36" s="890"/>
      <c r="AB36" s="883"/>
      <c r="AC36" s="883"/>
    </row>
    <row r="37" spans="1:30" s="745" customFormat="1" ht="15" customHeight="1">
      <c r="A37" s="883"/>
      <c r="B37" s="884">
        <v>3</v>
      </c>
      <c r="C37" s="1150"/>
      <c r="D37" s="1151"/>
      <c r="E37" s="884">
        <f>'Penyelia Kalibrasi'!D36</f>
        <v>80</v>
      </c>
      <c r="F37" s="775">
        <f>IFERROR('Penyelia Kalibrasi'!E36,"-")</f>
        <v>80.000010000000003</v>
      </c>
      <c r="G37" s="776">
        <f>IFERROR((F37-E37),"-")</f>
        <v>1.0000000003174137E-5</v>
      </c>
      <c r="H37" s="775">
        <f>IFERROR('Penyelia Kalibrasi'!F36,"-")</f>
        <v>1.2499998441467865E-5</v>
      </c>
      <c r="I37" s="1133"/>
      <c r="J37" s="1133"/>
      <c r="K37" s="885" t="str">
        <f>'Penyelia Kalibrasi'!H36</f>
        <v>±</v>
      </c>
      <c r="L37" s="777">
        <f>IFERROR('Penyelia Kalibrasi'!I36,"-")</f>
        <v>0.72478364450797239</v>
      </c>
      <c r="M37" s="886"/>
      <c r="N37" s="886"/>
      <c r="Q37" s="888"/>
      <c r="R37" s="873"/>
      <c r="Y37" s="889"/>
      <c r="Z37" s="890"/>
      <c r="AA37" s="890"/>
      <c r="AB37" s="883"/>
      <c r="AC37" s="883"/>
    </row>
    <row r="38" spans="1:30" s="745" customFormat="1" ht="15" customHeight="1">
      <c r="A38" s="883"/>
      <c r="B38" s="884">
        <v>4</v>
      </c>
      <c r="C38" s="1150"/>
      <c r="D38" s="1151"/>
      <c r="E38" s="884">
        <f>'Penyelia Kalibrasi'!D37</f>
        <v>100</v>
      </c>
      <c r="F38" s="775">
        <f>IFERROR('Penyelia Kalibrasi'!E37,"-")</f>
        <v>100.00001</v>
      </c>
      <c r="G38" s="776">
        <f t="shared" si="0"/>
        <v>1.0000000003174137E-5</v>
      </c>
      <c r="H38" s="775">
        <f>IFERROR('Penyelia Kalibrasi'!F37,"-")</f>
        <v>9.9999990031742354E-6</v>
      </c>
      <c r="I38" s="1133"/>
      <c r="J38" s="1133"/>
      <c r="K38" s="885" t="str">
        <f>'Penyelia Kalibrasi'!H37</f>
        <v>±</v>
      </c>
      <c r="L38" s="777">
        <f>IFERROR('Penyelia Kalibrasi'!I37,"-")</f>
        <v>0.57982691560637789</v>
      </c>
      <c r="M38" s="886"/>
      <c r="N38" s="886"/>
      <c r="Q38" s="888"/>
      <c r="R38" s="873"/>
      <c r="Y38" s="889"/>
      <c r="Z38" s="890"/>
      <c r="AA38" s="890"/>
      <c r="AB38" s="883"/>
      <c r="AC38" s="883"/>
    </row>
    <row r="39" spans="1:30" s="745" customFormat="1" ht="15" customHeight="1">
      <c r="A39" s="883"/>
      <c r="B39" s="884">
        <v>5</v>
      </c>
      <c r="C39" s="1152"/>
      <c r="D39" s="1153"/>
      <c r="E39" s="884">
        <f>'Penyelia Kalibrasi'!D38</f>
        <v>150</v>
      </c>
      <c r="F39" s="775">
        <f>IFERROR('Penyelia Kalibrasi'!E38,"-")</f>
        <v>150.00001</v>
      </c>
      <c r="G39" s="776">
        <f t="shared" si="0"/>
        <v>1.0000000003174137E-5</v>
      </c>
      <c r="H39" s="775">
        <f>IFERROR('Penyelia Kalibrasi'!F38,"-")</f>
        <v>6.6666662243383434E-6</v>
      </c>
      <c r="I39" s="1133"/>
      <c r="J39" s="1133"/>
      <c r="K39" s="885" t="str">
        <f>'Penyelia Kalibrasi'!H38</f>
        <v>±</v>
      </c>
      <c r="L39" s="777">
        <f>IFERROR('Penyelia Kalibrasi'!I38,"-")</f>
        <v>0.38655127707091858</v>
      </c>
      <c r="M39" s="886"/>
      <c r="N39" s="886"/>
      <c r="Q39" s="888"/>
      <c r="R39" s="873"/>
      <c r="Y39" s="889"/>
      <c r="Z39" s="890"/>
      <c r="AA39" s="890"/>
      <c r="AB39" s="883"/>
      <c r="AC39" s="883"/>
    </row>
    <row r="40" spans="1:30" ht="8.25" customHeight="1">
      <c r="A40" s="869"/>
      <c r="B40" s="891"/>
      <c r="C40" s="892"/>
      <c r="E40" s="891"/>
      <c r="F40" s="893"/>
      <c r="G40" s="893"/>
      <c r="H40" s="893"/>
      <c r="I40" s="870"/>
      <c r="J40" s="894"/>
      <c r="K40" s="895"/>
      <c r="L40" s="756"/>
      <c r="M40" s="871"/>
      <c r="R40" s="872"/>
      <c r="S40" s="873"/>
      <c r="Z40" s="874"/>
      <c r="AA40" s="869"/>
      <c r="AB40" s="875"/>
      <c r="AC40" s="875"/>
      <c r="AD40" s="875"/>
    </row>
    <row r="41" spans="1:30" ht="15" customHeight="1">
      <c r="A41" s="869"/>
      <c r="B41" s="868" t="str">
        <f>ID!B52</f>
        <v>b. Kalibrasi Daya Keluaran Coagulating</v>
      </c>
      <c r="E41" s="896"/>
      <c r="F41" s="896"/>
      <c r="G41" s="896"/>
      <c r="H41" s="742"/>
      <c r="I41" s="870"/>
      <c r="J41" s="897"/>
      <c r="K41" s="898"/>
      <c r="L41" s="756"/>
      <c r="M41" s="871"/>
      <c r="R41" s="872"/>
      <c r="S41" s="873"/>
      <c r="Z41" s="874"/>
      <c r="AA41" s="869"/>
      <c r="AB41" s="875"/>
      <c r="AC41" s="875"/>
      <c r="AD41" s="875"/>
    </row>
    <row r="42" spans="1:30" s="853" customFormat="1" ht="23.25" customHeight="1">
      <c r="A42" s="876"/>
      <c r="B42" s="877" t="s">
        <v>0</v>
      </c>
      <c r="C42" s="1144" t="s">
        <v>50</v>
      </c>
      <c r="D42" s="1145"/>
      <c r="E42" s="1129" t="s">
        <v>143</v>
      </c>
      <c r="F42" s="1129" t="s">
        <v>74</v>
      </c>
      <c r="G42" s="1131" t="s">
        <v>305</v>
      </c>
      <c r="H42" s="1131" t="s">
        <v>309</v>
      </c>
      <c r="I42" s="1134" t="s">
        <v>310</v>
      </c>
      <c r="J42" s="1134"/>
      <c r="K42" s="1138" t="s">
        <v>308</v>
      </c>
      <c r="L42" s="1142"/>
      <c r="M42" s="899"/>
      <c r="N42" s="856"/>
      <c r="Q42" s="878"/>
      <c r="R42" s="879"/>
      <c r="Y42" s="880"/>
      <c r="Z42" s="881"/>
      <c r="AA42" s="881"/>
      <c r="AB42" s="876"/>
      <c r="AC42" s="876"/>
    </row>
    <row r="43" spans="1:30" s="853" customFormat="1" ht="21.75" customHeight="1">
      <c r="A43" s="876"/>
      <c r="B43" s="882"/>
      <c r="C43" s="1146"/>
      <c r="D43" s="1147"/>
      <c r="E43" s="1130"/>
      <c r="F43" s="1130"/>
      <c r="G43" s="1132"/>
      <c r="H43" s="1132"/>
      <c r="I43" s="1134"/>
      <c r="J43" s="1134"/>
      <c r="K43" s="1140"/>
      <c r="L43" s="1143"/>
      <c r="M43" s="899"/>
      <c r="N43" s="856"/>
      <c r="Q43" s="878"/>
      <c r="R43" s="879"/>
      <c r="Y43" s="880"/>
      <c r="Z43" s="881"/>
      <c r="AA43" s="881"/>
      <c r="AB43" s="876"/>
      <c r="AC43" s="876"/>
    </row>
    <row r="44" spans="1:30" ht="15" customHeight="1">
      <c r="A44" s="875"/>
      <c r="B44" s="884">
        <v>1</v>
      </c>
      <c r="C44" s="1148" t="str">
        <f>ID!C55</f>
        <v>Daya Keluaran Coagulating
( W )</v>
      </c>
      <c r="D44" s="1149"/>
      <c r="E44" s="884">
        <f>'Penyelia Kalibrasi'!D43</f>
        <v>20</v>
      </c>
      <c r="F44" s="775">
        <f>IFERROR('Penyelia Kalibrasi'!E43,"-")</f>
        <v>20.00001</v>
      </c>
      <c r="G44" s="776">
        <f>IFERROR((F44-E44),"-")</f>
        <v>9.9999999996214228E-6</v>
      </c>
      <c r="H44" s="775">
        <f>IFERROR('Penyelia Kalibrasi'!F43,"-")</f>
        <v>4.9999974998119621E-5</v>
      </c>
      <c r="I44" s="1133" t="s">
        <v>422</v>
      </c>
      <c r="J44" s="1133"/>
      <c r="K44" s="900" t="str">
        <f>'Penyelia Kalibrasi'!H43</f>
        <v>±</v>
      </c>
      <c r="L44" s="777">
        <f>IFERROR('Penyelia Kalibrasi'!I43,"-")</f>
        <v>2.8991345780318896</v>
      </c>
      <c r="O44" s="838"/>
      <c r="Q44" s="888"/>
      <c r="R44" s="873"/>
      <c r="Y44" s="874"/>
      <c r="Z44" s="869"/>
      <c r="AA44" s="869"/>
      <c r="AB44" s="875"/>
      <c r="AC44" s="875"/>
    </row>
    <row r="45" spans="1:30" ht="15" customHeight="1">
      <c r="A45" s="875"/>
      <c r="B45" s="884">
        <v>2</v>
      </c>
      <c r="C45" s="1150"/>
      <c r="D45" s="1151"/>
      <c r="E45" s="884">
        <f>'Penyelia Kalibrasi'!D44</f>
        <v>50</v>
      </c>
      <c r="F45" s="775">
        <f>IFERROR('Penyelia Kalibrasi'!E44,"-")</f>
        <v>50.000010000000003</v>
      </c>
      <c r="G45" s="776">
        <f>IFERROR((F45-E45),"-")</f>
        <v>1.0000000003174137E-5</v>
      </c>
      <c r="H45" s="775">
        <f>IFERROR('Penyelia Kalibrasi'!F44,"-")</f>
        <v>1.9999996006349072E-5</v>
      </c>
      <c r="I45" s="1133"/>
      <c r="J45" s="1133"/>
      <c r="K45" s="900" t="str">
        <f>'Penyelia Kalibrasi'!H44</f>
        <v>±</v>
      </c>
      <c r="L45" s="777">
        <f>IFERROR('Penyelia Kalibrasi'!I44,"-")</f>
        <v>1.1596538312127558</v>
      </c>
      <c r="O45" s="838"/>
      <c r="Q45" s="888"/>
      <c r="R45" s="873"/>
      <c r="Y45" s="874"/>
      <c r="Z45" s="869"/>
      <c r="AA45" s="869"/>
      <c r="AB45" s="875"/>
      <c r="AC45" s="875"/>
    </row>
    <row r="46" spans="1:30" ht="15" customHeight="1">
      <c r="A46" s="875"/>
      <c r="B46" s="884">
        <v>3</v>
      </c>
      <c r="C46" s="1150"/>
      <c r="D46" s="1151"/>
      <c r="E46" s="884">
        <f>'Penyelia Kalibrasi'!D45</f>
        <v>80</v>
      </c>
      <c r="F46" s="775">
        <f>IFERROR('Penyelia Kalibrasi'!E45,"-")</f>
        <v>80.000010000000003</v>
      </c>
      <c r="G46" s="776">
        <f>IFERROR((F46-E46),"-")</f>
        <v>1.0000000003174137E-5</v>
      </c>
      <c r="H46" s="775">
        <f>IFERROR('Penyelia Kalibrasi'!F45,"-")</f>
        <v>1.2499998441467865E-5</v>
      </c>
      <c r="I46" s="1133"/>
      <c r="J46" s="1133"/>
      <c r="K46" s="900" t="str">
        <f>'Penyelia Kalibrasi'!H45</f>
        <v>±</v>
      </c>
      <c r="L46" s="777">
        <f>IFERROR('Penyelia Kalibrasi'!I45,"-")</f>
        <v>0.72478364450797239</v>
      </c>
      <c r="O46" s="838"/>
      <c r="Q46" s="888"/>
      <c r="R46" s="873"/>
      <c r="Y46" s="874"/>
      <c r="Z46" s="869"/>
      <c r="AA46" s="869"/>
      <c r="AB46" s="875"/>
      <c r="AC46" s="875"/>
    </row>
    <row r="47" spans="1:30" ht="15" customHeight="1">
      <c r="A47" s="875"/>
      <c r="B47" s="884">
        <v>4</v>
      </c>
      <c r="C47" s="1150"/>
      <c r="D47" s="1151"/>
      <c r="E47" s="884">
        <f>'Penyelia Kalibrasi'!D46</f>
        <v>100</v>
      </c>
      <c r="F47" s="775">
        <f>IFERROR('Penyelia Kalibrasi'!E46,"-")</f>
        <v>100.00001</v>
      </c>
      <c r="G47" s="776">
        <f t="shared" ref="G47" si="1">IFERROR((F47-E47),"-")</f>
        <v>1.0000000003174137E-5</v>
      </c>
      <c r="H47" s="775">
        <f>IFERROR('Penyelia Kalibrasi'!F46,"-")</f>
        <v>9.9999990031742354E-6</v>
      </c>
      <c r="I47" s="1133"/>
      <c r="J47" s="1133"/>
      <c r="K47" s="900" t="str">
        <f>'Penyelia Kalibrasi'!H46</f>
        <v>±</v>
      </c>
      <c r="L47" s="777">
        <f>IFERROR('Penyelia Kalibrasi'!I46,"-")</f>
        <v>0.57982691560637789</v>
      </c>
      <c r="O47" s="838"/>
      <c r="Q47" s="888"/>
      <c r="R47" s="873"/>
      <c r="Y47" s="874"/>
      <c r="Z47" s="869"/>
      <c r="AA47" s="869"/>
      <c r="AB47" s="875"/>
      <c r="AC47" s="875"/>
    </row>
    <row r="48" spans="1:30" ht="15" customHeight="1">
      <c r="A48" s="875"/>
      <c r="B48" s="884">
        <v>5</v>
      </c>
      <c r="C48" s="1152"/>
      <c r="D48" s="1153"/>
      <c r="E48" s="884">
        <f>'Penyelia Kalibrasi'!D47</f>
        <v>150</v>
      </c>
      <c r="F48" s="775">
        <f>IFERROR('Penyelia Kalibrasi'!E47,"-")</f>
        <v>150.00001</v>
      </c>
      <c r="G48" s="776">
        <f>IFERROR((F48-E48),"-")</f>
        <v>1.0000000003174137E-5</v>
      </c>
      <c r="H48" s="775">
        <f>IFERROR('Penyelia Kalibrasi'!F47,"-")</f>
        <v>6.6666662243383434E-6</v>
      </c>
      <c r="I48" s="1133"/>
      <c r="J48" s="1133"/>
      <c r="K48" s="900" t="str">
        <f>'Penyelia Kalibrasi'!H47</f>
        <v>±</v>
      </c>
      <c r="L48" s="777">
        <f>IFERROR('Penyelia Kalibrasi'!I47,"-")</f>
        <v>0.38655127707091858</v>
      </c>
      <c r="O48" s="838"/>
      <c r="Q48" s="888"/>
      <c r="R48" s="873"/>
      <c r="Y48" s="874"/>
      <c r="Z48" s="869"/>
      <c r="AA48" s="869"/>
      <c r="AB48" s="875"/>
      <c r="AC48" s="875"/>
    </row>
    <row r="49" spans="1:15" ht="15" customHeight="1">
      <c r="B49" s="756"/>
      <c r="C49" s="756"/>
      <c r="D49" s="901"/>
      <c r="E49" s="896"/>
      <c r="F49" s="896"/>
      <c r="G49" s="896"/>
      <c r="H49" s="896"/>
      <c r="J49" s="896"/>
      <c r="K49" s="896"/>
      <c r="L49" s="896"/>
      <c r="M49" s="902"/>
      <c r="N49" s="903"/>
      <c r="O49" s="902"/>
    </row>
    <row r="50" spans="1:15" ht="14.5">
      <c r="A50" s="702" t="s">
        <v>85</v>
      </c>
      <c r="B50" s="702" t="s">
        <v>150</v>
      </c>
      <c r="C50" s="739"/>
      <c r="D50" s="904"/>
      <c r="E50" s="739"/>
      <c r="F50" s="739"/>
      <c r="G50" s="739"/>
      <c r="H50" s="739"/>
      <c r="I50" s="905"/>
      <c r="J50" s="739"/>
      <c r="K50" s="739"/>
      <c r="L50" s="905"/>
      <c r="M50" s="902"/>
      <c r="N50" s="903"/>
      <c r="O50" s="902"/>
    </row>
    <row r="51" spans="1:15" ht="14.5">
      <c r="A51" s="688"/>
      <c r="B51" s="906" t="str">
        <f>'Penyelia Kalibrasi'!B50</f>
        <v>Ketidakpastian pengukuran dilaporkan pada tingkat kepercayaan 95 % dengan faktor cakupan k = 2</v>
      </c>
      <c r="C51" s="688"/>
      <c r="D51" s="907"/>
      <c r="E51" s="688"/>
      <c r="F51" s="688"/>
      <c r="G51" s="688"/>
      <c r="H51" s="688"/>
      <c r="I51" s="905"/>
      <c r="J51" s="688"/>
      <c r="K51" s="688"/>
      <c r="L51" s="905"/>
      <c r="M51" s="840"/>
      <c r="N51" s="840"/>
      <c r="O51" s="908"/>
    </row>
    <row r="52" spans="1:15" ht="14.5">
      <c r="A52" s="688"/>
      <c r="B52" s="906" t="str">
        <f>'Penyelia Kalibrasi'!B51</f>
        <v>Hasil pengukuran keselamatan listrik tertelusur ke Satuan Internasional ( SI ) melalui PT. Kaliman</v>
      </c>
      <c r="C52" s="688"/>
      <c r="D52" s="907"/>
      <c r="E52" s="688"/>
      <c r="F52" s="688"/>
      <c r="G52" s="688"/>
      <c r="H52" s="688"/>
      <c r="I52" s="905"/>
      <c r="J52" s="688"/>
      <c r="K52" s="688"/>
      <c r="L52" s="905"/>
      <c r="M52" s="840"/>
      <c r="N52" s="840"/>
      <c r="O52" s="840"/>
    </row>
    <row r="53" spans="1:15" ht="15" hidden="1" customHeight="1">
      <c r="A53" s="688"/>
      <c r="B53" s="906" t="str">
        <f>'Penyelia Kalibrasi'!B52</f>
        <v>Hasil pengujian arus bocor karena frekuensi tinggi tertelusur ke Satuan Internasional melalui CALTEK PTE. LTD.</v>
      </c>
      <c r="C53" s="688"/>
      <c r="D53" s="907"/>
      <c r="E53" s="688"/>
      <c r="F53" s="688"/>
      <c r="G53" s="688"/>
      <c r="H53" s="688"/>
      <c r="I53" s="905"/>
      <c r="J53" s="688"/>
      <c r="K53" s="688"/>
      <c r="L53" s="905"/>
      <c r="M53" s="840"/>
      <c r="N53" s="840"/>
      <c r="O53" s="840"/>
    </row>
    <row r="54" spans="1:15" ht="15" hidden="1" customHeight="1">
      <c r="A54" s="688"/>
      <c r="B54" s="906" t="str">
        <f>'Penyelia Kalibrasi'!B53</f>
        <v>Hasil pengujian contact quality monitoring / REM tertelusur ke Satuan Internasional melalui CALTEK PTE. LTD.</v>
      </c>
      <c r="C54" s="688"/>
      <c r="D54" s="909"/>
      <c r="E54" s="688"/>
      <c r="F54" s="688"/>
      <c r="G54" s="688"/>
      <c r="H54" s="688"/>
      <c r="I54" s="905"/>
      <c r="J54" s="688"/>
      <c r="K54" s="688"/>
      <c r="L54" s="905"/>
      <c r="M54" s="840"/>
      <c r="N54" s="840"/>
      <c r="O54" s="840"/>
    </row>
    <row r="55" spans="1:15" ht="14.5">
      <c r="A55" s="688"/>
      <c r="B55" s="906" t="str">
        <f>'Penyelia Kalibrasi'!B54</f>
        <v>Hasil Kalibrasi daya keluaran tertelusur ke Satuan Internasional melalui CALTEK PTE. LTD.</v>
      </c>
      <c r="C55" s="688"/>
      <c r="D55" s="909"/>
      <c r="E55" s="688"/>
      <c r="F55" s="688"/>
      <c r="G55" s="688"/>
      <c r="H55" s="688"/>
      <c r="I55" s="905"/>
      <c r="J55" s="688"/>
      <c r="K55" s="688"/>
      <c r="L55" s="905"/>
      <c r="M55" s="840"/>
      <c r="N55" s="840"/>
      <c r="O55" s="840"/>
    </row>
    <row r="56" spans="1:15" ht="14.5">
      <c r="A56" s="688"/>
      <c r="B56" s="906" t="str">
        <f>'Penyelia Kalibrasi'!B55</f>
        <v>Pengaturan load cutting pada 250Ω</v>
      </c>
      <c r="C56" s="688"/>
      <c r="D56" s="909"/>
      <c r="E56" s="688"/>
      <c r="F56" s="688"/>
      <c r="G56" s="688"/>
      <c r="H56" s="688"/>
      <c r="I56" s="905"/>
      <c r="J56" s="688"/>
      <c r="K56" s="688"/>
      <c r="L56" s="905"/>
      <c r="M56" s="840"/>
      <c r="N56" s="840"/>
      <c r="O56" s="840"/>
    </row>
    <row r="57" spans="1:15" ht="14.5">
      <c r="A57" s="688"/>
      <c r="B57" s="906" t="str">
        <f>'Penyelia Kalibrasi'!B56</f>
        <v>Pengaturan load coagulating pada 250Ω</v>
      </c>
      <c r="C57" s="688"/>
      <c r="D57" s="909"/>
      <c r="E57" s="688"/>
      <c r="F57" s="688"/>
      <c r="G57" s="688"/>
      <c r="H57" s="688"/>
      <c r="I57" s="905"/>
      <c r="J57" s="688"/>
      <c r="K57" s="688"/>
      <c r="L57" s="905"/>
      <c r="M57" s="840"/>
      <c r="N57" s="840"/>
      <c r="O57" s="840"/>
    </row>
    <row r="58" spans="1:15" ht="14.5">
      <c r="A58" s="688"/>
      <c r="B58" s="779" t="str">
        <f>'Penyelia Kalibrasi'!B57</f>
        <v>Alat tidak boleh digunakan pada instalasi tanpa dilengkapi grounding</v>
      </c>
      <c r="C58" s="688"/>
      <c r="D58" s="909"/>
      <c r="E58" s="688"/>
      <c r="F58" s="688"/>
      <c r="G58" s="688"/>
      <c r="H58" s="688"/>
      <c r="I58" s="905"/>
      <c r="J58" s="688"/>
      <c r="K58" s="688"/>
      <c r="L58" s="905"/>
      <c r="M58" s="840"/>
      <c r="N58" s="840"/>
      <c r="O58" s="840"/>
    </row>
    <row r="59" spans="1:15" ht="15" customHeight="1">
      <c r="A59" s="688"/>
      <c r="B59" s="906"/>
      <c r="C59" s="688"/>
      <c r="D59" s="909"/>
      <c r="E59" s="688"/>
      <c r="F59" s="688"/>
      <c r="G59" s="688"/>
      <c r="H59" s="688"/>
      <c r="I59" s="905"/>
      <c r="J59" s="688"/>
      <c r="K59" s="688"/>
      <c r="L59" s="905"/>
      <c r="M59" s="840"/>
      <c r="N59" s="840"/>
      <c r="O59" s="840"/>
    </row>
    <row r="60" spans="1:15" ht="14.5">
      <c r="A60" s="702" t="s">
        <v>102</v>
      </c>
      <c r="B60" s="702" t="s">
        <v>90</v>
      </c>
      <c r="C60" s="702"/>
      <c r="D60" s="909"/>
      <c r="E60" s="688"/>
      <c r="F60" s="688"/>
      <c r="G60" s="688"/>
      <c r="H60" s="688"/>
      <c r="I60" s="905"/>
      <c r="J60" s="688"/>
      <c r="K60" s="688"/>
      <c r="L60" s="905"/>
      <c r="M60" s="840"/>
      <c r="N60" s="840"/>
      <c r="O60" s="840"/>
    </row>
    <row r="61" spans="1:15" ht="14.5">
      <c r="A61" s="688"/>
      <c r="B61" s="778" t="str">
        <f>'Penyelia Kalibrasi'!B60</f>
        <v>Electrosurgical Analyzer, Merek : Fluke, Model : QA-ES III, SN : 4639004</v>
      </c>
      <c r="C61" s="697"/>
      <c r="D61" s="697"/>
      <c r="E61" s="697"/>
      <c r="F61" s="697"/>
      <c r="G61" s="697"/>
      <c r="H61" s="697"/>
      <c r="I61" s="905"/>
      <c r="J61" s="697"/>
      <c r="K61" s="697"/>
      <c r="L61" s="905"/>
      <c r="M61" s="840"/>
      <c r="N61" s="840"/>
      <c r="O61" s="840"/>
    </row>
    <row r="62" spans="1:15" ht="14.5">
      <c r="A62" s="688"/>
      <c r="B62" s="778" t="str">
        <f>'Penyelia Kalibrasi'!B61</f>
        <v>Electrical Safety Analyzer, Merek : Fluke, Model : ESA 615, SN : 4670010</v>
      </c>
      <c r="C62" s="697"/>
      <c r="D62" s="697"/>
      <c r="E62" s="697"/>
      <c r="F62" s="697"/>
      <c r="G62" s="697"/>
      <c r="H62" s="697"/>
      <c r="I62" s="905"/>
      <c r="J62" s="697"/>
      <c r="K62" s="697"/>
      <c r="L62" s="905"/>
      <c r="M62" s="840"/>
      <c r="N62" s="840"/>
      <c r="O62" s="840"/>
    </row>
    <row r="63" spans="1:15" ht="15" customHeight="1">
      <c r="A63" s="688"/>
      <c r="B63" s="697"/>
      <c r="C63" s="688"/>
      <c r="D63" s="909"/>
      <c r="E63" s="688"/>
      <c r="F63" s="688"/>
      <c r="G63" s="688"/>
      <c r="H63" s="688"/>
      <c r="I63" s="905"/>
      <c r="J63" s="688"/>
      <c r="K63" s="688"/>
      <c r="L63" s="905"/>
      <c r="M63" s="840"/>
      <c r="N63" s="840"/>
      <c r="O63" s="840"/>
    </row>
    <row r="64" spans="1:15" ht="14.5">
      <c r="A64" s="702" t="s">
        <v>156</v>
      </c>
      <c r="B64" s="751" t="s">
        <v>155</v>
      </c>
      <c r="C64" s="688"/>
      <c r="D64" s="909"/>
      <c r="E64" s="688"/>
      <c r="F64" s="688"/>
      <c r="G64" s="688"/>
      <c r="H64" s="688"/>
      <c r="I64" s="905"/>
      <c r="J64" s="688"/>
      <c r="K64" s="688"/>
      <c r="L64" s="905"/>
      <c r="M64" s="840"/>
      <c r="N64" s="840"/>
      <c r="O64" s="840"/>
    </row>
    <row r="65" spans="1:15" ht="15" customHeight="1">
      <c r="A65" s="702"/>
      <c r="B65" s="1137" t="str">
        <f>'Penyelia Kalibrasi'!B64</f>
        <v>Alat yang dikalibrasi dalam batas toleransi dan dinyatakan LAIK PAKAI, dimana hasil atau skor akhir sama dengan atau melampaui 70 % berdasarkan Keputusan Direktur Jenderal Pelayanan Kesehatan No : HK.02.02/V/0412/2020</v>
      </c>
      <c r="C65" s="1137"/>
      <c r="D65" s="1137"/>
      <c r="E65" s="1137"/>
      <c r="F65" s="1137"/>
      <c r="G65" s="1137"/>
      <c r="H65" s="1137"/>
      <c r="I65" s="1137"/>
      <c r="J65" s="1137"/>
      <c r="K65" s="1137"/>
      <c r="L65" s="1137"/>
      <c r="M65" s="840"/>
      <c r="N65" s="840"/>
      <c r="O65" s="840"/>
    </row>
    <row r="66" spans="1:15" ht="14.5">
      <c r="A66" s="688"/>
      <c r="B66" s="1137"/>
      <c r="C66" s="1137"/>
      <c r="D66" s="1137"/>
      <c r="E66" s="1137"/>
      <c r="F66" s="1137"/>
      <c r="G66" s="1137"/>
      <c r="H66" s="1137"/>
      <c r="I66" s="1137"/>
      <c r="J66" s="1137"/>
      <c r="K66" s="1137"/>
      <c r="L66" s="1137"/>
      <c r="M66" s="840"/>
      <c r="N66" s="840"/>
      <c r="O66" s="840"/>
    </row>
    <row r="67" spans="1:15" ht="15" customHeight="1">
      <c r="A67" s="905"/>
      <c r="B67" s="688"/>
      <c r="C67" s="688"/>
      <c r="D67" s="909"/>
      <c r="E67" s="688"/>
      <c r="F67" s="688"/>
      <c r="G67" s="688"/>
      <c r="H67" s="688"/>
      <c r="I67" s="905"/>
      <c r="J67" s="688"/>
      <c r="K67" s="688"/>
      <c r="L67" s="905"/>
      <c r="M67" s="840"/>
      <c r="N67" s="840"/>
      <c r="O67" s="840"/>
    </row>
    <row r="68" spans="1:15" ht="14.5">
      <c r="A68" s="702" t="s">
        <v>158</v>
      </c>
      <c r="B68" s="702" t="str">
        <f>'Penyelia Kalibrasi'!B67</f>
        <v>Petugas Kalibrasi</v>
      </c>
      <c r="C68" s="688"/>
      <c r="D68" s="909"/>
      <c r="E68" s="688"/>
      <c r="F68" s="688"/>
      <c r="G68" s="688"/>
      <c r="H68" s="688"/>
      <c r="I68" s="905"/>
      <c r="J68" s="688"/>
      <c r="K68" s="688"/>
      <c r="L68" s="905"/>
      <c r="M68" s="840"/>
      <c r="N68" s="840"/>
      <c r="O68" s="840"/>
    </row>
    <row r="69" spans="1:15" ht="14.5">
      <c r="A69" s="688"/>
      <c r="B69" s="906" t="str">
        <f>'Penyelia Kalibrasi'!B68</f>
        <v>Muhammad Iqbal Saiful Rahman</v>
      </c>
      <c r="C69" s="688"/>
      <c r="D69" s="909"/>
      <c r="E69" s="688"/>
      <c r="F69" s="688"/>
      <c r="G69" s="688"/>
      <c r="H69" s="688"/>
      <c r="I69" s="905"/>
      <c r="J69" s="688"/>
      <c r="K69" s="688"/>
      <c r="L69" s="905"/>
      <c r="M69" s="871"/>
      <c r="N69" s="840"/>
      <c r="O69" s="840"/>
    </row>
    <row r="70" spans="1:15" ht="14.5">
      <c r="A70" s="697"/>
      <c r="B70" s="905"/>
      <c r="C70" s="905"/>
      <c r="D70" s="910"/>
      <c r="E70" s="905"/>
      <c r="F70" s="905"/>
      <c r="G70" s="905"/>
      <c r="H70" s="905"/>
      <c r="I70" s="905"/>
      <c r="J70" s="905"/>
      <c r="K70" s="905"/>
      <c r="L70" s="905"/>
      <c r="M70" s="871"/>
      <c r="N70" s="871"/>
    </row>
    <row r="71" spans="1:15" ht="15" hidden="1" customHeight="1">
      <c r="A71" s="697"/>
      <c r="B71" s="905"/>
      <c r="C71" s="905"/>
      <c r="D71" s="910"/>
      <c r="E71" s="905"/>
      <c r="F71" s="905"/>
      <c r="G71" s="905"/>
      <c r="H71" s="905"/>
      <c r="I71" s="905"/>
      <c r="J71" s="905"/>
      <c r="K71" s="905"/>
      <c r="L71" s="905"/>
      <c r="M71" s="871"/>
      <c r="N71" s="871"/>
    </row>
    <row r="72" spans="1:15" ht="14.5">
      <c r="A72" s="905"/>
      <c r="B72" s="905"/>
      <c r="C72" s="905"/>
      <c r="D72" s="910"/>
      <c r="E72" s="905"/>
      <c r="F72" s="905"/>
      <c r="G72" s="905"/>
      <c r="H72" s="905"/>
      <c r="I72" s="691" t="s">
        <v>311</v>
      </c>
      <c r="J72" s="905"/>
      <c r="K72" s="905"/>
      <c r="L72" s="905"/>
      <c r="M72" s="871"/>
    </row>
    <row r="73" spans="1:15" ht="14.5">
      <c r="A73" s="905"/>
      <c r="B73" s="905"/>
      <c r="C73" s="905"/>
      <c r="D73" s="910"/>
      <c r="E73" s="905"/>
      <c r="F73" s="905"/>
      <c r="G73" s="905"/>
      <c r="H73" s="905"/>
      <c r="I73" s="691" t="s">
        <v>312</v>
      </c>
      <c r="J73" s="905"/>
      <c r="K73" s="905"/>
      <c r="L73" s="905"/>
      <c r="M73" s="911"/>
    </row>
    <row r="74" spans="1:15" ht="14.5">
      <c r="A74" s="905"/>
      <c r="B74" s="905"/>
      <c r="C74" s="905"/>
      <c r="D74" s="910"/>
      <c r="E74" s="905"/>
      <c r="F74" s="905"/>
      <c r="G74" s="905"/>
      <c r="H74" s="905"/>
      <c r="I74" s="691" t="s">
        <v>313</v>
      </c>
      <c r="J74" s="905"/>
      <c r="K74" s="905"/>
      <c r="L74" s="905"/>
      <c r="M74" s="834"/>
    </row>
    <row r="75" spans="1:15" ht="14">
      <c r="A75" s="905"/>
      <c r="B75" s="905"/>
      <c r="C75" s="905"/>
      <c r="D75" s="910"/>
      <c r="E75" s="905"/>
      <c r="F75" s="905"/>
      <c r="G75" s="905"/>
      <c r="H75" s="905"/>
      <c r="I75" s="691"/>
      <c r="J75" s="905"/>
      <c r="K75" s="905"/>
      <c r="L75" s="905"/>
    </row>
    <row r="76" spans="1:15" ht="14">
      <c r="A76" s="905"/>
      <c r="B76" s="905"/>
      <c r="C76" s="905"/>
      <c r="D76" s="910"/>
      <c r="E76" s="905"/>
      <c r="F76" s="905"/>
      <c r="G76" s="905"/>
      <c r="H76" s="905"/>
      <c r="I76" s="691"/>
      <c r="J76" s="905"/>
      <c r="K76" s="905"/>
      <c r="L76" s="905"/>
    </row>
    <row r="77" spans="1:15" ht="14">
      <c r="A77" s="905"/>
      <c r="B77" s="905"/>
      <c r="C77" s="905"/>
      <c r="D77" s="910"/>
      <c r="E77" s="905"/>
      <c r="F77" s="905"/>
      <c r="G77" s="905"/>
      <c r="H77" s="905"/>
      <c r="I77" s="691"/>
      <c r="J77" s="905"/>
      <c r="K77" s="905"/>
      <c r="L77" s="905"/>
    </row>
    <row r="78" spans="1:15" ht="14">
      <c r="A78" s="905"/>
      <c r="B78" s="905"/>
      <c r="C78" s="905"/>
      <c r="D78" s="910"/>
      <c r="E78" s="905"/>
      <c r="F78" s="905"/>
      <c r="G78" s="905"/>
      <c r="H78" s="905"/>
      <c r="I78" s="912"/>
      <c r="J78" s="905"/>
      <c r="K78" s="905"/>
      <c r="L78" s="905"/>
    </row>
    <row r="79" spans="1:15" ht="14">
      <c r="A79" s="905"/>
      <c r="B79" s="905"/>
      <c r="C79" s="905"/>
      <c r="D79" s="910"/>
      <c r="E79" s="905"/>
      <c r="F79" s="905"/>
      <c r="G79" s="905"/>
      <c r="H79" s="905"/>
      <c r="I79" s="913" t="s">
        <v>314</v>
      </c>
      <c r="J79" s="905"/>
      <c r="K79" s="905"/>
      <c r="L79" s="905"/>
    </row>
    <row r="80" spans="1:15" ht="14">
      <c r="A80" s="905"/>
      <c r="B80" s="905"/>
      <c r="C80" s="905"/>
      <c r="D80" s="910"/>
      <c r="E80" s="905"/>
      <c r="F80" s="905"/>
      <c r="G80" s="905"/>
      <c r="H80" s="905"/>
      <c r="I80" s="692" t="s">
        <v>315</v>
      </c>
      <c r="J80" s="905"/>
      <c r="K80" s="905"/>
      <c r="L80" s="905"/>
    </row>
    <row r="81" spans="1:12" ht="11.25" customHeight="1">
      <c r="A81" s="905"/>
      <c r="B81" s="905"/>
      <c r="C81" s="905"/>
      <c r="D81" s="910"/>
      <c r="E81" s="905"/>
      <c r="F81" s="905"/>
      <c r="G81" s="905"/>
      <c r="H81" s="905"/>
      <c r="I81" s="905"/>
      <c r="J81" s="905"/>
      <c r="K81" s="905"/>
      <c r="L81" s="905"/>
    </row>
    <row r="82" spans="1:12" ht="23.25" customHeight="1">
      <c r="A82" s="905"/>
      <c r="B82" s="905"/>
      <c r="C82" s="905"/>
      <c r="D82" s="910"/>
      <c r="E82" s="905"/>
      <c r="F82" s="905"/>
      <c r="G82" s="905"/>
      <c r="H82" s="905"/>
      <c r="I82" s="905"/>
      <c r="J82" s="905"/>
      <c r="K82" s="914" t="s">
        <v>316</v>
      </c>
      <c r="L82" s="905"/>
    </row>
    <row r="83" spans="1:12" ht="101.25" hidden="1" customHeight="1"/>
    <row r="84" spans="1:12" ht="12.75" hidden="1" customHeight="1"/>
    <row r="85" spans="1:12" ht="12.75" hidden="1" customHeight="1"/>
    <row r="86" spans="1:12" ht="12.75" hidden="1" customHeight="1"/>
    <row r="87" spans="1:12" ht="12.75" hidden="1" customHeight="1"/>
    <row r="88" spans="1:12" ht="12.75" hidden="1" customHeight="1"/>
    <row r="89" spans="1:12" ht="12.75" hidden="1" customHeight="1"/>
    <row r="90" spans="1:12" ht="12.75" hidden="1" customHeight="1"/>
    <row r="91" spans="1:12" ht="12.75" hidden="1" customHeight="1"/>
    <row r="92" spans="1:12" ht="12.75" hidden="1" customHeight="1"/>
    <row r="93" spans="1:12" ht="12.75" hidden="1" customHeight="1"/>
    <row r="94" spans="1:12" ht="12.75" hidden="1" customHeight="1"/>
    <row r="95" spans="1:12" ht="12.75" hidden="1" customHeight="1"/>
    <row r="96" spans="1:12" ht="12.75" hidden="1" customHeight="1"/>
    <row r="97" spans="3:11" ht="20.25" hidden="1" customHeight="1">
      <c r="C97" s="915"/>
      <c r="E97" s="688"/>
      <c r="F97" s="688"/>
      <c r="G97" s="688"/>
      <c r="H97" s="688"/>
      <c r="J97" s="689"/>
      <c r="K97" s="916"/>
    </row>
    <row r="98" spans="3:11" ht="12.75" hidden="1" customHeight="1"/>
    <row r="99" spans="3:11" ht="12.75" hidden="1" customHeight="1"/>
    <row r="100" spans="3:11" ht="12.75" hidden="1" customHeight="1"/>
    <row r="101" spans="3:11" ht="12.75" hidden="1" customHeight="1"/>
  </sheetData>
  <sheetProtection formatCells="0" formatColumns="0" formatRows="0" insertColumns="0" insertRows="0" deleteColumns="0" deleteRows="0"/>
  <mergeCells count="24">
    <mergeCell ref="A1:L1"/>
    <mergeCell ref="A2:L2"/>
    <mergeCell ref="B65:L66"/>
    <mergeCell ref="G33:G34"/>
    <mergeCell ref="K33:L34"/>
    <mergeCell ref="H33:H34"/>
    <mergeCell ref="F33:F34"/>
    <mergeCell ref="K42:L43"/>
    <mergeCell ref="C42:D43"/>
    <mergeCell ref="C44:D48"/>
    <mergeCell ref="C33:D34"/>
    <mergeCell ref="C35:D39"/>
    <mergeCell ref="E33:E34"/>
    <mergeCell ref="I44:J48"/>
    <mergeCell ref="H42:H43"/>
    <mergeCell ref="E42:E43"/>
    <mergeCell ref="K24:L24"/>
    <mergeCell ref="I24:J24"/>
    <mergeCell ref="C24:H24"/>
    <mergeCell ref="F42:F43"/>
    <mergeCell ref="G42:G43"/>
    <mergeCell ref="I35:J39"/>
    <mergeCell ref="I42:J43"/>
    <mergeCell ref="I33:J34"/>
  </mergeCells>
  <printOptions horizontalCentered="1"/>
  <pageMargins left="0.25" right="0.25" top="0.5" bottom="0.43" header="0.3" footer="0.19"/>
  <pageSetup paperSize="9" scale="65" orientation="portrait" horizontalDpi="4294967293" verticalDpi="4294967293" r:id="rId1"/>
  <headerFooter>
    <oddHeader xml:space="preserve">&amp;R&amp;"Calibri,Regular"&amp;8KL.LHK - 023-18 / REV : 0
</oddHeader>
    <oddFooter>&amp;CDilarang keras mengutip/memperbanyak dan atau mempublikasikan sebagian isi sertifikat ini tanpa seijin LPFK Banjarbaru
Sertifikat ini sah apabila dibubuhi cap LPFK Banjarbaru dan ditandatangani oleh pejabat yang berwenang</oddFooter>
  </headerFooter>
  <rowBreaks count="1" manualBreakCount="1">
    <brk id="101" max="8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57F7-81AE-4637-8293-2C96E4817E9D}">
  <sheetPr>
    <tabColor rgb="FFC00000"/>
  </sheetPr>
  <dimension ref="A1:K99"/>
  <sheetViews>
    <sheetView view="pageBreakPreview" zoomScale="98" zoomScaleNormal="100" zoomScaleSheetLayoutView="98" workbookViewId="0">
      <selection activeCell="A57" sqref="A57"/>
    </sheetView>
  </sheetViews>
  <sheetFormatPr defaultRowHeight="12.5"/>
  <cols>
    <col min="1" max="1" width="5.1796875" customWidth="1"/>
    <col min="2" max="2" width="5.26953125" customWidth="1"/>
    <col min="3" max="3" width="18.54296875" customWidth="1"/>
    <col min="4" max="6" width="16.54296875" customWidth="1"/>
    <col min="7" max="7" width="12.26953125" customWidth="1"/>
    <col min="8" max="8" width="8.26953125" customWidth="1"/>
    <col min="9" max="9" width="10.54296875" customWidth="1"/>
    <col min="10" max="10" width="6.7265625" customWidth="1"/>
    <col min="11" max="11" width="9" customWidth="1"/>
    <col min="12" max="20" width="9.453125" customWidth="1"/>
  </cols>
  <sheetData>
    <row r="1" spans="1:11" ht="18">
      <c r="A1" s="1165" t="s">
        <v>317</v>
      </c>
      <c r="B1" s="1165"/>
      <c r="C1" s="1165"/>
      <c r="D1" s="1165"/>
      <c r="E1" s="1165"/>
      <c r="F1" s="1165"/>
      <c r="G1" s="1165"/>
      <c r="H1" s="1165"/>
      <c r="I1" s="1165"/>
      <c r="J1" s="1165"/>
      <c r="K1" s="1165"/>
    </row>
    <row r="2" spans="1:11" ht="15.5">
      <c r="A2" s="1166" t="str">
        <f>'Kata-kata'!B12&amp;ID!I2</f>
        <v>Nomor Sertifikat : 22 / 2 / I - 22 / E - 002.3 DL</v>
      </c>
      <c r="B2" s="1166"/>
      <c r="C2" s="1166"/>
      <c r="D2" s="1166"/>
      <c r="E2" s="1166"/>
      <c r="F2" s="1166"/>
      <c r="G2" s="1166"/>
      <c r="H2" s="1166"/>
      <c r="I2" s="1166"/>
      <c r="J2" s="1166"/>
      <c r="K2" s="1166"/>
    </row>
    <row r="4" spans="1:11" ht="14">
      <c r="A4" s="1154" t="str">
        <f>'Penyelia Kalibrasi'!A4</f>
        <v>Merek</v>
      </c>
      <c r="B4" s="1154"/>
      <c r="C4" s="1154"/>
      <c r="D4" s="1154" t="str">
        <f>'Penyelia Kalibrasi'!D4</f>
        <v>:   ZERONE</v>
      </c>
      <c r="E4" s="1154"/>
      <c r="F4" s="1154"/>
      <c r="G4" s="1154"/>
      <c r="H4" s="1154"/>
      <c r="I4" s="1154"/>
      <c r="J4" s="1154"/>
      <c r="K4" s="1154"/>
    </row>
    <row r="5" spans="1:11" ht="14">
      <c r="A5" s="1154" t="str">
        <f>'Penyelia Kalibrasi'!A5</f>
        <v>Model/Type</v>
      </c>
      <c r="B5" s="1154"/>
      <c r="C5" s="1154"/>
      <c r="D5" s="1154" t="str">
        <f>'Penyelia Kalibrasi'!D5</f>
        <v>:   DOCTANZ 400</v>
      </c>
      <c r="E5" s="1154"/>
      <c r="F5" s="1154"/>
      <c r="G5" s="1154"/>
      <c r="H5" s="1154"/>
      <c r="I5" s="1154"/>
      <c r="J5" s="1154"/>
      <c r="K5" s="1154"/>
    </row>
    <row r="6" spans="1:11" ht="14">
      <c r="A6" s="1154" t="str">
        <f>'Penyelia Kalibrasi'!A6</f>
        <v>No. Seri</v>
      </c>
      <c r="B6" s="1154"/>
      <c r="C6" s="1154"/>
      <c r="D6" s="1154" t="str">
        <f>'Penyelia Kalibrasi'!D6</f>
        <v>:   ZA0A13O3010</v>
      </c>
      <c r="E6" s="1154"/>
      <c r="F6" s="1154"/>
      <c r="G6" s="1154"/>
      <c r="H6" s="1154"/>
      <c r="I6" s="1154"/>
      <c r="J6" s="1154"/>
      <c r="K6" s="1154"/>
    </row>
    <row r="7" spans="1:11" ht="14">
      <c r="A7" s="1154" t="str">
        <f>'Penyelia Kalibrasi'!A7</f>
        <v>Resolusi</v>
      </c>
      <c r="B7" s="1154"/>
      <c r="C7" s="1154"/>
      <c r="D7" s="1154" t="str">
        <f>'Penyelia Kalibrasi'!D7</f>
        <v>:   1  W</v>
      </c>
      <c r="E7" s="1154"/>
      <c r="F7" s="1154"/>
      <c r="G7" s="1154"/>
      <c r="H7" s="1154"/>
      <c r="I7" s="1154"/>
      <c r="J7" s="1154"/>
      <c r="K7" s="1154"/>
    </row>
    <row r="8" spans="1:11" ht="14">
      <c r="A8" s="1154" t="str">
        <f>'Penyelia Kalibrasi'!A8</f>
        <v>Tanggal Penerimaan Alat</v>
      </c>
      <c r="B8" s="1154"/>
      <c r="C8" s="1154"/>
      <c r="D8" s="1154" t="str">
        <f>'Penyelia Kalibrasi'!D8</f>
        <v>:   12 Januari 2022</v>
      </c>
      <c r="E8" s="1154"/>
      <c r="F8" s="1154"/>
      <c r="G8" s="1154"/>
      <c r="H8" s="1154"/>
      <c r="I8" s="1154"/>
      <c r="J8" s="1154"/>
      <c r="K8" s="1154"/>
    </row>
    <row r="9" spans="1:11" ht="14">
      <c r="A9" s="1154" t="s">
        <v>318</v>
      </c>
      <c r="B9" s="1154"/>
      <c r="C9" s="1154"/>
      <c r="D9" s="1154" t="str">
        <f>'Penyelia Kalibrasi'!D9</f>
        <v>:   12 Januari 2022</v>
      </c>
      <c r="E9" s="1154"/>
      <c r="F9" s="1154"/>
      <c r="G9" s="1154"/>
      <c r="H9" s="1154"/>
      <c r="I9" s="1154"/>
      <c r="J9" s="1154"/>
      <c r="K9" s="1154"/>
    </row>
    <row r="10" spans="1:11" ht="14">
      <c r="A10" s="1154" t="s">
        <v>319</v>
      </c>
      <c r="B10" s="1154"/>
      <c r="C10" s="1154"/>
      <c r="D10" s="1154" t="str">
        <f>'Penyelia Kalibrasi'!D10</f>
        <v>:   OK 2</v>
      </c>
      <c r="E10" s="1154"/>
      <c r="F10" s="1154"/>
      <c r="G10" s="1154"/>
      <c r="H10" s="1154"/>
      <c r="I10" s="1154"/>
      <c r="J10" s="1154"/>
      <c r="K10" s="1154"/>
    </row>
    <row r="11" spans="1:11" ht="14">
      <c r="A11" s="1154" t="str">
        <f>'Penyelia Kalibrasi'!A11</f>
        <v>Nama Ruang</v>
      </c>
      <c r="B11" s="1154"/>
      <c r="C11" s="1154"/>
      <c r="D11" s="1154" t="str">
        <f>'Penyelia Kalibrasi'!D11</f>
        <v>:   OK 2</v>
      </c>
      <c r="E11" s="1154"/>
      <c r="F11" s="1154"/>
      <c r="G11" s="1154"/>
      <c r="H11" s="1154"/>
      <c r="I11" s="1154"/>
      <c r="J11" s="1154"/>
      <c r="K11" s="1154"/>
    </row>
    <row r="12" spans="1:11" ht="14">
      <c r="A12" s="1154" t="str">
        <f>'Penyelia Kalibrasi'!A12</f>
        <v>Metode Kerja</v>
      </c>
      <c r="B12" s="1154"/>
      <c r="C12" s="1154"/>
      <c r="D12" s="1154" t="str">
        <f>'Penyelia Kalibrasi'!D12</f>
        <v>:   MK.23-18</v>
      </c>
      <c r="E12" s="1154"/>
      <c r="F12" s="1154"/>
      <c r="G12" s="1154"/>
      <c r="H12" s="1154"/>
      <c r="I12" s="1154"/>
      <c r="J12" s="1154"/>
      <c r="K12" s="1154"/>
    </row>
    <row r="13" spans="1:11" ht="14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4">
      <c r="A14" s="128" t="str">
        <f>'Penyelia Kalibrasi'!A14</f>
        <v xml:space="preserve">I.     </v>
      </c>
      <c r="B14" s="128" t="str">
        <f>'Penyelia Kalibrasi'!B14</f>
        <v>Kondisi Ruang</v>
      </c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1" ht="14">
      <c r="A15" s="116"/>
      <c r="B15" s="1154" t="str">
        <f>'Penyelia Kalibrasi'!B15</f>
        <v xml:space="preserve">1. Suhu </v>
      </c>
      <c r="C15" s="1154"/>
      <c r="D15" s="1154" t="str">
        <f>'Penyelia Kalibrasi'!D15</f>
        <v>: ( 22.9 ± 0.3 ) °C</v>
      </c>
      <c r="E15" s="1154"/>
      <c r="F15" s="116"/>
      <c r="G15" s="116"/>
      <c r="H15" s="116"/>
      <c r="I15" s="116"/>
      <c r="J15" s="116"/>
      <c r="K15" s="116"/>
    </row>
    <row r="16" spans="1:11" ht="14">
      <c r="A16" s="116"/>
      <c r="B16" s="1154" t="str">
        <f>'Penyelia Kalibrasi'!B16</f>
        <v xml:space="preserve">2. Kelembaban </v>
      </c>
      <c r="C16" s="1154"/>
      <c r="D16" s="1154" t="str">
        <f>'Penyelia Kalibrasi'!D16</f>
        <v>: ( 66.4 ± 2.6 ) %RH</v>
      </c>
      <c r="E16" s="1154"/>
      <c r="F16" s="116"/>
      <c r="G16" s="116"/>
      <c r="H16" s="116"/>
      <c r="I16" s="116"/>
      <c r="J16" s="116"/>
      <c r="K16" s="116"/>
    </row>
    <row r="17" spans="1:11" ht="14">
      <c r="A17" s="116"/>
      <c r="B17" s="1154" t="str">
        <f>'Penyelia Kalibrasi'!B17</f>
        <v>3. Tegangan Jala-jala</v>
      </c>
      <c r="C17" s="1154"/>
      <c r="D17" s="1154" t="str">
        <f>'Penyelia Kalibrasi'!D17</f>
        <v>: ( 226.1 ± 2.7 ) Volt</v>
      </c>
      <c r="E17" s="1154"/>
      <c r="F17" s="116"/>
      <c r="G17" s="116"/>
      <c r="H17" s="116"/>
      <c r="I17" s="116"/>
      <c r="J17" s="116"/>
      <c r="K17" s="116"/>
    </row>
    <row r="18" spans="1:11" ht="14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1" ht="14">
      <c r="A19" s="128" t="str">
        <f>'Penyelia Kalibrasi'!A19</f>
        <v xml:space="preserve">II.     </v>
      </c>
      <c r="B19" s="128" t="str">
        <f>'Penyelia Kalibrasi'!B19</f>
        <v>Hasil Pemeriksaan Kondisi Fisik dan Fungsi komponen alat</v>
      </c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1" ht="14">
      <c r="A20" s="116"/>
      <c r="B20" s="1154" t="str">
        <f>'Penyelia Kalibrasi'!B20</f>
        <v>1. Fisik</v>
      </c>
      <c r="C20" s="1154"/>
      <c r="D20" s="116" t="str">
        <f>'Penyelia Kalibrasi'!D20</f>
        <v>:   Baik</v>
      </c>
      <c r="E20" s="116"/>
      <c r="F20" s="116"/>
      <c r="G20" s="116"/>
      <c r="H20" s="116"/>
      <c r="I20" s="116"/>
      <c r="J20" s="116"/>
      <c r="K20" s="116"/>
    </row>
    <row r="21" spans="1:11" ht="14">
      <c r="A21" s="116"/>
      <c r="B21" s="1154" t="str">
        <f>'Penyelia Kalibrasi'!B21</f>
        <v>2. Fungsi</v>
      </c>
      <c r="C21" s="1154"/>
      <c r="D21" s="116" t="str">
        <f>'Penyelia Kalibrasi'!D21</f>
        <v>:   Baik</v>
      </c>
      <c r="E21" s="116"/>
      <c r="F21" s="116"/>
      <c r="G21" s="116"/>
      <c r="H21" s="116"/>
      <c r="I21" s="116"/>
      <c r="J21" s="116"/>
      <c r="K21" s="116"/>
    </row>
    <row r="22" spans="1:11" ht="14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</row>
    <row r="23" spans="1:11" ht="14">
      <c r="A23" s="128" t="str">
        <f>'Penyelia Kalibrasi'!A23</f>
        <v>III.</v>
      </c>
      <c r="B23" s="128" t="str">
        <f>'Penyelia Kalibrasi'!B23</f>
        <v xml:space="preserve">Hasil Pengujian Keselamatan Listrik </v>
      </c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s="221" customFormat="1" ht="30" customHeight="1">
      <c r="A24" s="218"/>
      <c r="B24" s="468" t="str">
        <f>'Penyelia Kalibrasi'!B24</f>
        <v>No</v>
      </c>
      <c r="C24" s="1155" t="str">
        <f>'Penyelia Kalibrasi'!C24</f>
        <v xml:space="preserve">Parameter </v>
      </c>
      <c r="D24" s="1155"/>
      <c r="E24" s="1155"/>
      <c r="F24" s="1155"/>
      <c r="G24" s="1155"/>
      <c r="H24" s="1155" t="str">
        <f>'Penyelia Kalibrasi'!H24</f>
        <v>Hasil  Ukur</v>
      </c>
      <c r="I24" s="1155"/>
      <c r="J24" s="1167" t="str">
        <f>'Penyelia Kalibrasi'!J24</f>
        <v>Ambang Batas yang diijinkan</v>
      </c>
      <c r="K24" s="1167"/>
    </row>
    <row r="25" spans="1:11" ht="14">
      <c r="A25" s="116"/>
      <c r="B25" s="446">
        <f>'Penyelia Kalibrasi'!B25</f>
        <v>1</v>
      </c>
      <c r="C25" s="1156" t="str">
        <f>'Penyelia Kalibrasi'!C25</f>
        <v>Resistansi Isolasi</v>
      </c>
      <c r="D25" s="1156"/>
      <c r="E25" s="1156"/>
      <c r="F25" s="1156"/>
      <c r="G25" s="1156"/>
      <c r="H25" s="447">
        <f>'Penyelia Kalibrasi'!H25</f>
        <v>2.0000005571428572</v>
      </c>
      <c r="I25" s="448" t="str">
        <f>'Penyelia Kalibrasi'!I25</f>
        <v>MΩ</v>
      </c>
      <c r="J25" s="447">
        <f>'Penyelia Kalibrasi'!J25</f>
        <v>2</v>
      </c>
      <c r="K25" s="448" t="str">
        <f>'Penyelia Kalibrasi'!K25</f>
        <v>M Ω</v>
      </c>
    </row>
    <row r="26" spans="1:11" ht="14">
      <c r="A26" s="116"/>
      <c r="B26" s="446">
        <f>'Penyelia Kalibrasi'!B26</f>
        <v>2</v>
      </c>
      <c r="C26" s="1156" t="str">
        <f>'Penyelia Kalibrasi'!C26</f>
        <v>Resistansi Pembumian Protektif</v>
      </c>
      <c r="D26" s="1156"/>
      <c r="E26" s="1156"/>
      <c r="F26" s="1156"/>
      <c r="G26" s="1156"/>
      <c r="H26" s="449">
        <f>'Penyelia Kalibrasi'!H26</f>
        <v>0.22866740670119501</v>
      </c>
      <c r="I26" s="448" t="str">
        <f>'Penyelia Kalibrasi'!I26</f>
        <v>Ω</v>
      </c>
      <c r="J26" s="447">
        <f>'Penyelia Kalibrasi'!J26</f>
        <v>0.2</v>
      </c>
      <c r="K26" s="448" t="str">
        <f>'Penyelia Kalibrasi'!K26</f>
        <v>Ω</v>
      </c>
    </row>
    <row r="27" spans="1:11" ht="14">
      <c r="A27" s="116"/>
      <c r="B27" s="446">
        <f>'Penyelia Kalibrasi'!B27</f>
        <v>3</v>
      </c>
      <c r="C27" s="1156" t="str">
        <f>'Penyelia Kalibrasi'!C27</f>
        <v>Arus bocor peralatan untuk peralatan elektromedik kelas I</v>
      </c>
      <c r="D27" s="1156"/>
      <c r="E27" s="1156"/>
      <c r="F27" s="1156"/>
      <c r="G27" s="1156"/>
      <c r="H27" s="450">
        <f>'Penyelia Kalibrasi'!H27</f>
        <v>567.54076366591801</v>
      </c>
      <c r="I27" s="448" t="str">
        <f>'Penyelia Kalibrasi'!I27</f>
        <v>µA</v>
      </c>
      <c r="J27" s="447">
        <f>'Penyelia Kalibrasi'!J27</f>
        <v>500</v>
      </c>
      <c r="K27" s="448" t="str">
        <f>'Penyelia Kalibrasi'!K27</f>
        <v>µA</v>
      </c>
    </row>
    <row r="28" spans="1:11" ht="14">
      <c r="A28" s="116"/>
      <c r="B28" s="446">
        <f>'Penyelia Kalibrasi'!B28</f>
        <v>4</v>
      </c>
      <c r="C28" s="1156" t="str">
        <f>'Penyelia Kalibrasi'!C28</f>
        <v>Arus bocor peralatan yang diaplikasikan</v>
      </c>
      <c r="D28" s="1156"/>
      <c r="E28" s="1156"/>
      <c r="F28" s="1156"/>
      <c r="G28" s="1156"/>
      <c r="H28" s="450">
        <f>'Penyelia Kalibrasi'!H28</f>
        <v>26.431589329814717</v>
      </c>
      <c r="I28" s="448" t="str">
        <f>'Penyelia Kalibrasi'!I28</f>
        <v>µA</v>
      </c>
      <c r="J28" s="447">
        <f>'Penyelia Kalibrasi'!J28</f>
        <v>50</v>
      </c>
      <c r="K28" s="448" t="str">
        <f>'Penyelia Kalibrasi'!K28</f>
        <v>µA</v>
      </c>
    </row>
    <row r="29" spans="1:11" ht="14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</row>
    <row r="30" spans="1:11" ht="14">
      <c r="A30" s="128" t="str">
        <f>'Penyelia Kalibrasi'!A30</f>
        <v>IV.</v>
      </c>
      <c r="B30" s="128" t="str">
        <f>'Penyelia Kalibrasi'!B30</f>
        <v xml:space="preserve">Pengujian Kinerja </v>
      </c>
      <c r="C30" s="128"/>
      <c r="D30" s="116"/>
      <c r="E30" s="116"/>
      <c r="F30" s="116"/>
      <c r="G30" s="116"/>
      <c r="H30" s="116"/>
      <c r="I30" s="116"/>
      <c r="J30" s="116"/>
      <c r="K30" s="116"/>
    </row>
    <row r="31" spans="1:11" ht="14">
      <c r="A31" s="128"/>
      <c r="B31" s="128" t="s">
        <v>320</v>
      </c>
      <c r="C31" s="128"/>
      <c r="D31" s="116"/>
      <c r="E31" s="116"/>
      <c r="F31" s="116"/>
      <c r="G31" s="116"/>
      <c r="H31" s="116"/>
      <c r="I31" s="116"/>
      <c r="J31" s="116"/>
      <c r="K31" s="116"/>
    </row>
    <row r="32" spans="1:11" s="444" customFormat="1" ht="25.5" customHeight="1">
      <c r="A32" s="451"/>
      <c r="B32" s="1167" t="str">
        <f>'Penyelia Kalibrasi'!B32</f>
        <v>No.</v>
      </c>
      <c r="C32" s="1093" t="str">
        <f>'Penyelia Kalibrasi'!C32</f>
        <v>Parameter</v>
      </c>
      <c r="D32" s="1093" t="str">
        <f>'Penyelia Kalibrasi'!D32</f>
        <v>Setting Alat</v>
      </c>
      <c r="E32" s="1093" t="str">
        <f>'Penyelia Kalibrasi'!E32</f>
        <v>Pembacaan Standar</v>
      </c>
      <c r="F32" s="1093" t="s">
        <v>321</v>
      </c>
      <c r="G32" s="1164" t="str">
        <f>'Penyelia Kalibrasi'!G32</f>
        <v>Toleransi
(%)</v>
      </c>
      <c r="H32" s="1164" t="str">
        <f>'Penyelia Kalibrasi'!H32</f>
        <v>Ketidakpastian Pengukuran 
(%)</v>
      </c>
      <c r="I32" s="1164"/>
      <c r="J32" s="451"/>
      <c r="K32" s="451"/>
    </row>
    <row r="33" spans="1:11" s="444" customFormat="1" ht="19.5" customHeight="1">
      <c r="A33" s="451"/>
      <c r="B33" s="1167"/>
      <c r="C33" s="1093"/>
      <c r="D33" s="1093"/>
      <c r="E33" s="1093"/>
      <c r="F33" s="1093"/>
      <c r="G33" s="1164"/>
      <c r="H33" s="1164"/>
      <c r="I33" s="1164"/>
      <c r="J33" s="451"/>
      <c r="K33" s="451"/>
    </row>
    <row r="34" spans="1:11" ht="14">
      <c r="A34" s="116"/>
      <c r="B34" s="462">
        <f>'Penyelia Kalibrasi'!B34</f>
        <v>1</v>
      </c>
      <c r="C34" s="1158" t="str">
        <f>'Penyelia Kalibrasi'!C34</f>
        <v>Daya Keluaran Cutting 
( W )</v>
      </c>
      <c r="D34" s="452">
        <f>'Penyelia Kalibrasi'!D34</f>
        <v>20</v>
      </c>
      <c r="E34" s="453">
        <f>'Penyelia Kalibrasi'!E34</f>
        <v>20.00001</v>
      </c>
      <c r="F34" s="453">
        <f>(ID!O44/ID!N44)*100</f>
        <v>4.999997500001251E-5</v>
      </c>
      <c r="G34" s="1168" t="str">
        <f>'Penyelia Kalibrasi'!G34</f>
        <v>± 20</v>
      </c>
      <c r="H34" s="447" t="str">
        <f>'Penyelia Kalibrasi'!H34</f>
        <v>±</v>
      </c>
      <c r="I34" s="184">
        <f>IF(E34="-","-",ABS(BUDGET!$J$13)/ID!N44*100)</f>
        <v>2.8991331284653254</v>
      </c>
      <c r="J34" s="116"/>
      <c r="K34" s="116"/>
    </row>
    <row r="35" spans="1:11" ht="14">
      <c r="A35" s="116"/>
      <c r="B35" s="462">
        <f>'Penyelia Kalibrasi'!B35</f>
        <v>2</v>
      </c>
      <c r="C35" s="1159"/>
      <c r="D35" s="452">
        <f>'Penyelia Kalibrasi'!D35</f>
        <v>50</v>
      </c>
      <c r="E35" s="453">
        <f>'Penyelia Kalibrasi'!E35</f>
        <v>50.000010000000003</v>
      </c>
      <c r="F35" s="453">
        <f>(ID!O45/ID!N45)*100</f>
        <v>1.99999960000008E-5</v>
      </c>
      <c r="G35" s="1168"/>
      <c r="H35" s="447" t="str">
        <f>'Penyelia Kalibrasi'!H35</f>
        <v>±</v>
      </c>
      <c r="I35" s="184">
        <f>IF(E35="-","-",ABS(BUDGET!$J$13)/ID!N45*100)</f>
        <v>1.1596535992820358</v>
      </c>
      <c r="J35" s="116"/>
      <c r="K35" s="116"/>
    </row>
    <row r="36" spans="1:11" ht="14">
      <c r="A36" s="116"/>
      <c r="B36" s="462">
        <f>'Penyelia Kalibrasi'!B36</f>
        <v>3</v>
      </c>
      <c r="C36" s="1159"/>
      <c r="D36" s="452">
        <f>'Penyelia Kalibrasi'!D36</f>
        <v>80</v>
      </c>
      <c r="E36" s="453">
        <f>'Penyelia Kalibrasi'!E36</f>
        <v>80.000010000000003</v>
      </c>
      <c r="F36" s="453">
        <f>(ID!O46/ID!N46)*100</f>
        <v>1.2499998437500197E-5</v>
      </c>
      <c r="G36" s="1168"/>
      <c r="H36" s="447" t="str">
        <f>'Penyelia Kalibrasi'!H36</f>
        <v>±</v>
      </c>
      <c r="I36" s="184">
        <f>IF(E36="-","-",ABS(BUDGET!$J$13)/ID!N46*100)</f>
        <v>0.72478355391002813</v>
      </c>
      <c r="J36" s="116"/>
      <c r="K36" s="116"/>
    </row>
    <row r="37" spans="1:11" ht="14">
      <c r="A37" s="116"/>
      <c r="B37" s="462">
        <f>'Penyelia Kalibrasi'!B37</f>
        <v>4</v>
      </c>
      <c r="C37" s="1159"/>
      <c r="D37" s="452">
        <f>'Penyelia Kalibrasi'!D37</f>
        <v>100</v>
      </c>
      <c r="E37" s="453">
        <f>'Penyelia Kalibrasi'!E37</f>
        <v>100.00001</v>
      </c>
      <c r="F37" s="453">
        <f>(ID!O47/ID!N47)*100</f>
        <v>9.9999990000000997E-6</v>
      </c>
      <c r="G37" s="1168"/>
      <c r="H37" s="447" t="str">
        <f>'Penyelia Kalibrasi'!H37</f>
        <v>±</v>
      </c>
      <c r="I37" s="184">
        <f>IF(E37="-","-",ABS(BUDGET!$J$13)/ID!N47*100)</f>
        <v>0.57982685762369202</v>
      </c>
      <c r="J37" s="116"/>
      <c r="K37" s="116"/>
    </row>
    <row r="38" spans="1:11" ht="14">
      <c r="A38" s="116"/>
      <c r="B38" s="462">
        <f>'Penyelia Kalibrasi'!B38</f>
        <v>5</v>
      </c>
      <c r="C38" s="1160"/>
      <c r="D38" s="452">
        <f>'Penyelia Kalibrasi'!D38</f>
        <v>150</v>
      </c>
      <c r="E38" s="453">
        <f>'Penyelia Kalibrasi'!E38</f>
        <v>150.00001</v>
      </c>
      <c r="F38" s="453">
        <f>(ID!O48/ID!N48)*100</f>
        <v>6.6666662222222527E-6</v>
      </c>
      <c r="G38" s="1168"/>
      <c r="H38" s="447" t="str">
        <f>'Penyelia Kalibrasi'!H38</f>
        <v>±</v>
      </c>
      <c r="I38" s="184">
        <f>IF(E38="-","-",ABS(BUDGET!$J$13)/ID!N48*100)</f>
        <v>0.38655125130083517</v>
      </c>
      <c r="J38" s="116"/>
      <c r="K38" s="116"/>
    </row>
    <row r="39" spans="1:11" ht="14" hidden="1">
      <c r="A39" s="116"/>
      <c r="B39" s="446" t="e">
        <f>'Penyelia Kalibrasi'!#REF!</f>
        <v>#REF!</v>
      </c>
      <c r="C39" s="446" t="e">
        <f>'Penyelia Kalibrasi'!#REF!</f>
        <v>#REF!</v>
      </c>
      <c r="D39" s="446" t="e">
        <f>'Penyelia Kalibrasi'!#REF!</f>
        <v>#REF!</v>
      </c>
      <c r="E39" s="446" t="e">
        <f>'Penyelia Kalibrasi'!#REF!</f>
        <v>#REF!</v>
      </c>
      <c r="F39" s="453" t="e">
        <f>'Penyelia Kalibrasi'!#REF!</f>
        <v>#REF!</v>
      </c>
      <c r="G39" s="1168"/>
      <c r="H39" s="455" t="e">
        <f>'Penyelia Kalibrasi'!#REF!</f>
        <v>#REF!</v>
      </c>
      <c r="I39" s="456" t="e">
        <f>'Penyelia Kalibrasi'!#REF!</f>
        <v>#REF!</v>
      </c>
      <c r="J39" s="116"/>
      <c r="K39" s="116"/>
    </row>
    <row r="40" spans="1:11" ht="14" hidden="1">
      <c r="A40" s="116"/>
      <c r="B40" s="446" t="e">
        <f>'Penyelia Kalibrasi'!#REF!</f>
        <v>#REF!</v>
      </c>
      <c r="C40" s="446" t="e">
        <f>'Penyelia Kalibrasi'!#REF!</f>
        <v>#REF!</v>
      </c>
      <c r="D40" s="446" t="e">
        <f>'Penyelia Kalibrasi'!#REF!</f>
        <v>#REF!</v>
      </c>
      <c r="E40" s="446" t="e">
        <f>'Penyelia Kalibrasi'!#REF!</f>
        <v>#REF!</v>
      </c>
      <c r="F40" s="453" t="e">
        <f>'Penyelia Kalibrasi'!#REF!</f>
        <v>#REF!</v>
      </c>
      <c r="G40" s="1168"/>
      <c r="H40" s="455" t="e">
        <f>'Penyelia Kalibrasi'!#REF!</f>
        <v>#REF!</v>
      </c>
      <c r="I40" s="456" t="e">
        <f>'Penyelia Kalibrasi'!#REF!</f>
        <v>#REF!</v>
      </c>
      <c r="J40" s="116"/>
      <c r="K40" s="116"/>
    </row>
    <row r="41" spans="1:11" ht="14" hidden="1">
      <c r="A41" s="116"/>
      <c r="B41" s="446" t="e">
        <f>'Penyelia Kalibrasi'!#REF!</f>
        <v>#REF!</v>
      </c>
      <c r="C41" s="446" t="e">
        <f>'Penyelia Kalibrasi'!#REF!</f>
        <v>#REF!</v>
      </c>
      <c r="D41" s="446" t="e">
        <f>'Penyelia Kalibrasi'!#REF!</f>
        <v>#REF!</v>
      </c>
      <c r="E41" s="446" t="e">
        <f>'Penyelia Kalibrasi'!#REF!</f>
        <v>#REF!</v>
      </c>
      <c r="F41" s="453" t="e">
        <f>'Penyelia Kalibrasi'!#REF!</f>
        <v>#REF!</v>
      </c>
      <c r="G41" s="1168"/>
      <c r="H41" s="455" t="e">
        <f>'Penyelia Kalibrasi'!#REF!</f>
        <v>#REF!</v>
      </c>
      <c r="I41" s="456" t="e">
        <f>'Penyelia Kalibrasi'!#REF!</f>
        <v>#REF!</v>
      </c>
      <c r="J41" s="116"/>
      <c r="K41" s="116"/>
    </row>
    <row r="42" spans="1:11" ht="14" hidden="1">
      <c r="A42" s="116"/>
      <c r="B42" s="116">
        <f>'Penyelia Kalibrasi'!B39</f>
        <v>0</v>
      </c>
      <c r="C42" s="116">
        <f>'Penyelia Kalibrasi'!C39</f>
        <v>0</v>
      </c>
      <c r="D42" s="116">
        <f>'Penyelia Kalibrasi'!D39</f>
        <v>0</v>
      </c>
      <c r="E42" s="116">
        <f>'Penyelia Kalibrasi'!E39</f>
        <v>0</v>
      </c>
      <c r="F42" s="116">
        <f>'Penyelia Kalibrasi'!F39</f>
        <v>0</v>
      </c>
      <c r="G42" s="116">
        <f>'Penyelia Kalibrasi'!G39</f>
        <v>0</v>
      </c>
      <c r="H42" s="116">
        <f>'Penyelia Kalibrasi'!H39</f>
        <v>0</v>
      </c>
      <c r="I42" s="116">
        <f>'Penyelia Kalibrasi'!I39</f>
        <v>0</v>
      </c>
      <c r="J42" s="116"/>
      <c r="K42" s="116"/>
    </row>
    <row r="43" spans="1:11" ht="14" hidden="1">
      <c r="A43" s="116"/>
      <c r="B43" s="116" t="e">
        <f>'Penyelia Kalibrasi'!#REF!</f>
        <v>#REF!</v>
      </c>
      <c r="C43" s="116" t="e">
        <f>'Penyelia Kalibrasi'!#REF!</f>
        <v>#REF!</v>
      </c>
      <c r="D43" s="116" t="e">
        <f>'Penyelia Kalibrasi'!#REF!</f>
        <v>#REF!</v>
      </c>
      <c r="E43" s="116" t="e">
        <f>'Penyelia Kalibrasi'!#REF!</f>
        <v>#REF!</v>
      </c>
      <c r="F43" s="116" t="e">
        <f>'Penyelia Kalibrasi'!#REF!</f>
        <v>#REF!</v>
      </c>
      <c r="G43" s="116" t="e">
        <f>'Penyelia Kalibrasi'!#REF!</f>
        <v>#REF!</v>
      </c>
      <c r="H43" s="116" t="e">
        <f>'Penyelia Kalibrasi'!#REF!</f>
        <v>#REF!</v>
      </c>
      <c r="I43" s="116" t="e">
        <f>'Penyelia Kalibrasi'!#REF!</f>
        <v>#REF!</v>
      </c>
      <c r="J43" s="116"/>
      <c r="K43" s="116"/>
    </row>
    <row r="44" spans="1:11" ht="14">
      <c r="A44" s="116"/>
      <c r="B44" s="116"/>
      <c r="C44" s="116"/>
      <c r="D44" s="116"/>
      <c r="E44" s="116"/>
      <c r="F44" s="116"/>
      <c r="G44" s="457"/>
      <c r="H44" s="116"/>
      <c r="I44" s="116"/>
      <c r="J44" s="116"/>
      <c r="K44" s="116"/>
    </row>
    <row r="45" spans="1:11" ht="14">
      <c r="A45" s="116"/>
      <c r="B45" s="128" t="s">
        <v>322</v>
      </c>
      <c r="C45" s="128"/>
      <c r="D45" s="116"/>
      <c r="E45" s="116"/>
      <c r="F45" s="116"/>
      <c r="G45" s="116"/>
      <c r="H45" s="116"/>
      <c r="I45" s="116"/>
      <c r="J45" s="116"/>
      <c r="K45" s="116"/>
    </row>
    <row r="46" spans="1:11" s="445" customFormat="1" ht="14">
      <c r="A46" s="458"/>
      <c r="B46" s="1167" t="str">
        <f>'Penyelia Kalibrasi'!B41</f>
        <v>No.</v>
      </c>
      <c r="C46" s="1093" t="str">
        <f>'Penyelia Kalibrasi'!C41</f>
        <v>Parameter</v>
      </c>
      <c r="D46" s="1093" t="str">
        <f>'Penyelia Kalibrasi'!D41</f>
        <v>Setting Alat</v>
      </c>
      <c r="E46" s="1093" t="str">
        <f>'Penyelia Kalibrasi'!E41</f>
        <v>Pembacaan Standar</v>
      </c>
      <c r="F46" s="1093" t="str">
        <f>F32</f>
        <v>Presisi 
(%)</v>
      </c>
      <c r="G46" s="1093" t="str">
        <f>'Penyelia Kalibrasi'!G41</f>
        <v>Toleransi
(%)</v>
      </c>
      <c r="H46" s="1093" t="str">
        <f>'Penyelia Kalibrasi'!H41</f>
        <v>Ketidakpastian Pengukuran 
(%)</v>
      </c>
      <c r="I46" s="1093"/>
      <c r="J46" s="458"/>
      <c r="K46" s="458"/>
    </row>
    <row r="47" spans="1:11" s="445" customFormat="1" ht="30.75" customHeight="1">
      <c r="A47" s="458"/>
      <c r="B47" s="1167"/>
      <c r="C47" s="1093"/>
      <c r="D47" s="1093"/>
      <c r="E47" s="1093"/>
      <c r="F47" s="1093"/>
      <c r="G47" s="1093"/>
      <c r="H47" s="1093"/>
      <c r="I47" s="1093"/>
      <c r="J47" s="458"/>
      <c r="K47" s="458"/>
    </row>
    <row r="48" spans="1:11" ht="14.25" customHeight="1">
      <c r="A48" s="116"/>
      <c r="B48" s="462">
        <f>'Penyelia Kalibrasi'!B43</f>
        <v>1</v>
      </c>
      <c r="C48" s="1158" t="str">
        <f>'Penyelia Kalibrasi'!C43</f>
        <v>Daya Keluaran Coagulating           ( W )</v>
      </c>
      <c r="D48" s="452">
        <f>'Penyelia Kalibrasi'!D43</f>
        <v>20</v>
      </c>
      <c r="E48" s="453">
        <f>'Penyelia Kalibrasi'!E43</f>
        <v>20.00001</v>
      </c>
      <c r="F48" s="453">
        <f>(ID!O55/ID!N55)*100</f>
        <v>4.999997500001251E-5</v>
      </c>
      <c r="G48" s="1161" t="str">
        <f>'Penyelia Kalibrasi'!G43</f>
        <v>± 20</v>
      </c>
      <c r="H48" s="447" t="str">
        <f>'Penyelia Kalibrasi'!H43</f>
        <v>±</v>
      </c>
      <c r="I48" s="184">
        <f>IF(E48="-","-",ABS(BUDGET!$V$13)/ID!N55*100)</f>
        <v>2.8991331284653254</v>
      </c>
      <c r="J48" s="116"/>
      <c r="K48" s="116"/>
    </row>
    <row r="49" spans="1:11" ht="14">
      <c r="A49" s="116"/>
      <c r="B49" s="462">
        <f>'Penyelia Kalibrasi'!B44</f>
        <v>2</v>
      </c>
      <c r="C49" s="1159"/>
      <c r="D49" s="452">
        <f>'Penyelia Kalibrasi'!D44</f>
        <v>50</v>
      </c>
      <c r="E49" s="453">
        <f>'Penyelia Kalibrasi'!E44</f>
        <v>50.000010000000003</v>
      </c>
      <c r="F49" s="453">
        <f>(ID!O56/ID!N56)*100</f>
        <v>1.99999960000008E-5</v>
      </c>
      <c r="G49" s="1162"/>
      <c r="H49" s="447" t="str">
        <f>'Penyelia Kalibrasi'!H44</f>
        <v>±</v>
      </c>
      <c r="I49" s="184">
        <f>IF(E49="-","-",ABS(BUDGET!$V$13)/ID!N56*100)</f>
        <v>1.1596535992820358</v>
      </c>
      <c r="J49" s="116"/>
      <c r="K49" s="116"/>
    </row>
    <row r="50" spans="1:11" ht="14">
      <c r="A50" s="116"/>
      <c r="B50" s="462">
        <f>'Penyelia Kalibrasi'!B45</f>
        <v>3</v>
      </c>
      <c r="C50" s="1159"/>
      <c r="D50" s="452">
        <f>'Penyelia Kalibrasi'!D45</f>
        <v>80</v>
      </c>
      <c r="E50" s="453">
        <f>'Penyelia Kalibrasi'!E45</f>
        <v>80.000010000000003</v>
      </c>
      <c r="F50" s="453">
        <f>(ID!O57/ID!N57)*100</f>
        <v>1.2499998437500197E-5</v>
      </c>
      <c r="G50" s="1162"/>
      <c r="H50" s="447" t="str">
        <f>'Penyelia Kalibrasi'!H45</f>
        <v>±</v>
      </c>
      <c r="I50" s="184">
        <f>IF(E50="-","-",ABS(BUDGET!$V$13)/ID!N57*100)</f>
        <v>0.72478355391002813</v>
      </c>
      <c r="J50" s="116"/>
      <c r="K50" s="116"/>
    </row>
    <row r="51" spans="1:11" ht="14">
      <c r="A51" s="116"/>
      <c r="B51" s="462">
        <f>'Penyelia Kalibrasi'!B46</f>
        <v>4</v>
      </c>
      <c r="C51" s="1159"/>
      <c r="D51" s="452">
        <f>'Penyelia Kalibrasi'!D46</f>
        <v>100</v>
      </c>
      <c r="E51" s="453">
        <f>'Penyelia Kalibrasi'!E46</f>
        <v>100.00001</v>
      </c>
      <c r="F51" s="453">
        <f>(ID!O58/ID!N58)*100</f>
        <v>9.9999990000000997E-6</v>
      </c>
      <c r="G51" s="1162"/>
      <c r="H51" s="447" t="str">
        <f>'Penyelia Kalibrasi'!H46</f>
        <v>±</v>
      </c>
      <c r="I51" s="184">
        <f>IF(E51="-","-",ABS(BUDGET!$V$13)/ID!N58*100)</f>
        <v>0.57982685762369202</v>
      </c>
      <c r="J51" s="116"/>
      <c r="K51" s="116"/>
    </row>
    <row r="52" spans="1:11" ht="14">
      <c r="A52" s="116"/>
      <c r="B52" s="462">
        <f>'Penyelia Kalibrasi'!B47</f>
        <v>5</v>
      </c>
      <c r="C52" s="1160"/>
      <c r="D52" s="452">
        <f>'Penyelia Kalibrasi'!D47</f>
        <v>150</v>
      </c>
      <c r="E52" s="453">
        <f>'Penyelia Kalibrasi'!E47</f>
        <v>150.00001</v>
      </c>
      <c r="F52" s="453">
        <f>(ID!O59/ID!N59)*100</f>
        <v>6.6666662222222527E-6</v>
      </c>
      <c r="G52" s="1163"/>
      <c r="H52" s="447" t="str">
        <f>'Penyelia Kalibrasi'!H47</f>
        <v>±</v>
      </c>
      <c r="I52" s="184">
        <f>IF(E52="-","-",ABS(BUDGET!$V$13)/ID!N59*100)</f>
        <v>0.38655125130083517</v>
      </c>
      <c r="J52" s="116"/>
      <c r="K52" s="116"/>
    </row>
    <row r="53" spans="1:11" ht="14" hidden="1">
      <c r="A53" s="116"/>
      <c r="B53" s="446" t="e">
        <f>'Penyelia Kalibrasi'!#REF!</f>
        <v>#REF!</v>
      </c>
      <c r="C53" s="469"/>
      <c r="D53" s="452" t="e">
        <f>'Penyelia Kalibrasi'!#REF!</f>
        <v>#REF!</v>
      </c>
      <c r="E53" s="139" t="e">
        <f>'Penyelia Kalibrasi'!#REF!</f>
        <v>#REF!</v>
      </c>
      <c r="F53" s="453" t="e">
        <f>(ID!#REF!/ID!#REF!)*100</f>
        <v>#REF!</v>
      </c>
      <c r="G53" s="465"/>
      <c r="H53" s="447" t="e">
        <f>'Penyelia Kalibrasi'!#REF!</f>
        <v>#REF!</v>
      </c>
      <c r="I53" s="184" t="e">
        <f>IF(E53="-","-",ABS(BUDGET!$V$13)/ID!#REF!*100)</f>
        <v>#REF!</v>
      </c>
      <c r="J53" s="116"/>
      <c r="K53" s="116"/>
    </row>
    <row r="54" spans="1:11" ht="14" hidden="1">
      <c r="A54" s="116"/>
      <c r="B54" s="116" t="e">
        <f>'Penyelia Kalibrasi'!#REF!</f>
        <v>#REF!</v>
      </c>
      <c r="C54" s="116" t="e">
        <f>'Penyelia Kalibrasi'!#REF!</f>
        <v>#REF!</v>
      </c>
      <c r="D54" s="116" t="e">
        <f>'Penyelia Kalibrasi'!#REF!</f>
        <v>#REF!</v>
      </c>
      <c r="E54" s="116" t="e">
        <f>'Penyelia Kalibrasi'!#REF!</f>
        <v>#REF!</v>
      </c>
      <c r="F54" s="453" t="e">
        <f>(ID!#REF!/ID!#REF!)*100</f>
        <v>#REF!</v>
      </c>
      <c r="G54" s="116" t="e">
        <f>'Penyelia Kalibrasi'!#REF!</f>
        <v>#REF!</v>
      </c>
      <c r="H54" s="116" t="e">
        <f>'Penyelia Kalibrasi'!#REF!</f>
        <v>#REF!</v>
      </c>
      <c r="I54" s="116" t="e">
        <f>'Penyelia Kalibrasi'!#REF!</f>
        <v>#REF!</v>
      </c>
      <c r="J54" s="116" t="e">
        <f>'Penyelia Kalibrasi'!#REF!</f>
        <v>#REF!</v>
      </c>
      <c r="K54" s="116" t="e">
        <f>'Penyelia Kalibrasi'!#REF!</f>
        <v>#REF!</v>
      </c>
    </row>
    <row r="55" spans="1:11" ht="14" hidden="1">
      <c r="A55" s="116"/>
      <c r="B55" s="116" t="e">
        <f>'Penyelia Kalibrasi'!#REF!</f>
        <v>#REF!</v>
      </c>
      <c r="C55" s="116" t="e">
        <f>'Penyelia Kalibrasi'!#REF!</f>
        <v>#REF!</v>
      </c>
      <c r="D55" s="116" t="e">
        <f>'Penyelia Kalibrasi'!#REF!</f>
        <v>#REF!</v>
      </c>
      <c r="E55" s="116" t="e">
        <f>'Penyelia Kalibrasi'!#REF!</f>
        <v>#REF!</v>
      </c>
      <c r="F55" s="453" t="e">
        <f>(ID!#REF!/ID!#REF!)*100</f>
        <v>#REF!</v>
      </c>
      <c r="G55" s="116" t="e">
        <f>'Penyelia Kalibrasi'!#REF!</f>
        <v>#REF!</v>
      </c>
      <c r="H55" s="116" t="e">
        <f>'Penyelia Kalibrasi'!#REF!</f>
        <v>#REF!</v>
      </c>
      <c r="I55" s="116" t="e">
        <f>'Penyelia Kalibrasi'!#REF!</f>
        <v>#REF!</v>
      </c>
      <c r="J55" s="116" t="e">
        <f>'Penyelia Kalibrasi'!#REF!</f>
        <v>#REF!</v>
      </c>
      <c r="K55" s="116" t="e">
        <f>'Penyelia Kalibrasi'!#REF!</f>
        <v>#REF!</v>
      </c>
    </row>
    <row r="56" spans="1:11" ht="14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</row>
    <row r="57" spans="1:11" ht="14">
      <c r="A57" s="435" t="str">
        <f>'Penyelia Kalibrasi'!A49</f>
        <v>V.</v>
      </c>
      <c r="B57" s="435" t="str">
        <f>'Penyelia Kalibrasi'!B49</f>
        <v xml:space="preserve">Keterangan </v>
      </c>
      <c r="C57" s="141"/>
      <c r="D57" s="141"/>
      <c r="E57" s="141"/>
      <c r="F57" s="141"/>
      <c r="G57" s="141"/>
      <c r="H57" s="141"/>
      <c r="I57" s="141"/>
      <c r="J57" s="141"/>
      <c r="K57" s="141"/>
    </row>
    <row r="58" spans="1:11" ht="14">
      <c r="A58" s="141"/>
      <c r="B58" s="141" t="str">
        <f>'Penyelia Kalibrasi'!B50</f>
        <v>Ketidakpastian pengukuran dilaporkan pada tingkat kepercayaan 95 % dengan faktor cakupan k = 2</v>
      </c>
      <c r="C58" s="141"/>
      <c r="D58" s="141"/>
      <c r="E58" s="141"/>
      <c r="F58" s="141"/>
      <c r="G58" s="141"/>
      <c r="H58" s="141"/>
      <c r="I58" s="141"/>
      <c r="J58" s="141"/>
      <c r="K58" s="141"/>
    </row>
    <row r="59" spans="1:11" ht="14">
      <c r="A59" s="141"/>
      <c r="B59" s="141" t="str">
        <f>'Penyelia Kalibrasi'!B51</f>
        <v>Hasil pengukuran keselamatan listrik tertelusur ke Satuan Internasional ( SI ) melalui PT. Kaliman</v>
      </c>
      <c r="C59" s="141"/>
      <c r="D59" s="141"/>
      <c r="E59" s="141"/>
      <c r="F59" s="141"/>
      <c r="G59" s="141"/>
      <c r="H59" s="141"/>
      <c r="I59" s="141"/>
      <c r="J59" s="141"/>
      <c r="K59" s="141"/>
    </row>
    <row r="60" spans="1:11" ht="14">
      <c r="A60" s="141"/>
      <c r="B60" s="141" t="str">
        <f>IF($B$78='Input Data Sertifikat ESU'!$A$106,"Hasil pengujian daya keluaran tertelusur ke Satuan Internasional melalui BPFK Jakarta","Hasil pengujian daya keluaran tertelusur ke Satuan Internasional melalui CALTEK PTE. LTD.")</f>
        <v>Hasil pengujian daya keluaran tertelusur ke Satuan Internasional melalui CALTEK PTE. LTD.</v>
      </c>
      <c r="C60" s="141"/>
      <c r="D60" s="141"/>
      <c r="E60" s="141"/>
      <c r="F60" s="141"/>
      <c r="G60" s="141"/>
      <c r="H60" s="141"/>
      <c r="I60" s="141"/>
      <c r="J60" s="141"/>
      <c r="K60" s="141"/>
    </row>
    <row r="61" spans="1:11" ht="14">
      <c r="A61" s="141"/>
      <c r="B61" s="141" t="str">
        <f>'Penyelia Kalibrasi'!B55</f>
        <v>Pengaturan load cutting pada 250Ω</v>
      </c>
      <c r="C61" s="141"/>
      <c r="D61" s="141"/>
      <c r="E61" s="141"/>
      <c r="F61" s="141"/>
      <c r="G61" s="141"/>
      <c r="H61" s="141"/>
      <c r="I61" s="141"/>
      <c r="J61" s="141"/>
      <c r="K61" s="141"/>
    </row>
    <row r="62" spans="1:11" ht="14">
      <c r="A62" s="141"/>
      <c r="B62" s="141" t="str">
        <f>'Penyelia Kalibrasi'!B56</f>
        <v>Pengaturan load coagulating pada 250Ω</v>
      </c>
      <c r="C62" s="141"/>
      <c r="D62" s="141"/>
      <c r="E62" s="141"/>
      <c r="F62" s="141"/>
      <c r="G62" s="141"/>
      <c r="H62" s="141"/>
      <c r="I62" s="141"/>
      <c r="J62" s="141"/>
      <c r="K62" s="141"/>
    </row>
    <row r="63" spans="1:11" ht="14">
      <c r="A63" s="141"/>
      <c r="B63" s="141" t="str">
        <f>'Penyelia Kalibrasi'!B57</f>
        <v>Alat tidak boleh digunakan pada instalasi tanpa dilengkapi grounding</v>
      </c>
      <c r="C63" s="141"/>
      <c r="D63" s="141"/>
      <c r="E63" s="141"/>
      <c r="F63" s="141"/>
      <c r="G63" s="141"/>
      <c r="H63" s="141"/>
      <c r="I63" s="141"/>
      <c r="J63" s="141"/>
      <c r="K63" s="141"/>
    </row>
    <row r="64" spans="1:11" ht="14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</row>
    <row r="65" spans="1:11" ht="14">
      <c r="A65" s="435" t="str">
        <f>'Penyelia Kalibrasi'!A59</f>
        <v>VII.</v>
      </c>
      <c r="B65" s="435" t="str">
        <f>'Penyelia Kalibrasi'!B59</f>
        <v xml:space="preserve">Alat Yang Digunakan </v>
      </c>
      <c r="C65" s="141"/>
      <c r="D65" s="141"/>
      <c r="E65" s="141"/>
      <c r="F65" s="141"/>
      <c r="G65" s="141"/>
      <c r="H65" s="141"/>
      <c r="I65" s="141"/>
      <c r="J65" s="141"/>
      <c r="K65" s="141"/>
    </row>
    <row r="66" spans="1:11" ht="14">
      <c r="A66" s="141"/>
      <c r="B66" s="141" t="str">
        <f>'Penyelia Kalibrasi'!B60</f>
        <v>Electrosurgical Analyzer, Merek : Fluke, Model : QA-ES III, SN : 4639004</v>
      </c>
      <c r="C66" s="141"/>
      <c r="D66" s="141"/>
      <c r="E66" s="141"/>
      <c r="F66" s="141"/>
      <c r="G66" s="141"/>
      <c r="H66" s="141"/>
      <c r="I66" s="141"/>
      <c r="J66" s="141"/>
      <c r="K66" s="141"/>
    </row>
    <row r="67" spans="1:11" ht="14">
      <c r="A67" s="141"/>
      <c r="B67" s="141" t="str">
        <f>'Penyelia Kalibrasi'!B61</f>
        <v>Electrical Safety Analyzer, Merek : Fluke, Model : ESA 615, SN : 4670010</v>
      </c>
      <c r="C67" s="141"/>
      <c r="D67" s="141"/>
      <c r="E67" s="141"/>
      <c r="F67" s="141"/>
      <c r="G67" s="141"/>
      <c r="H67" s="141"/>
      <c r="I67" s="141"/>
      <c r="J67" s="141"/>
      <c r="K67" s="141"/>
    </row>
    <row r="68" spans="1:11" ht="14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</row>
    <row r="69" spans="1:11" ht="14">
      <c r="A69" s="435" t="str">
        <f>'Penyelia Kalibrasi'!A63</f>
        <v>VIII.</v>
      </c>
      <c r="B69" s="435" t="str">
        <f>'Penyelia Kalibrasi'!B63</f>
        <v>Kesimpulan</v>
      </c>
      <c r="C69" s="435"/>
      <c r="D69" s="141"/>
      <c r="E69" s="141"/>
      <c r="F69" s="141"/>
      <c r="G69" s="141"/>
      <c r="H69" s="141"/>
      <c r="I69" s="141"/>
      <c r="J69" s="141"/>
      <c r="K69" s="141"/>
    </row>
    <row r="70" spans="1:11" ht="14.15" customHeight="1">
      <c r="A70" s="141"/>
      <c r="B70" s="1157" t="str">
        <f>IF(A2=A98,D99,D98)</f>
        <v>Alat yang diuji dalam batas toleransi dan dinyatakan LAIK PAKAI, dimana hasil atau skor akhir sama dengan atau melampaui 70 % berdasarkan Keputusan Direktur Jenderal Pelayanan Kesehatan No : HK.02.02/V/0412/2020</v>
      </c>
      <c r="C70" s="1157"/>
      <c r="D70" s="1157"/>
      <c r="E70" s="1157"/>
      <c r="F70" s="1157"/>
      <c r="G70" s="1157"/>
      <c r="H70" s="1157"/>
      <c r="I70" s="1157"/>
      <c r="J70" s="1157"/>
      <c r="K70" s="1157"/>
    </row>
    <row r="71" spans="1:11" ht="14">
      <c r="A71" s="141"/>
      <c r="B71" s="1157"/>
      <c r="C71" s="1157"/>
      <c r="D71" s="1157"/>
      <c r="E71" s="1157"/>
      <c r="F71" s="1157"/>
      <c r="G71" s="1157"/>
      <c r="H71" s="1157"/>
      <c r="I71" s="1157"/>
      <c r="J71" s="1157"/>
      <c r="K71" s="1157"/>
    </row>
    <row r="72" spans="1:11" ht="14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</row>
    <row r="73" spans="1:11" ht="14">
      <c r="A73" s="435" t="str">
        <f>'Penyelia Kalibrasi'!A67</f>
        <v>IX.</v>
      </c>
      <c r="B73" s="435" t="s">
        <v>323</v>
      </c>
      <c r="C73" s="141"/>
      <c r="D73" s="141"/>
      <c r="E73" s="141"/>
      <c r="F73" s="141"/>
      <c r="G73" s="141"/>
      <c r="H73" s="141"/>
      <c r="I73" s="141"/>
      <c r="J73" s="141"/>
      <c r="K73" s="141"/>
    </row>
    <row r="74" spans="1:11" ht="14">
      <c r="A74" s="141"/>
      <c r="B74" s="141" t="str">
        <f>'Penyelia Kalibrasi'!B68</f>
        <v>Muhammad Iqbal Saiful Rahman</v>
      </c>
      <c r="C74" s="141"/>
      <c r="D74" s="141"/>
      <c r="E74" s="141"/>
      <c r="F74" s="141"/>
      <c r="G74" s="141"/>
      <c r="H74" s="141"/>
      <c r="I74" s="141"/>
      <c r="J74" s="141"/>
      <c r="K74" s="141"/>
    </row>
    <row r="75" spans="1:11" ht="14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</row>
    <row r="76" spans="1:11" ht="14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</row>
    <row r="77" spans="1:11" ht="14">
      <c r="A77" s="116"/>
      <c r="B77" s="116"/>
      <c r="D77" s="116"/>
      <c r="E77" s="116"/>
      <c r="F77" s="116"/>
      <c r="G77" s="116"/>
      <c r="H77" s="116"/>
      <c r="I77" s="116"/>
      <c r="J77" s="116"/>
      <c r="K77" s="116"/>
    </row>
    <row r="78" spans="1:11" ht="14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</row>
    <row r="79" spans="1:11" ht="14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</row>
    <row r="80" spans="1:11" ht="14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</row>
    <row r="81" spans="1:11" ht="14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</row>
    <row r="82" spans="1:11" ht="14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</row>
    <row r="98" spans="1:4" ht="15.5">
      <c r="A98" s="92" t="s">
        <v>324</v>
      </c>
      <c r="D98" s="157" t="s">
        <v>325</v>
      </c>
    </row>
    <row r="99" spans="1:4" ht="15.5">
      <c r="A99" s="93" t="s">
        <v>163</v>
      </c>
      <c r="D99" s="158" t="s">
        <v>326</v>
      </c>
    </row>
  </sheetData>
  <sheetProtection algorithmName="SHA-512" hashValue="jBwAWgLByy8YCxgyRW8O/Hat8w3sxPZYTOhwUshrvxzHn4+mFol4xTNcfnLkCVgmvPrhAFpTf1v47ayRW9PqSg==" saltValue="MKr56Q49vvNSc72AIcXPcw==" spinCount="100000" sheet="1" objects="1" scenarios="1"/>
  <mergeCells count="54">
    <mergeCell ref="D4:K4"/>
    <mergeCell ref="D5:K5"/>
    <mergeCell ref="D6:K6"/>
    <mergeCell ref="D7:K7"/>
    <mergeCell ref="D8:K8"/>
    <mergeCell ref="A1:K1"/>
    <mergeCell ref="A2:K2"/>
    <mergeCell ref="H46:I47"/>
    <mergeCell ref="B46:B47"/>
    <mergeCell ref="C46:C47"/>
    <mergeCell ref="D46:D47"/>
    <mergeCell ref="E46:E47"/>
    <mergeCell ref="F46:F47"/>
    <mergeCell ref="H24:I24"/>
    <mergeCell ref="J24:K24"/>
    <mergeCell ref="B32:B33"/>
    <mergeCell ref="G34:G41"/>
    <mergeCell ref="C34:C38"/>
    <mergeCell ref="F32:F33"/>
    <mergeCell ref="G32:G33"/>
    <mergeCell ref="C25:G25"/>
    <mergeCell ref="B70:K71"/>
    <mergeCell ref="A10:C10"/>
    <mergeCell ref="A11:C11"/>
    <mergeCell ref="A12:C12"/>
    <mergeCell ref="C48:C52"/>
    <mergeCell ref="G48:G52"/>
    <mergeCell ref="B17:C17"/>
    <mergeCell ref="D15:E15"/>
    <mergeCell ref="D16:E16"/>
    <mergeCell ref="D17:E17"/>
    <mergeCell ref="C27:G27"/>
    <mergeCell ref="D10:K10"/>
    <mergeCell ref="H32:I33"/>
    <mergeCell ref="G46:G47"/>
    <mergeCell ref="D11:K11"/>
    <mergeCell ref="D12:K12"/>
    <mergeCell ref="A4:C4"/>
    <mergeCell ref="A5:C5"/>
    <mergeCell ref="A6:C6"/>
    <mergeCell ref="A7:C7"/>
    <mergeCell ref="A8:C8"/>
    <mergeCell ref="A9:C9"/>
    <mergeCell ref="B20:C20"/>
    <mergeCell ref="B21:C21"/>
    <mergeCell ref="C24:G24"/>
    <mergeCell ref="C32:C33"/>
    <mergeCell ref="D32:D33"/>
    <mergeCell ref="E32:E33"/>
    <mergeCell ref="C28:G28"/>
    <mergeCell ref="D9:K9"/>
    <mergeCell ref="C26:G26"/>
    <mergeCell ref="B15:C15"/>
    <mergeCell ref="B16:C16"/>
  </mergeCells>
  <pageMargins left="0.7" right="0.7" top="0.75" bottom="0.75" header="0.3" footer="0.3"/>
  <pageSetup scale="65" orientation="portrait" r:id="rId1"/>
  <headerFooter>
    <oddFooter xml:space="preserve">&amp;R&amp;K00-049ESU Uji 9.3.2022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SERTIFIKAT</vt:lpstr>
      <vt:lpstr>Riwayat Revisi</vt:lpstr>
      <vt:lpstr>LK</vt:lpstr>
      <vt:lpstr>ID</vt:lpstr>
      <vt:lpstr>Kata-kata</vt:lpstr>
      <vt:lpstr>BUDGET</vt:lpstr>
      <vt:lpstr>Penyelia Kalibrasi</vt:lpstr>
      <vt:lpstr>LH</vt:lpstr>
      <vt:lpstr>Penyelia Pengujian</vt:lpstr>
      <vt:lpstr>LHP</vt:lpstr>
      <vt:lpstr>DB Thermohygro </vt:lpstr>
      <vt:lpstr>Input Data Sertifikat ESU</vt:lpstr>
      <vt:lpstr>DB Kelistrikan </vt:lpstr>
      <vt:lpstr>BUDGET!Print_Area</vt:lpstr>
      <vt:lpstr>'DB Kelistrikan '!Print_Area</vt:lpstr>
      <vt:lpstr>'DB Thermohygro '!Print_Area</vt:lpstr>
      <vt:lpstr>ID!Print_Area</vt:lpstr>
      <vt:lpstr>LH!Print_Area</vt:lpstr>
      <vt:lpstr>LHP!Print_Area</vt:lpstr>
      <vt:lpstr>LK!Print_Area</vt:lpstr>
      <vt:lpstr>'Penyelia Kalibrasi'!Print_Area</vt:lpstr>
      <vt:lpstr>'Penyelia Pengujian'!Print_Area</vt:lpstr>
      <vt:lpstr>SERTIFIKAT!Print_Area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8.1</dc:creator>
  <cp:keywords/>
  <dc:description/>
  <cp:lastModifiedBy>MyBook PRO K5</cp:lastModifiedBy>
  <cp:revision/>
  <cp:lastPrinted>2022-04-07T01:56:30Z</cp:lastPrinted>
  <dcterms:created xsi:type="dcterms:W3CDTF">2016-04-04T10:34:56Z</dcterms:created>
  <dcterms:modified xsi:type="dcterms:W3CDTF">2023-09-19T00:06:34Z</dcterms:modified>
  <cp:category/>
  <cp:contentStatus/>
</cp:coreProperties>
</file>