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D04D69D0-6F2A-4C7D-9787-B6E640A9F413}" xr6:coauthVersionLast="45" xr6:coauthVersionMax="47" xr10:uidLastSave="{00000000-0000-0000-0000-000000000000}"/>
  <bookViews>
    <workbookView xWindow="-110" yWindow="-110" windowWidth="19420" windowHeight="10300" firstSheet="1" activeTab="7" xr2:uid="{ABB16F43-EC2F-41A4-A77F-5BF47D5FCCEA}"/>
  </bookViews>
  <sheets>
    <sheet name="Sert Thermohygro" sheetId="7" r:id="rId1"/>
    <sheet name="Sert Insulation" sheetId="11" r:id="rId2"/>
    <sheet name="LK" sheetId="3" r:id="rId3"/>
    <sheet name="ID" sheetId="5" r:id="rId4"/>
    <sheet name="KTPS" sheetId="8" r:id="rId5"/>
    <sheet name="Sert Resistor" sheetId="6" r:id="rId6"/>
    <sheet name="LP" sheetId="9" r:id="rId7"/>
    <sheet name="LH" sheetId="10" r:id="rId8"/>
    <sheet name="Sert Time Electronics" sheetId="1" r:id="rId9"/>
    <sheet name="Kata-kata" sheetId="2" r:id="rId10"/>
  </sheets>
  <definedNames>
    <definedName name="_xlnm.Print_Area" localSheetId="3">ID!$A$1:$K$156,ID!$A$158:$K$181</definedName>
    <definedName name="_xlnm.Print_Area" localSheetId="4">KTPS!$A$1:$L$76,KTPS!$A$80:$L$145,KTPS!$N$80:$X$145,KTPS!$A$153:$L$225,KTPS!$A$234:$L$307,KTPS!$N$235:$X$307,KTPS!$Z$235:$AJ$307,KTPS!$AL$235:$AV$307,KTPS!$AX$235:$BH$307,KTPS!$A$312:$L$384,KTPS!$A$390:$L$463,KTPS!$N$391:$X$463,KTPS!$Z$391:$AJ$463,KTPS!$AL$391:$AV$463,KTPS!$AX$391:$BH$464</definedName>
    <definedName name="_xlnm.Print_Area" localSheetId="7">LH!$A$1:$K$184</definedName>
    <definedName name="_xlnm.Print_Area" localSheetId="2">LK!$A$1:$L$172</definedName>
    <definedName name="_xlnm.Print_Area" localSheetId="6">LP!$A$1:$K$177</definedName>
    <definedName name="_xlnm.Print_Area" localSheetId="0">'Sert Thermohygro'!#REF!,'Sert Thermohygro'!#REF!</definedName>
    <definedName name="_xlnm.Print_Area" localSheetId="8">'Sert Time Electronics'!$M$103:$U$108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6" i="9" l="1"/>
  <c r="X175" i="1"/>
  <c r="U214" i="1"/>
  <c r="U215" i="1"/>
  <c r="U216" i="1"/>
  <c r="U217" i="1"/>
  <c r="U218" i="1"/>
  <c r="AA213" i="1"/>
  <c r="Z213" i="1"/>
  <c r="U213" i="1"/>
  <c r="U206" i="1"/>
  <c r="U207" i="1"/>
  <c r="U208" i="1"/>
  <c r="U209" i="1"/>
  <c r="U210" i="1"/>
  <c r="U205" i="1"/>
  <c r="U198" i="1"/>
  <c r="U199" i="1"/>
  <c r="U200" i="1"/>
  <c r="U201" i="1"/>
  <c r="U202" i="1"/>
  <c r="AA197" i="1"/>
  <c r="Z197" i="1"/>
  <c r="U197" i="1"/>
  <c r="U194" i="1"/>
  <c r="U190" i="1"/>
  <c r="U191" i="1"/>
  <c r="U192" i="1"/>
  <c r="U193" i="1"/>
  <c r="Z189" i="1"/>
  <c r="AA189" i="1"/>
  <c r="U189" i="1"/>
  <c r="U182" i="1"/>
  <c r="U183" i="1"/>
  <c r="U184" i="1"/>
  <c r="U185" i="1"/>
  <c r="U186" i="1"/>
  <c r="AA181" i="1"/>
  <c r="Z181" i="1"/>
  <c r="U181" i="1"/>
  <c r="U177" i="1"/>
  <c r="U173" i="1"/>
  <c r="U174" i="1"/>
  <c r="U175" i="1"/>
  <c r="U176" i="1"/>
  <c r="U172" i="1"/>
  <c r="U165" i="1"/>
  <c r="U166" i="1"/>
  <c r="U167" i="1"/>
  <c r="U168" i="1"/>
  <c r="U169" i="1"/>
  <c r="AA164" i="1"/>
  <c r="Z164" i="1"/>
  <c r="U164" i="1"/>
  <c r="U161" i="1"/>
  <c r="U157" i="1"/>
  <c r="U158" i="1"/>
  <c r="U159" i="1"/>
  <c r="U160" i="1"/>
  <c r="AA156" i="1"/>
  <c r="Z156" i="1"/>
  <c r="U156" i="1"/>
  <c r="U153" i="1"/>
  <c r="U149" i="1"/>
  <c r="U150" i="1"/>
  <c r="U151" i="1"/>
  <c r="U152" i="1"/>
  <c r="AA148" i="1"/>
  <c r="Z148" i="1"/>
  <c r="U148" i="1"/>
  <c r="AA145" i="1"/>
  <c r="AA141" i="1"/>
  <c r="AA142" i="1"/>
  <c r="AA143" i="1"/>
  <c r="AA144" i="1"/>
  <c r="Z141" i="1"/>
  <c r="Z142" i="1"/>
  <c r="Z143" i="1"/>
  <c r="Z144" i="1"/>
  <c r="Z145" i="1"/>
  <c r="U145" i="1"/>
  <c r="U141" i="1"/>
  <c r="U142" i="1"/>
  <c r="U143" i="1"/>
  <c r="U144" i="1"/>
  <c r="AA140" i="1"/>
  <c r="Z140" i="1"/>
  <c r="U140" i="1"/>
  <c r="AA132" i="1"/>
  <c r="Z132" i="1"/>
  <c r="U132" i="1"/>
  <c r="U123" i="1"/>
  <c r="U133" i="1" l="1"/>
  <c r="U134" i="1"/>
  <c r="U135" i="1"/>
  <c r="U136" i="1"/>
  <c r="U137" i="1"/>
  <c r="U128" i="1"/>
  <c r="U124" i="1"/>
  <c r="U125" i="1"/>
  <c r="U126" i="1"/>
  <c r="U127" i="1"/>
  <c r="AD49" i="6"/>
  <c r="AG48" i="6"/>
  <c r="AG49" i="6"/>
  <c r="M42" i="5"/>
  <c r="N42" i="5"/>
  <c r="O42" i="5"/>
  <c r="P42" i="5"/>
  <c r="Q42" i="5"/>
  <c r="E109" i="8"/>
  <c r="E122" i="8"/>
  <c r="E135" i="8" s="1"/>
  <c r="G46" i="5"/>
  <c r="AJ51" i="6"/>
  <c r="AI48" i="6"/>
  <c r="AJ48" i="6"/>
  <c r="AI50" i="6"/>
  <c r="AJ50" i="6"/>
  <c r="AI51" i="6"/>
  <c r="AJ47" i="6"/>
  <c r="AI47" i="6"/>
  <c r="AG64" i="6"/>
  <c r="AG63" i="6"/>
  <c r="AG62" i="6"/>
  <c r="AG61" i="6"/>
  <c r="AG60" i="6"/>
  <c r="AG51" i="6"/>
  <c r="AG50" i="6"/>
  <c r="AG47" i="6"/>
  <c r="G54" i="5"/>
  <c r="F54" i="5"/>
  <c r="F46" i="5"/>
  <c r="AA47" i="6"/>
  <c r="AA48" i="6"/>
  <c r="H15" i="10"/>
  <c r="J124" i="1" l="1"/>
  <c r="J125" i="1"/>
  <c r="J126" i="1"/>
  <c r="J127" i="1"/>
  <c r="J128" i="1"/>
  <c r="J123" i="1"/>
  <c r="J183" i="10"/>
  <c r="R68" i="6"/>
  <c r="C169" i="10"/>
  <c r="I16" i="10"/>
  <c r="H16" i="10"/>
  <c r="I15" i="10"/>
  <c r="M40" i="5"/>
  <c r="M41" i="5"/>
  <c r="R377" i="7"/>
  <c r="V8" i="6"/>
  <c r="N8" i="6"/>
  <c r="F15" i="6"/>
  <c r="F8" i="6"/>
  <c r="F14" i="6"/>
  <c r="F13" i="6"/>
  <c r="F12" i="6"/>
  <c r="F11" i="6"/>
  <c r="F10" i="6"/>
  <c r="F9" i="6"/>
  <c r="N15" i="6"/>
  <c r="N14" i="6"/>
  <c r="N13" i="6"/>
  <c r="N12" i="6"/>
  <c r="N11" i="6"/>
  <c r="N10" i="6"/>
  <c r="N9" i="6"/>
  <c r="V15" i="6"/>
  <c r="V14" i="6"/>
  <c r="V13" i="6"/>
  <c r="V12" i="6"/>
  <c r="V11" i="6"/>
  <c r="V10" i="6"/>
  <c r="V9" i="6"/>
  <c r="V35" i="6"/>
  <c r="V34" i="6"/>
  <c r="V33" i="6"/>
  <c r="V32" i="6"/>
  <c r="V31" i="6"/>
  <c r="V30" i="6"/>
  <c r="V29" i="6"/>
  <c r="N35" i="6"/>
  <c r="N34" i="6"/>
  <c r="N33" i="6"/>
  <c r="N32" i="6"/>
  <c r="N31" i="6"/>
  <c r="N30" i="6"/>
  <c r="N29" i="6"/>
  <c r="F32" i="6"/>
  <c r="F30" i="6"/>
  <c r="F31" i="6"/>
  <c r="F33" i="6"/>
  <c r="F34" i="6"/>
  <c r="F35" i="6"/>
  <c r="F29" i="6"/>
  <c r="G107" i="1" l="1"/>
  <c r="I176" i="10" l="1"/>
  <c r="W12" i="1" l="1"/>
  <c r="T12" i="1" s="1"/>
  <c r="S12" i="1"/>
  <c r="W10" i="1"/>
  <c r="T10" i="1" s="1"/>
  <c r="W9" i="1"/>
  <c r="T9" i="1" s="1"/>
  <c r="W11" i="1"/>
  <c r="T11" i="1" s="1"/>
  <c r="S11" i="1"/>
  <c r="S10" i="1"/>
  <c r="S9" i="1"/>
  <c r="T108" i="1"/>
  <c r="Q108" i="1" s="1"/>
  <c r="T107" i="1"/>
  <c r="Q107" i="1" s="1"/>
  <c r="T106" i="1"/>
  <c r="Q106" i="1" s="1"/>
  <c r="T105" i="1"/>
  <c r="Q105" i="1" s="1"/>
  <c r="P106" i="1"/>
  <c r="P107" i="1"/>
  <c r="P109" i="1"/>
  <c r="P110" i="1"/>
  <c r="P111" i="1"/>
  <c r="P112" i="1"/>
  <c r="P105" i="1"/>
  <c r="X157" i="1"/>
  <c r="P108" i="1" l="1"/>
  <c r="AO250" i="8"/>
  <c r="X150" i="1" l="1"/>
  <c r="X142" i="1"/>
  <c r="X143" i="1"/>
  <c r="X144" i="1"/>
  <c r="X145" i="1"/>
  <c r="X140" i="1"/>
  <c r="X141" i="1"/>
  <c r="X124" i="1" l="1"/>
  <c r="T181" i="1" l="1"/>
  <c r="C168" i="9" l="1"/>
  <c r="C168" i="10" s="1"/>
  <c r="AH48" i="11" l="1"/>
  <c r="AH49" i="11"/>
  <c r="AH50" i="11"/>
  <c r="AH47" i="11"/>
  <c r="AG48" i="11"/>
  <c r="AG49" i="11"/>
  <c r="AG50" i="11"/>
  <c r="AG47" i="11"/>
  <c r="AC48" i="11"/>
  <c r="AD48" i="11" s="1"/>
  <c r="AC49" i="11"/>
  <c r="AD49" i="11" s="1"/>
  <c r="AC50" i="11"/>
  <c r="AD50" i="11" s="1"/>
  <c r="AC47" i="11"/>
  <c r="AD47" i="11" s="1"/>
  <c r="G8" i="1"/>
  <c r="AA48" i="11"/>
  <c r="AA49" i="11"/>
  <c r="AA50" i="11"/>
  <c r="AA47" i="11"/>
  <c r="Y45" i="11"/>
  <c r="B61" i="11"/>
  <c r="O61" i="11" s="1"/>
  <c r="K60" i="11" s="1"/>
  <c r="R25" i="11"/>
  <c r="J25" i="11"/>
  <c r="B25" i="11"/>
  <c r="R4" i="11"/>
  <c r="J4" i="11"/>
  <c r="B4" i="11"/>
  <c r="N67" i="11"/>
  <c r="M67" i="11"/>
  <c r="L67" i="11"/>
  <c r="N66" i="11"/>
  <c r="M66" i="11"/>
  <c r="L66" i="11"/>
  <c r="N65" i="11"/>
  <c r="M65" i="11"/>
  <c r="L65" i="11"/>
  <c r="N64" i="11"/>
  <c r="M64" i="11"/>
  <c r="L64" i="11"/>
  <c r="N63" i="11"/>
  <c r="M63" i="11"/>
  <c r="L63" i="11"/>
  <c r="N62" i="11"/>
  <c r="M62" i="11"/>
  <c r="L62" i="11"/>
  <c r="Z47" i="11"/>
  <c r="L37" i="11"/>
  <c r="C37" i="11"/>
  <c r="V35" i="11"/>
  <c r="N35" i="11"/>
  <c r="F35" i="11"/>
  <c r="V34" i="11"/>
  <c r="N34" i="11"/>
  <c r="F34" i="11"/>
  <c r="Y33" i="11"/>
  <c r="V33" i="11"/>
  <c r="O33" i="11"/>
  <c r="N33" i="11"/>
  <c r="F33" i="11"/>
  <c r="Y32" i="11"/>
  <c r="V32" i="11"/>
  <c r="O32" i="11"/>
  <c r="N32" i="11"/>
  <c r="F32" i="11"/>
  <c r="Y31" i="11"/>
  <c r="V31" i="11"/>
  <c r="O31" i="11"/>
  <c r="N31" i="11"/>
  <c r="F31" i="11"/>
  <c r="X30" i="11"/>
  <c r="Y30" i="11" s="1"/>
  <c r="V30" i="11"/>
  <c r="O30" i="11"/>
  <c r="N30" i="11"/>
  <c r="F30" i="11"/>
  <c r="AA29" i="11"/>
  <c r="Z29" i="11"/>
  <c r="AA30" i="11" s="1"/>
  <c r="X29" i="11"/>
  <c r="Y29" i="11" s="1"/>
  <c r="V29" i="11"/>
  <c r="O29" i="11"/>
  <c r="N29" i="11"/>
  <c r="F29" i="11"/>
  <c r="K17" i="11"/>
  <c r="W15" i="11"/>
  <c r="V15" i="11"/>
  <c r="O15" i="11"/>
  <c r="N15" i="11"/>
  <c r="F15" i="11"/>
  <c r="W14" i="11"/>
  <c r="V14" i="11"/>
  <c r="O14" i="11"/>
  <c r="N14" i="11"/>
  <c r="F14" i="11"/>
  <c r="V13" i="11"/>
  <c r="N13" i="11"/>
  <c r="F13" i="11"/>
  <c r="V12" i="11"/>
  <c r="N12" i="11"/>
  <c r="F12" i="11"/>
  <c r="V11" i="11"/>
  <c r="N11" i="11"/>
  <c r="F11" i="11"/>
  <c r="V10" i="11"/>
  <c r="N10" i="11"/>
  <c r="F10" i="11"/>
  <c r="V9" i="11"/>
  <c r="N9" i="11"/>
  <c r="F9" i="11"/>
  <c r="F8" i="11"/>
  <c r="O35" i="11" l="1"/>
  <c r="G35" i="11"/>
  <c r="O34" i="11"/>
  <c r="B53" i="11"/>
  <c r="F47" i="11"/>
  <c r="B51" i="11"/>
  <c r="E49" i="11"/>
  <c r="D54" i="11"/>
  <c r="B68" i="11"/>
  <c r="C50" i="11"/>
  <c r="B56" i="11"/>
  <c r="D50" i="11"/>
  <c r="C51" i="11"/>
  <c r="B52" i="11"/>
  <c r="D53" i="11"/>
  <c r="G54" i="11"/>
  <c r="F54" i="11" s="1"/>
  <c r="D56" i="11"/>
  <c r="B46" i="11"/>
  <c r="B49" i="11"/>
  <c r="D51" i="11"/>
  <c r="C52" i="11"/>
  <c r="E53" i="11"/>
  <c r="D55" i="11"/>
  <c r="B57" i="11"/>
  <c r="B47" i="11"/>
  <c r="D49" i="11"/>
  <c r="B50" i="11"/>
  <c r="D52" i="11"/>
  <c r="C54" i="11"/>
  <c r="E55" i="11"/>
  <c r="E57" i="11"/>
  <c r="G56" i="11"/>
  <c r="F56" i="11" s="1"/>
  <c r="G50" i="11"/>
  <c r="F50" i="11" s="1"/>
  <c r="G51" i="11"/>
  <c r="F51" i="11" s="1"/>
  <c r="G52" i="11"/>
  <c r="F52" i="11" s="1"/>
  <c r="B54" i="11"/>
  <c r="B55" i="11"/>
  <c r="C56" i="11"/>
  <c r="D57" i="11"/>
  <c r="R68" i="11"/>
  <c r="A46" i="11"/>
  <c r="G47" i="11"/>
  <c r="B48" i="11"/>
  <c r="C49" i="11"/>
  <c r="E50" i="11"/>
  <c r="E51" i="11"/>
  <c r="E52" i="11"/>
  <c r="C53" i="11"/>
  <c r="G53" i="11"/>
  <c r="F53" i="11" s="1"/>
  <c r="E54" i="11"/>
  <c r="C55" i="11"/>
  <c r="G55" i="11"/>
  <c r="F55" i="11" s="1"/>
  <c r="E56" i="11"/>
  <c r="C57" i="11"/>
  <c r="G57" i="11"/>
  <c r="F57" i="11" s="1"/>
  <c r="J9" i="1" l="1"/>
  <c r="K9" i="1"/>
  <c r="L9" i="1"/>
  <c r="N9" i="1"/>
  <c r="J10" i="1"/>
  <c r="K10" i="1"/>
  <c r="L10" i="1"/>
  <c r="N10" i="1"/>
  <c r="J11" i="1"/>
  <c r="K11" i="1"/>
  <c r="L11" i="1"/>
  <c r="N11" i="1"/>
  <c r="J12" i="1"/>
  <c r="K12" i="1"/>
  <c r="L12" i="1"/>
  <c r="N12" i="1"/>
  <c r="I10" i="1"/>
  <c r="I11" i="1"/>
  <c r="I12" i="1"/>
  <c r="I9" i="1"/>
  <c r="J8" i="1"/>
  <c r="K8" i="1"/>
  <c r="L8" i="1"/>
  <c r="N8" i="1"/>
  <c r="I8" i="1"/>
  <c r="G36" i="9" l="1"/>
  <c r="M49" i="5" l="1"/>
  <c r="N49" i="5" l="1"/>
  <c r="M50" i="5"/>
  <c r="Q50" i="5"/>
  <c r="P51" i="5"/>
  <c r="O52" i="5"/>
  <c r="P48" i="5"/>
  <c r="O48" i="5"/>
  <c r="O49" i="5"/>
  <c r="N50" i="5"/>
  <c r="M51" i="5"/>
  <c r="Q51" i="5"/>
  <c r="P52" i="5"/>
  <c r="Q48" i="5"/>
  <c r="M48" i="5"/>
  <c r="Q52" i="5"/>
  <c r="P49" i="5"/>
  <c r="O50" i="5"/>
  <c r="N51" i="5"/>
  <c r="M52" i="5"/>
  <c r="N48" i="5"/>
  <c r="Q49" i="5"/>
  <c r="P50" i="5"/>
  <c r="O51" i="5"/>
  <c r="N52" i="5"/>
  <c r="Q41" i="5"/>
  <c r="O43" i="5"/>
  <c r="N44" i="5"/>
  <c r="O40" i="5"/>
  <c r="O41" i="5"/>
  <c r="Q43" i="5"/>
  <c r="N43" i="5"/>
  <c r="N41" i="5"/>
  <c r="P43" i="5"/>
  <c r="O44" i="5"/>
  <c r="P40" i="5"/>
  <c r="M43" i="5"/>
  <c r="Q40" i="5"/>
  <c r="N40" i="5"/>
  <c r="P44" i="5"/>
  <c r="P41" i="5"/>
  <c r="Q44" i="5"/>
  <c r="M44" i="5"/>
  <c r="J112" i="1"/>
  <c r="K110" i="1"/>
  <c r="G106" i="1"/>
  <c r="AC47" i="6" l="1"/>
  <c r="AD47" i="6" s="1"/>
  <c r="AE47" i="11"/>
  <c r="AE49" i="11"/>
  <c r="AC60" i="6"/>
  <c r="AE48" i="11"/>
  <c r="AE50" i="11"/>
  <c r="I45" i="9" l="1"/>
  <c r="AJ50" i="11"/>
  <c r="AJ47" i="11"/>
  <c r="AI50" i="11"/>
  <c r="AI48" i="11"/>
  <c r="AJ48" i="11"/>
  <c r="AJ49" i="11"/>
  <c r="AI49" i="11"/>
  <c r="AI47" i="11"/>
  <c r="C164" i="9"/>
  <c r="C164" i="10" s="1"/>
  <c r="C155" i="9"/>
  <c r="C155" i="10" s="1"/>
  <c r="C157" i="9"/>
  <c r="C157" i="10" s="1"/>
  <c r="C158" i="9"/>
  <c r="C158" i="10" s="1"/>
  <c r="C159" i="9"/>
  <c r="C159" i="10" s="1"/>
  <c r="C161" i="9"/>
  <c r="C161" i="10" s="1"/>
  <c r="C162" i="9"/>
  <c r="C162" i="10" s="1"/>
  <c r="C163" i="9"/>
  <c r="C163" i="10" s="1"/>
  <c r="C154" i="9"/>
  <c r="C154" i="10" s="1"/>
  <c r="AF50" i="11" l="1"/>
  <c r="AF49" i="11"/>
  <c r="AF48" i="11"/>
  <c r="AF47" i="11"/>
  <c r="B161" i="5"/>
  <c r="C156" i="9" s="1"/>
  <c r="C156" i="10" s="1"/>
  <c r="F46" i="10" l="1"/>
  <c r="F47" i="10"/>
  <c r="F48" i="10"/>
  <c r="F49" i="10"/>
  <c r="F45" i="10"/>
  <c r="F40" i="10"/>
  <c r="F41" i="10"/>
  <c r="F42" i="10"/>
  <c r="F43" i="10"/>
  <c r="F39" i="10"/>
  <c r="H12" i="10"/>
  <c r="F151" i="10"/>
  <c r="F150" i="10"/>
  <c r="F149" i="10"/>
  <c r="F148" i="10"/>
  <c r="F147" i="10"/>
  <c r="F146" i="10"/>
  <c r="F144" i="10"/>
  <c r="F143" i="10"/>
  <c r="F142" i="10"/>
  <c r="F141" i="10"/>
  <c r="F140" i="10"/>
  <c r="F139" i="10"/>
  <c r="F137" i="10"/>
  <c r="F136" i="10"/>
  <c r="F135" i="10"/>
  <c r="F134" i="10"/>
  <c r="F133" i="10"/>
  <c r="F132" i="10"/>
  <c r="F130" i="10"/>
  <c r="F129" i="10"/>
  <c r="F128" i="10"/>
  <c r="F127" i="10"/>
  <c r="F126" i="10"/>
  <c r="F125" i="10"/>
  <c r="F123" i="10"/>
  <c r="F122" i="10"/>
  <c r="F121" i="10"/>
  <c r="F120" i="10"/>
  <c r="F119" i="10"/>
  <c r="F118" i="10"/>
  <c r="I114" i="10"/>
  <c r="G114" i="10"/>
  <c r="F111" i="10"/>
  <c r="F110" i="10"/>
  <c r="F109" i="10"/>
  <c r="F108" i="10"/>
  <c r="F107" i="10"/>
  <c r="F106" i="10"/>
  <c r="I103" i="10"/>
  <c r="G103" i="10"/>
  <c r="F100" i="10"/>
  <c r="F99" i="10"/>
  <c r="F98" i="10"/>
  <c r="F97" i="10"/>
  <c r="F96" i="10"/>
  <c r="F95" i="10"/>
  <c r="F93" i="10"/>
  <c r="F92" i="10"/>
  <c r="F91" i="10"/>
  <c r="F90" i="10"/>
  <c r="F89" i="10"/>
  <c r="F88" i="10"/>
  <c r="F86" i="10"/>
  <c r="F85" i="10"/>
  <c r="F84" i="10"/>
  <c r="F83" i="10"/>
  <c r="F82" i="10"/>
  <c r="F81" i="10"/>
  <c r="F79" i="10"/>
  <c r="F78" i="10"/>
  <c r="F77" i="10"/>
  <c r="F76" i="10"/>
  <c r="F75" i="10"/>
  <c r="F74" i="10"/>
  <c r="F72" i="10"/>
  <c r="F71" i="10"/>
  <c r="F70" i="10"/>
  <c r="F69" i="10"/>
  <c r="F68" i="10"/>
  <c r="F67" i="10"/>
  <c r="I63" i="10"/>
  <c r="G63" i="10"/>
  <c r="F60" i="10"/>
  <c r="F59" i="10"/>
  <c r="F58" i="10"/>
  <c r="F57" i="10"/>
  <c r="F56" i="10"/>
  <c r="F55" i="10"/>
  <c r="I52" i="10"/>
  <c r="G52" i="10"/>
  <c r="I36" i="10"/>
  <c r="G36" i="10"/>
  <c r="I24" i="10"/>
  <c r="G24" i="10"/>
  <c r="J176" i="9"/>
  <c r="A2" i="9"/>
  <c r="A2" i="10" s="1"/>
  <c r="H20" i="9"/>
  <c r="H20" i="10" s="1"/>
  <c r="H19" i="9"/>
  <c r="H19" i="10" s="1"/>
  <c r="H6" i="9" l="1"/>
  <c r="H6" i="10" s="1"/>
  <c r="H7" i="9"/>
  <c r="H7" i="10" s="1"/>
  <c r="H8" i="9"/>
  <c r="H8" i="10" s="1"/>
  <c r="H9" i="9"/>
  <c r="H9" i="10" s="1"/>
  <c r="H10" i="9"/>
  <c r="H10" i="10" s="1"/>
  <c r="H11" i="9"/>
  <c r="H11" i="10" s="1"/>
  <c r="H5" i="9"/>
  <c r="H5" i="10" s="1"/>
  <c r="Q378" i="7"/>
  <c r="Q377" i="7"/>
  <c r="AK50" i="11" l="1"/>
  <c r="AK48" i="11"/>
  <c r="C65" i="8"/>
  <c r="L75" i="8"/>
  <c r="F70" i="8"/>
  <c r="F69" i="8"/>
  <c r="G68" i="8"/>
  <c r="G67" i="8"/>
  <c r="F67" i="8"/>
  <c r="C67" i="8"/>
  <c r="C68" i="8" s="1"/>
  <c r="C69" i="8" s="1"/>
  <c r="C70" i="8" s="1"/>
  <c r="C53" i="8"/>
  <c r="L63" i="8"/>
  <c r="F58" i="8"/>
  <c r="F57" i="8"/>
  <c r="G56" i="8"/>
  <c r="G55" i="8"/>
  <c r="F55" i="8"/>
  <c r="C55" i="8"/>
  <c r="C56" i="8" s="1"/>
  <c r="C57" i="8" s="1"/>
  <c r="C58" i="8" s="1"/>
  <c r="C41" i="8"/>
  <c r="L51" i="8"/>
  <c r="F46" i="8"/>
  <c r="F45" i="8"/>
  <c r="G44" i="8"/>
  <c r="G43" i="8"/>
  <c r="F43" i="8"/>
  <c r="C43" i="8"/>
  <c r="C44" i="8" s="1"/>
  <c r="C45" i="8" s="1"/>
  <c r="C46" i="8" s="1"/>
  <c r="L39" i="8"/>
  <c r="F34" i="8"/>
  <c r="F33" i="8"/>
  <c r="G32" i="8"/>
  <c r="G31" i="8"/>
  <c r="F31" i="8"/>
  <c r="C31" i="8"/>
  <c r="C32" i="8" s="1"/>
  <c r="C33" i="8" s="1"/>
  <c r="C34" i="8" s="1"/>
  <c r="L27" i="8"/>
  <c r="F22" i="8"/>
  <c r="F21" i="8"/>
  <c r="G20" i="8"/>
  <c r="G19" i="8"/>
  <c r="F19" i="8"/>
  <c r="C19" i="8"/>
  <c r="C20" i="8" s="1"/>
  <c r="C21" i="8" s="1"/>
  <c r="C22" i="8" s="1"/>
  <c r="F124" i="1"/>
  <c r="G124" i="1" s="1"/>
  <c r="H124" i="1" s="1"/>
  <c r="M124" i="1" s="1"/>
  <c r="F125" i="1"/>
  <c r="G125" i="1" s="1"/>
  <c r="F126" i="1"/>
  <c r="G126" i="1" s="1"/>
  <c r="F127" i="1"/>
  <c r="G127" i="1" s="1"/>
  <c r="F128" i="1"/>
  <c r="G128" i="1" s="1"/>
  <c r="F123" i="1"/>
  <c r="C7" i="8"/>
  <c r="L15" i="8"/>
  <c r="C5" i="8"/>
  <c r="A4" i="8"/>
  <c r="B4" i="8"/>
  <c r="F10" i="8"/>
  <c r="F9" i="8"/>
  <c r="G8" i="8"/>
  <c r="G7" i="8"/>
  <c r="F7" i="8"/>
  <c r="K124" i="1"/>
  <c r="E21" i="8" s="1"/>
  <c r="K125" i="1"/>
  <c r="E33" i="8" s="1"/>
  <c r="H33" i="8" s="1"/>
  <c r="J33" i="8" s="1"/>
  <c r="K33" i="8" s="1"/>
  <c r="L33" i="8" s="1"/>
  <c r="K126" i="1"/>
  <c r="E45" i="8" s="1"/>
  <c r="K127" i="1"/>
  <c r="E57" i="8" s="1"/>
  <c r="K128" i="1"/>
  <c r="E69" i="8" s="1"/>
  <c r="K123" i="1"/>
  <c r="E9" i="8" s="1"/>
  <c r="H9" i="8" s="1"/>
  <c r="J9" i="8" s="1"/>
  <c r="K9" i="8" s="1"/>
  <c r="L9" i="8" s="1"/>
  <c r="E19" i="8"/>
  <c r="E31" i="8"/>
  <c r="H31" i="8" s="1"/>
  <c r="J31" i="8" s="1"/>
  <c r="K31" i="8" s="1"/>
  <c r="E43" i="8"/>
  <c r="E55" i="8"/>
  <c r="E67" i="8"/>
  <c r="E7" i="8"/>
  <c r="H7" i="8" s="1"/>
  <c r="J7" i="8" s="1"/>
  <c r="K7" i="8" s="1"/>
  <c r="AK49" i="11" l="1"/>
  <c r="G123" i="1"/>
  <c r="H123" i="1" s="1"/>
  <c r="H67" i="8"/>
  <c r="J67" i="8" s="1"/>
  <c r="K67" i="8" s="1"/>
  <c r="L67" i="8" s="1"/>
  <c r="H21" i="8"/>
  <c r="J21" i="8" s="1"/>
  <c r="K21" i="8" s="1"/>
  <c r="L21" i="8" s="1"/>
  <c r="L7" i="8"/>
  <c r="H69" i="8"/>
  <c r="J69" i="8" s="1"/>
  <c r="K69" i="8" s="1"/>
  <c r="L69" i="8" s="1"/>
  <c r="L31" i="8"/>
  <c r="H19" i="8"/>
  <c r="J19" i="8" s="1"/>
  <c r="K19" i="8" s="1"/>
  <c r="L19" i="8" s="1"/>
  <c r="C8" i="8"/>
  <c r="C9" i="8" s="1"/>
  <c r="C10" i="8" s="1"/>
  <c r="D124" i="1"/>
  <c r="G28" i="9" s="1"/>
  <c r="D125" i="1"/>
  <c r="G29" i="9" s="1"/>
  <c r="D126" i="1"/>
  <c r="G30" i="9" s="1"/>
  <c r="D127" i="1"/>
  <c r="D128" i="1"/>
  <c r="D123" i="1"/>
  <c r="G27" i="9" s="1"/>
  <c r="C123" i="1"/>
  <c r="A122" i="1"/>
  <c r="G114" i="9"/>
  <c r="G103" i="9"/>
  <c r="G63" i="9"/>
  <c r="G52" i="9"/>
  <c r="G24" i="9"/>
  <c r="F28" i="9"/>
  <c r="F28" i="10" s="1"/>
  <c r="F29" i="9"/>
  <c r="F29" i="10" s="1"/>
  <c r="F30" i="9"/>
  <c r="F30" i="10" s="1"/>
  <c r="F31" i="9"/>
  <c r="F31" i="10" s="1"/>
  <c r="F32" i="9"/>
  <c r="F32" i="10" s="1"/>
  <c r="F27" i="9"/>
  <c r="F27" i="10" s="1"/>
  <c r="G32" i="9" l="1"/>
  <c r="G32" i="10" s="1"/>
  <c r="G31" i="9"/>
  <c r="G31" i="10" s="1"/>
  <c r="I27" i="9"/>
  <c r="I27" i="10" s="1"/>
  <c r="M123" i="1"/>
  <c r="C17" i="8"/>
  <c r="G28" i="10"/>
  <c r="E126" i="1"/>
  <c r="G30" i="10"/>
  <c r="C29" i="8"/>
  <c r="G29" i="10"/>
  <c r="H125" i="1"/>
  <c r="I29" i="9" s="1"/>
  <c r="H128" i="1"/>
  <c r="I32" i="9" s="1"/>
  <c r="E123" i="1"/>
  <c r="E127" i="1"/>
  <c r="H127" i="1"/>
  <c r="I31" i="9" s="1"/>
  <c r="E128" i="1"/>
  <c r="H126" i="1"/>
  <c r="I30" i="9" s="1"/>
  <c r="I28" i="9" l="1"/>
  <c r="I28" i="10" s="1"/>
  <c r="M126" i="1"/>
  <c r="E44" i="8" s="1"/>
  <c r="H44" i="8" s="1"/>
  <c r="J44" i="8" s="1"/>
  <c r="K44" i="8" s="1"/>
  <c r="L44" i="8" s="1"/>
  <c r="M128" i="1"/>
  <c r="E68" i="8" s="1"/>
  <c r="H68" i="8" s="1"/>
  <c r="J68" i="8" s="1"/>
  <c r="K68" i="8" s="1"/>
  <c r="M127" i="1"/>
  <c r="E56" i="8" s="1"/>
  <c r="H56" i="8" s="1"/>
  <c r="J56" i="8" s="1"/>
  <c r="K56" i="8" s="1"/>
  <c r="L56" i="8" s="1"/>
  <c r="M125" i="1"/>
  <c r="I30" i="10"/>
  <c r="I32" i="10"/>
  <c r="I31" i="10"/>
  <c r="I29" i="10"/>
  <c r="E125" i="1"/>
  <c r="E124" i="1"/>
  <c r="E8" i="8"/>
  <c r="H8" i="8" s="1"/>
  <c r="J8" i="8" s="1"/>
  <c r="K8" i="8" s="1"/>
  <c r="E32" i="8" l="1"/>
  <c r="H32" i="8" s="1"/>
  <c r="J32" i="8" s="1"/>
  <c r="K32" i="8" s="1"/>
  <c r="L32" i="8" s="1"/>
  <c r="G27" i="10"/>
  <c r="E20" i="8"/>
  <c r="H20" i="8" s="1"/>
  <c r="J20" i="8" s="1"/>
  <c r="K20" i="8" s="1"/>
  <c r="L20" i="8" s="1"/>
  <c r="L68" i="8"/>
  <c r="L8" i="8"/>
  <c r="D117" i="3"/>
  <c r="I114" i="9"/>
  <c r="F119" i="9"/>
  <c r="F120" i="9"/>
  <c r="F121" i="9"/>
  <c r="F122" i="9"/>
  <c r="F123" i="9"/>
  <c r="F125" i="9"/>
  <c r="F126" i="9"/>
  <c r="F127" i="9"/>
  <c r="F128" i="9"/>
  <c r="F129" i="9"/>
  <c r="F130" i="9"/>
  <c r="F132" i="9"/>
  <c r="F133" i="9"/>
  <c r="F134" i="9"/>
  <c r="F135" i="9"/>
  <c r="F136" i="9"/>
  <c r="F137" i="9"/>
  <c r="F139" i="9"/>
  <c r="F140" i="9"/>
  <c r="F141" i="9"/>
  <c r="F142" i="9"/>
  <c r="F143" i="9"/>
  <c r="F144" i="9"/>
  <c r="F146" i="9"/>
  <c r="F147" i="9"/>
  <c r="F148" i="9"/>
  <c r="F149" i="9"/>
  <c r="F150" i="9"/>
  <c r="F151" i="9"/>
  <c r="F118" i="9"/>
  <c r="F107" i="9"/>
  <c r="F108" i="9"/>
  <c r="F109" i="9"/>
  <c r="F110" i="9"/>
  <c r="F111" i="9"/>
  <c r="F106" i="9"/>
  <c r="I103" i="9"/>
  <c r="F68" i="9"/>
  <c r="F69" i="9"/>
  <c r="F70" i="9"/>
  <c r="F71" i="9"/>
  <c r="F72" i="9"/>
  <c r="F74" i="9"/>
  <c r="F75" i="9"/>
  <c r="F76" i="9"/>
  <c r="F77" i="9"/>
  <c r="F78" i="9"/>
  <c r="F79" i="9"/>
  <c r="F81" i="9"/>
  <c r="F82" i="9"/>
  <c r="F83" i="9"/>
  <c r="F84" i="9"/>
  <c r="F85" i="9"/>
  <c r="F86" i="9"/>
  <c r="F88" i="9"/>
  <c r="F89" i="9"/>
  <c r="F90" i="9"/>
  <c r="F91" i="9"/>
  <c r="F92" i="9"/>
  <c r="F93" i="9"/>
  <c r="F95" i="9"/>
  <c r="F96" i="9"/>
  <c r="F97" i="9"/>
  <c r="F98" i="9"/>
  <c r="F99" i="9"/>
  <c r="F100" i="9"/>
  <c r="F67" i="9"/>
  <c r="I63" i="9"/>
  <c r="F56" i="9" l="1"/>
  <c r="F57" i="9"/>
  <c r="F58" i="9"/>
  <c r="F59" i="9"/>
  <c r="F60" i="9"/>
  <c r="F55" i="9"/>
  <c r="I52" i="9"/>
  <c r="I36" i="9"/>
  <c r="I24" i="9"/>
  <c r="G118" i="1" l="1"/>
  <c r="G117" i="1"/>
  <c r="G116" i="1"/>
  <c r="G115" i="1"/>
  <c r="G112" i="1"/>
  <c r="G111" i="1"/>
  <c r="G110" i="1"/>
  <c r="G109" i="1"/>
  <c r="G108" i="1"/>
  <c r="G105" i="1"/>
  <c r="G104" i="1"/>
  <c r="G99" i="1"/>
  <c r="G98" i="1"/>
  <c r="G97" i="1"/>
  <c r="G96" i="1"/>
  <c r="G93" i="1"/>
  <c r="G92" i="1"/>
  <c r="G91" i="1"/>
  <c r="G90" i="1"/>
  <c r="G89" i="1"/>
  <c r="G86" i="1"/>
  <c r="G85" i="1"/>
  <c r="G84" i="1"/>
  <c r="G79" i="1"/>
  <c r="G78" i="1"/>
  <c r="G77" i="1"/>
  <c r="G76" i="1"/>
  <c r="G75" i="1"/>
  <c r="G74" i="1"/>
  <c r="G73" i="1"/>
  <c r="G70" i="1"/>
  <c r="G69" i="1"/>
  <c r="G68" i="1"/>
  <c r="G67" i="1"/>
  <c r="G66" i="1"/>
  <c r="G65" i="1"/>
  <c r="G64" i="1"/>
  <c r="G63" i="1"/>
  <c r="G62" i="1"/>
  <c r="G59" i="1"/>
  <c r="G58" i="1"/>
  <c r="G57" i="1"/>
  <c r="G56" i="1"/>
  <c r="G55" i="1"/>
  <c r="G54" i="1"/>
  <c r="G53" i="1"/>
  <c r="G52" i="1"/>
  <c r="G51" i="1"/>
  <c r="G50" i="1"/>
  <c r="G40" i="1"/>
  <c r="G44" i="1"/>
  <c r="G43" i="1"/>
  <c r="G42" i="1"/>
  <c r="G41" i="1"/>
  <c r="G39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17" i="1"/>
  <c r="M12" i="1" s="1"/>
  <c r="G16" i="1"/>
  <c r="M11" i="1" s="1"/>
  <c r="G15" i="1"/>
  <c r="M10" i="1" s="1"/>
  <c r="G14" i="1"/>
  <c r="M9" i="1" s="1"/>
  <c r="M8" i="1"/>
  <c r="G10" i="1"/>
  <c r="G9" i="1"/>
  <c r="AY452" i="8"/>
  <c r="AY440" i="8"/>
  <c r="AY428" i="8"/>
  <c r="AY416" i="8"/>
  <c r="AY404" i="8"/>
  <c r="AY392" i="8"/>
  <c r="AX391" i="8"/>
  <c r="BH462" i="8"/>
  <c r="BB457" i="8"/>
  <c r="BB456" i="8"/>
  <c r="BC455" i="8"/>
  <c r="BC454" i="8"/>
  <c r="BB454" i="8"/>
  <c r="AY454" i="8"/>
  <c r="AY455" i="8" s="1"/>
  <c r="AY456" i="8" s="1"/>
  <c r="AY457" i="8" s="1"/>
  <c r="BH450" i="8"/>
  <c r="BB445" i="8"/>
  <c r="BB444" i="8"/>
  <c r="BC443" i="8"/>
  <c r="BC442" i="8"/>
  <c r="BB442" i="8"/>
  <c r="AY442" i="8"/>
  <c r="AY443" i="8" s="1"/>
  <c r="AY444" i="8" s="1"/>
  <c r="AY445" i="8" s="1"/>
  <c r="BH438" i="8"/>
  <c r="BB433" i="8"/>
  <c r="BB432" i="8"/>
  <c r="BC431" i="8"/>
  <c r="BC430" i="8"/>
  <c r="BB430" i="8"/>
  <c r="AY430" i="8"/>
  <c r="AY431" i="8" s="1"/>
  <c r="AY432" i="8" s="1"/>
  <c r="AY433" i="8" s="1"/>
  <c r="BH426" i="8"/>
  <c r="BB421" i="8"/>
  <c r="BB420" i="8"/>
  <c r="BC419" i="8"/>
  <c r="BC418" i="8"/>
  <c r="BB418" i="8"/>
  <c r="AY418" i="8"/>
  <c r="AY419" i="8" s="1"/>
  <c r="AY420" i="8" s="1"/>
  <c r="AY421" i="8" s="1"/>
  <c r="BH414" i="8"/>
  <c r="BB409" i="8"/>
  <c r="BB408" i="8"/>
  <c r="BC407" i="8"/>
  <c r="BC406" i="8"/>
  <c r="BB406" i="8"/>
  <c r="AY406" i="8"/>
  <c r="AY407" i="8" s="1"/>
  <c r="AY408" i="8" s="1"/>
  <c r="AY409" i="8" s="1"/>
  <c r="BH402" i="8"/>
  <c r="BB397" i="8"/>
  <c r="BB396" i="8"/>
  <c r="BC395" i="8"/>
  <c r="BC394" i="8"/>
  <c r="BB394" i="8"/>
  <c r="AY394" i="8"/>
  <c r="AY395" i="8" s="1"/>
  <c r="AY396" i="8" s="1"/>
  <c r="AY397" i="8" s="1"/>
  <c r="AM452" i="8"/>
  <c r="AM440" i="8"/>
  <c r="AM428" i="8"/>
  <c r="AM416" i="8"/>
  <c r="AM404" i="8"/>
  <c r="AM392" i="8"/>
  <c r="AL391" i="8"/>
  <c r="AV462" i="8"/>
  <c r="AP457" i="8"/>
  <c r="AP456" i="8"/>
  <c r="AQ455" i="8"/>
  <c r="AQ454" i="8"/>
  <c r="AP454" i="8"/>
  <c r="AM454" i="8"/>
  <c r="AM455" i="8" s="1"/>
  <c r="AM456" i="8" s="1"/>
  <c r="AM457" i="8" s="1"/>
  <c r="AV450" i="8"/>
  <c r="AP445" i="8"/>
  <c r="AP444" i="8"/>
  <c r="AQ443" i="8"/>
  <c r="AQ442" i="8"/>
  <c r="AP442" i="8"/>
  <c r="AM442" i="8"/>
  <c r="AM443" i="8" s="1"/>
  <c r="AM444" i="8" s="1"/>
  <c r="AM445" i="8" s="1"/>
  <c r="AV438" i="8"/>
  <c r="AP433" i="8"/>
  <c r="AP432" i="8"/>
  <c r="AQ431" i="8"/>
  <c r="AQ430" i="8"/>
  <c r="AP430" i="8"/>
  <c r="AM430" i="8"/>
  <c r="AM431" i="8" s="1"/>
  <c r="AM432" i="8" s="1"/>
  <c r="AM433" i="8" s="1"/>
  <c r="AV426" i="8"/>
  <c r="AP421" i="8"/>
  <c r="AP420" i="8"/>
  <c r="AQ419" i="8"/>
  <c r="AQ418" i="8"/>
  <c r="AP418" i="8"/>
  <c r="AM418" i="8"/>
  <c r="AM419" i="8" s="1"/>
  <c r="AM420" i="8" s="1"/>
  <c r="AM421" i="8" s="1"/>
  <c r="AV414" i="8"/>
  <c r="AP409" i="8"/>
  <c r="AP408" i="8"/>
  <c r="AQ407" i="8"/>
  <c r="AQ406" i="8"/>
  <c r="AP406" i="8"/>
  <c r="AM406" i="8"/>
  <c r="AM407" i="8" s="1"/>
  <c r="AM408" i="8" s="1"/>
  <c r="AM409" i="8" s="1"/>
  <c r="AV402" i="8"/>
  <c r="AP397" i="8"/>
  <c r="AP396" i="8"/>
  <c r="AQ395" i="8"/>
  <c r="AQ394" i="8"/>
  <c r="AP394" i="8"/>
  <c r="AM394" i="8"/>
  <c r="AM395" i="8" s="1"/>
  <c r="AM396" i="8" s="1"/>
  <c r="AM397" i="8" s="1"/>
  <c r="AA452" i="8"/>
  <c r="AA440" i="8"/>
  <c r="AA428" i="8"/>
  <c r="AA416" i="8"/>
  <c r="AA404" i="8"/>
  <c r="AA392" i="8"/>
  <c r="Z391" i="8"/>
  <c r="AJ462" i="8"/>
  <c r="AD457" i="8"/>
  <c r="AD456" i="8"/>
  <c r="AE455" i="8"/>
  <c r="AE454" i="8"/>
  <c r="AD454" i="8"/>
  <c r="AA454" i="8"/>
  <c r="AA455" i="8" s="1"/>
  <c r="AA456" i="8" s="1"/>
  <c r="AA457" i="8" s="1"/>
  <c r="AJ450" i="8"/>
  <c r="AD445" i="8"/>
  <c r="AD444" i="8"/>
  <c r="AE443" i="8"/>
  <c r="AE442" i="8"/>
  <c r="AD442" i="8"/>
  <c r="AA442" i="8"/>
  <c r="AA443" i="8" s="1"/>
  <c r="AA444" i="8" s="1"/>
  <c r="AA445" i="8" s="1"/>
  <c r="AJ438" i="8"/>
  <c r="AD433" i="8"/>
  <c r="AD432" i="8"/>
  <c r="AE431" i="8"/>
  <c r="AE430" i="8"/>
  <c r="AD430" i="8"/>
  <c r="AA430" i="8"/>
  <c r="AA431" i="8" s="1"/>
  <c r="AA432" i="8" s="1"/>
  <c r="AA433" i="8" s="1"/>
  <c r="AJ426" i="8"/>
  <c r="AD421" i="8"/>
  <c r="AD420" i="8"/>
  <c r="AE419" i="8"/>
  <c r="AE418" i="8"/>
  <c r="AD418" i="8"/>
  <c r="AA418" i="8"/>
  <c r="AA419" i="8" s="1"/>
  <c r="AA420" i="8" s="1"/>
  <c r="AA421" i="8" s="1"/>
  <c r="AJ414" i="8"/>
  <c r="AD409" i="8"/>
  <c r="AD408" i="8"/>
  <c r="AE407" i="8"/>
  <c r="AE406" i="8"/>
  <c r="AD406" i="8"/>
  <c r="AA406" i="8"/>
  <c r="AA407" i="8" s="1"/>
  <c r="AA408" i="8" s="1"/>
  <c r="AA409" i="8" s="1"/>
  <c r="AJ402" i="8"/>
  <c r="AD397" i="8"/>
  <c r="AD396" i="8"/>
  <c r="AE395" i="8"/>
  <c r="AE394" i="8"/>
  <c r="AD394" i="8"/>
  <c r="AA394" i="8"/>
  <c r="AA395" i="8" s="1"/>
  <c r="AA396" i="8" s="1"/>
  <c r="AA397" i="8" s="1"/>
  <c r="O452" i="8"/>
  <c r="O440" i="8"/>
  <c r="O428" i="8"/>
  <c r="O416" i="8"/>
  <c r="O404" i="8"/>
  <c r="O392" i="8"/>
  <c r="N391" i="8"/>
  <c r="X462" i="8"/>
  <c r="R457" i="8"/>
  <c r="R456" i="8"/>
  <c r="S455" i="8"/>
  <c r="S454" i="8"/>
  <c r="R454" i="8"/>
  <c r="O454" i="8"/>
  <c r="O455" i="8" s="1"/>
  <c r="O456" i="8" s="1"/>
  <c r="O457" i="8" s="1"/>
  <c r="X450" i="8"/>
  <c r="R445" i="8"/>
  <c r="R444" i="8"/>
  <c r="S443" i="8"/>
  <c r="S442" i="8"/>
  <c r="R442" i="8"/>
  <c r="O442" i="8"/>
  <c r="O443" i="8" s="1"/>
  <c r="O444" i="8" s="1"/>
  <c r="O445" i="8" s="1"/>
  <c r="X438" i="8"/>
  <c r="R433" i="8"/>
  <c r="R432" i="8"/>
  <c r="S431" i="8"/>
  <c r="S430" i="8"/>
  <c r="R430" i="8"/>
  <c r="O430" i="8"/>
  <c r="O431" i="8" s="1"/>
  <c r="O432" i="8" s="1"/>
  <c r="O433" i="8" s="1"/>
  <c r="X426" i="8"/>
  <c r="R421" i="8"/>
  <c r="R420" i="8"/>
  <c r="S419" i="8"/>
  <c r="S418" i="8"/>
  <c r="R418" i="8"/>
  <c r="O418" i="8"/>
  <c r="O419" i="8" s="1"/>
  <c r="O420" i="8" s="1"/>
  <c r="O421" i="8" s="1"/>
  <c r="X414" i="8"/>
  <c r="R409" i="8"/>
  <c r="R408" i="8"/>
  <c r="S407" i="8"/>
  <c r="S406" i="8"/>
  <c r="R406" i="8"/>
  <c r="O406" i="8"/>
  <c r="O407" i="8" s="1"/>
  <c r="O408" i="8" s="1"/>
  <c r="O409" i="8" s="1"/>
  <c r="X402" i="8"/>
  <c r="R397" i="8"/>
  <c r="R396" i="8"/>
  <c r="S395" i="8"/>
  <c r="S394" i="8"/>
  <c r="R394" i="8"/>
  <c r="O394" i="8"/>
  <c r="O395" i="8" s="1"/>
  <c r="O396" i="8" s="1"/>
  <c r="O397" i="8" s="1"/>
  <c r="Y182" i="1"/>
  <c r="E408" i="8" s="1"/>
  <c r="Y183" i="1"/>
  <c r="E420" i="8" s="1"/>
  <c r="Y184" i="1"/>
  <c r="E432" i="8" s="1"/>
  <c r="Y185" i="1"/>
  <c r="E444" i="8" s="1"/>
  <c r="Y186" i="1"/>
  <c r="E456" i="8" s="1"/>
  <c r="Y181" i="1"/>
  <c r="E396" i="8" s="1"/>
  <c r="C452" i="8"/>
  <c r="C440" i="8"/>
  <c r="C428" i="8"/>
  <c r="C416" i="8"/>
  <c r="C404" i="8"/>
  <c r="C392" i="8"/>
  <c r="B391" i="8"/>
  <c r="B390" i="8"/>
  <c r="A390" i="8"/>
  <c r="L462" i="8"/>
  <c r="F457" i="8"/>
  <c r="F456" i="8"/>
  <c r="G455" i="8"/>
  <c r="G454" i="8"/>
  <c r="F454" i="8"/>
  <c r="C454" i="8"/>
  <c r="C455" i="8" s="1"/>
  <c r="C456" i="8" s="1"/>
  <c r="C457" i="8" s="1"/>
  <c r="L450" i="8"/>
  <c r="F445" i="8"/>
  <c r="F444" i="8"/>
  <c r="G443" i="8"/>
  <c r="G442" i="8"/>
  <c r="F442" i="8"/>
  <c r="C442" i="8"/>
  <c r="C443" i="8" s="1"/>
  <c r="C444" i="8" s="1"/>
  <c r="C445" i="8" s="1"/>
  <c r="L438" i="8"/>
  <c r="F433" i="8"/>
  <c r="F432" i="8"/>
  <c r="G431" i="8"/>
  <c r="G430" i="8"/>
  <c r="F430" i="8"/>
  <c r="C430" i="8"/>
  <c r="C431" i="8" s="1"/>
  <c r="C432" i="8" s="1"/>
  <c r="C433" i="8" s="1"/>
  <c r="L426" i="8"/>
  <c r="F421" i="8"/>
  <c r="F420" i="8"/>
  <c r="G419" i="8"/>
  <c r="G418" i="8"/>
  <c r="F418" i="8"/>
  <c r="C418" i="8"/>
  <c r="C419" i="8" s="1"/>
  <c r="C420" i="8" s="1"/>
  <c r="C421" i="8" s="1"/>
  <c r="L414" i="8"/>
  <c r="F409" i="8"/>
  <c r="F408" i="8"/>
  <c r="G407" i="8"/>
  <c r="G406" i="8"/>
  <c r="F406" i="8"/>
  <c r="C406" i="8"/>
  <c r="C407" i="8" s="1"/>
  <c r="C408" i="8" s="1"/>
  <c r="C409" i="8" s="1"/>
  <c r="L402" i="8"/>
  <c r="F397" i="8"/>
  <c r="F396" i="8"/>
  <c r="G395" i="8"/>
  <c r="G394" i="8"/>
  <c r="F394" i="8"/>
  <c r="C394" i="8"/>
  <c r="C395" i="8" s="1"/>
  <c r="C396" i="8" s="1"/>
  <c r="C397" i="8" s="1"/>
  <c r="AY296" i="8"/>
  <c r="AY284" i="8"/>
  <c r="AY272" i="8"/>
  <c r="AY260" i="8"/>
  <c r="AY248" i="8"/>
  <c r="AY236" i="8"/>
  <c r="AX235" i="8"/>
  <c r="BH306" i="8"/>
  <c r="BB301" i="8"/>
  <c r="BB300" i="8"/>
  <c r="BC299" i="8"/>
  <c r="BC298" i="8"/>
  <c r="BB298" i="8"/>
  <c r="AY298" i="8"/>
  <c r="AY299" i="8" s="1"/>
  <c r="AY300" i="8" s="1"/>
  <c r="AY301" i="8" s="1"/>
  <c r="BH294" i="8"/>
  <c r="BB289" i="8"/>
  <c r="BB288" i="8"/>
  <c r="BC287" i="8"/>
  <c r="BC286" i="8"/>
  <c r="BB286" i="8"/>
  <c r="AY286" i="8"/>
  <c r="AY287" i="8" s="1"/>
  <c r="AY288" i="8" s="1"/>
  <c r="AY289" i="8" s="1"/>
  <c r="BH282" i="8"/>
  <c r="BB277" i="8"/>
  <c r="BB276" i="8"/>
  <c r="BC275" i="8"/>
  <c r="BC274" i="8"/>
  <c r="BB274" i="8"/>
  <c r="AY274" i="8"/>
  <c r="AY275" i="8" s="1"/>
  <c r="AY276" i="8" s="1"/>
  <c r="AY277" i="8" s="1"/>
  <c r="BH270" i="8"/>
  <c r="BB265" i="8"/>
  <c r="BB264" i="8"/>
  <c r="BC263" i="8"/>
  <c r="BC262" i="8"/>
  <c r="BB262" i="8"/>
  <c r="AY262" i="8"/>
  <c r="AY263" i="8" s="1"/>
  <c r="AY264" i="8" s="1"/>
  <c r="AY265" i="8" s="1"/>
  <c r="BH258" i="8"/>
  <c r="BB253" i="8"/>
  <c r="BB252" i="8"/>
  <c r="BC251" i="8"/>
  <c r="BC250" i="8"/>
  <c r="BB250" i="8"/>
  <c r="AY250" i="8"/>
  <c r="AY251" i="8" s="1"/>
  <c r="AY252" i="8" s="1"/>
  <c r="AY253" i="8" s="1"/>
  <c r="BH246" i="8"/>
  <c r="BB241" i="8"/>
  <c r="BB240" i="8"/>
  <c r="BC239" i="8"/>
  <c r="BC238" i="8"/>
  <c r="BB238" i="8"/>
  <c r="AY238" i="8"/>
  <c r="AY239" i="8" s="1"/>
  <c r="AY240" i="8" s="1"/>
  <c r="AY241" i="8" s="1"/>
  <c r="AM296" i="8"/>
  <c r="AM284" i="8"/>
  <c r="AM272" i="8"/>
  <c r="AM260" i="8"/>
  <c r="AM248" i="8"/>
  <c r="AM236" i="8"/>
  <c r="AL235" i="8"/>
  <c r="AV306" i="8"/>
  <c r="AP301" i="8"/>
  <c r="AP300" i="8"/>
  <c r="AQ299" i="8"/>
  <c r="AQ298" i="8"/>
  <c r="AP298" i="8"/>
  <c r="AM298" i="8"/>
  <c r="AM299" i="8" s="1"/>
  <c r="AM300" i="8" s="1"/>
  <c r="AM301" i="8" s="1"/>
  <c r="AV294" i="8"/>
  <c r="AP289" i="8"/>
  <c r="AP288" i="8"/>
  <c r="AQ287" i="8"/>
  <c r="AQ286" i="8"/>
  <c r="AP286" i="8"/>
  <c r="AM286" i="8"/>
  <c r="AM287" i="8" s="1"/>
  <c r="AM288" i="8" s="1"/>
  <c r="AM289" i="8" s="1"/>
  <c r="AV282" i="8"/>
  <c r="AP277" i="8"/>
  <c r="AP276" i="8"/>
  <c r="AQ275" i="8"/>
  <c r="AQ274" i="8"/>
  <c r="AP274" i="8"/>
  <c r="AM274" i="8"/>
  <c r="AM275" i="8" s="1"/>
  <c r="AM276" i="8" s="1"/>
  <c r="AM277" i="8" s="1"/>
  <c r="AV270" i="8"/>
  <c r="AP265" i="8"/>
  <c r="AP264" i="8"/>
  <c r="AQ263" i="8"/>
  <c r="AQ262" i="8"/>
  <c r="AP262" i="8"/>
  <c r="AM262" i="8"/>
  <c r="AM263" i="8" s="1"/>
  <c r="AM264" i="8" s="1"/>
  <c r="AM265" i="8" s="1"/>
  <c r="AV258" i="8"/>
  <c r="AP253" i="8"/>
  <c r="AP252" i="8"/>
  <c r="AQ251" i="8"/>
  <c r="AQ250" i="8"/>
  <c r="AP250" i="8"/>
  <c r="AM250" i="8"/>
  <c r="AM251" i="8" s="1"/>
  <c r="AM252" i="8" s="1"/>
  <c r="AM253" i="8" s="1"/>
  <c r="AV246" i="8"/>
  <c r="AP241" i="8"/>
  <c r="AP240" i="8"/>
  <c r="AQ239" i="8"/>
  <c r="AQ238" i="8"/>
  <c r="AP238" i="8"/>
  <c r="AM238" i="8"/>
  <c r="AM239" i="8" s="1"/>
  <c r="AM240" i="8" s="1"/>
  <c r="AM241" i="8" s="1"/>
  <c r="AA296" i="8"/>
  <c r="AA284" i="8"/>
  <c r="AA272" i="8"/>
  <c r="AA260" i="8"/>
  <c r="AA248" i="8"/>
  <c r="AA236" i="8"/>
  <c r="Z235" i="8"/>
  <c r="AJ306" i="8"/>
  <c r="AD301" i="8"/>
  <c r="AD300" i="8"/>
  <c r="AE299" i="8"/>
  <c r="AE298" i="8"/>
  <c r="AD298" i="8"/>
  <c r="AA298" i="8"/>
  <c r="AA299" i="8" s="1"/>
  <c r="AA300" i="8" s="1"/>
  <c r="AA301" i="8" s="1"/>
  <c r="AJ294" i="8"/>
  <c r="AD289" i="8"/>
  <c r="AD288" i="8"/>
  <c r="AE287" i="8"/>
  <c r="AE286" i="8"/>
  <c r="AD286" i="8"/>
  <c r="AA286" i="8"/>
  <c r="AA287" i="8" s="1"/>
  <c r="AA288" i="8" s="1"/>
  <c r="AA289" i="8" s="1"/>
  <c r="AJ282" i="8"/>
  <c r="AD277" i="8"/>
  <c r="AD276" i="8"/>
  <c r="AE275" i="8"/>
  <c r="AE274" i="8"/>
  <c r="AD274" i="8"/>
  <c r="AA274" i="8"/>
  <c r="AA275" i="8" s="1"/>
  <c r="AA276" i="8" s="1"/>
  <c r="AA277" i="8" s="1"/>
  <c r="AJ270" i="8"/>
  <c r="AD265" i="8"/>
  <c r="AD264" i="8"/>
  <c r="AE263" i="8"/>
  <c r="AE262" i="8"/>
  <c r="AD262" i="8"/>
  <c r="AA262" i="8"/>
  <c r="AA263" i="8" s="1"/>
  <c r="AA264" i="8" s="1"/>
  <c r="AA265" i="8" s="1"/>
  <c r="AJ258" i="8"/>
  <c r="AD253" i="8"/>
  <c r="AD252" i="8"/>
  <c r="AE251" i="8"/>
  <c r="AE250" i="8"/>
  <c r="AD250" i="8"/>
  <c r="AA250" i="8"/>
  <c r="AA251" i="8" s="1"/>
  <c r="AA252" i="8" s="1"/>
  <c r="AA253" i="8" s="1"/>
  <c r="AJ246" i="8"/>
  <c r="AD241" i="8"/>
  <c r="AD240" i="8"/>
  <c r="AE239" i="8"/>
  <c r="AE238" i="8"/>
  <c r="AD238" i="8"/>
  <c r="AA238" i="8"/>
  <c r="AA239" i="8" s="1"/>
  <c r="AA240" i="8" s="1"/>
  <c r="AA241" i="8" s="1"/>
  <c r="O296" i="8"/>
  <c r="O284" i="8"/>
  <c r="O272" i="8"/>
  <c r="O260" i="8"/>
  <c r="O248" i="8"/>
  <c r="O236" i="8"/>
  <c r="N235" i="8"/>
  <c r="X306" i="8"/>
  <c r="R301" i="8"/>
  <c r="R300" i="8"/>
  <c r="S299" i="8"/>
  <c r="S298" i="8"/>
  <c r="R298" i="8"/>
  <c r="O298" i="8"/>
  <c r="O299" i="8" s="1"/>
  <c r="O300" i="8" s="1"/>
  <c r="O301" i="8" s="1"/>
  <c r="X294" i="8"/>
  <c r="R289" i="8"/>
  <c r="R288" i="8"/>
  <c r="S287" i="8"/>
  <c r="S286" i="8"/>
  <c r="R286" i="8"/>
  <c r="O286" i="8"/>
  <c r="O287" i="8" s="1"/>
  <c r="O288" i="8" s="1"/>
  <c r="O289" i="8" s="1"/>
  <c r="X282" i="8"/>
  <c r="R277" i="8"/>
  <c r="R276" i="8"/>
  <c r="S275" i="8"/>
  <c r="S274" i="8"/>
  <c r="R274" i="8"/>
  <c r="O274" i="8"/>
  <c r="O275" i="8" s="1"/>
  <c r="O276" i="8" s="1"/>
  <c r="O277" i="8" s="1"/>
  <c r="X270" i="8"/>
  <c r="R265" i="8"/>
  <c r="R264" i="8"/>
  <c r="S263" i="8"/>
  <c r="S262" i="8"/>
  <c r="R262" i="8"/>
  <c r="O262" i="8"/>
  <c r="O263" i="8" s="1"/>
  <c r="O264" i="8" s="1"/>
  <c r="O265" i="8" s="1"/>
  <c r="X258" i="8"/>
  <c r="R253" i="8"/>
  <c r="R252" i="8"/>
  <c r="S251" i="8"/>
  <c r="S250" i="8"/>
  <c r="R250" i="8"/>
  <c r="O250" i="8"/>
  <c r="O251" i="8" s="1"/>
  <c r="O252" i="8" s="1"/>
  <c r="O253" i="8" s="1"/>
  <c r="X246" i="8"/>
  <c r="R241" i="8"/>
  <c r="R240" i="8"/>
  <c r="S239" i="8"/>
  <c r="S238" i="8"/>
  <c r="R238" i="8"/>
  <c r="O238" i="8"/>
  <c r="O239" i="8" s="1"/>
  <c r="O240" i="8" s="1"/>
  <c r="O241" i="8" s="1"/>
  <c r="C296" i="8"/>
  <c r="C284" i="8"/>
  <c r="C272" i="8"/>
  <c r="C260" i="8"/>
  <c r="C248" i="8"/>
  <c r="L306" i="8"/>
  <c r="F301" i="8"/>
  <c r="F300" i="8"/>
  <c r="G299" i="8"/>
  <c r="G298" i="8"/>
  <c r="F298" i="8"/>
  <c r="C298" i="8"/>
  <c r="C299" i="8" s="1"/>
  <c r="C300" i="8" s="1"/>
  <c r="C301" i="8" s="1"/>
  <c r="L294" i="8"/>
  <c r="F289" i="8"/>
  <c r="F288" i="8"/>
  <c r="G287" i="8"/>
  <c r="G286" i="8"/>
  <c r="F286" i="8"/>
  <c r="C286" i="8"/>
  <c r="C287" i="8" s="1"/>
  <c r="C288" i="8" s="1"/>
  <c r="C289" i="8" s="1"/>
  <c r="L282" i="8"/>
  <c r="F277" i="8"/>
  <c r="F276" i="8"/>
  <c r="G275" i="8"/>
  <c r="G274" i="8"/>
  <c r="F274" i="8"/>
  <c r="C274" i="8"/>
  <c r="C275" i="8" s="1"/>
  <c r="C276" i="8" s="1"/>
  <c r="C277" i="8" s="1"/>
  <c r="L270" i="8"/>
  <c r="F265" i="8"/>
  <c r="F264" i="8"/>
  <c r="G263" i="8"/>
  <c r="G262" i="8"/>
  <c r="F262" i="8"/>
  <c r="C262" i="8"/>
  <c r="C263" i="8" s="1"/>
  <c r="C264" i="8" s="1"/>
  <c r="C265" i="8" s="1"/>
  <c r="L258" i="8"/>
  <c r="F253" i="8"/>
  <c r="F252" i="8"/>
  <c r="G251" i="8"/>
  <c r="G250" i="8"/>
  <c r="F250" i="8"/>
  <c r="C250" i="8"/>
  <c r="C251" i="8" s="1"/>
  <c r="C252" i="8" s="1"/>
  <c r="C253" i="8" s="1"/>
  <c r="C236" i="8"/>
  <c r="B234" i="8"/>
  <c r="A234" i="8"/>
  <c r="L246" i="8"/>
  <c r="F241" i="8"/>
  <c r="F240" i="8"/>
  <c r="G239" i="8"/>
  <c r="G238" i="8"/>
  <c r="F238" i="8"/>
  <c r="C238" i="8"/>
  <c r="C239" i="8" s="1"/>
  <c r="C240" i="8" s="1"/>
  <c r="C241" i="8" s="1"/>
  <c r="C373" i="8"/>
  <c r="C361" i="8"/>
  <c r="C349" i="8"/>
  <c r="C337" i="8"/>
  <c r="C325" i="8"/>
  <c r="L383" i="8"/>
  <c r="F378" i="8"/>
  <c r="F377" i="8"/>
  <c r="G376" i="8"/>
  <c r="G375" i="8"/>
  <c r="F375" i="8"/>
  <c r="C375" i="8"/>
  <c r="C376" i="8" s="1"/>
  <c r="C377" i="8" s="1"/>
  <c r="C378" i="8" s="1"/>
  <c r="L371" i="8"/>
  <c r="F366" i="8"/>
  <c r="F365" i="8"/>
  <c r="G364" i="8"/>
  <c r="G363" i="8"/>
  <c r="F363" i="8"/>
  <c r="C363" i="8"/>
  <c r="C364" i="8" s="1"/>
  <c r="C365" i="8" s="1"/>
  <c r="C366" i="8" s="1"/>
  <c r="L359" i="8"/>
  <c r="F354" i="8"/>
  <c r="F353" i="8"/>
  <c r="G352" i="8"/>
  <c r="G351" i="8"/>
  <c r="F351" i="8"/>
  <c r="C351" i="8"/>
  <c r="C352" i="8" s="1"/>
  <c r="C353" i="8" s="1"/>
  <c r="C354" i="8" s="1"/>
  <c r="L347" i="8"/>
  <c r="F342" i="8"/>
  <c r="F341" i="8"/>
  <c r="G340" i="8"/>
  <c r="G339" i="8"/>
  <c r="F339" i="8"/>
  <c r="C339" i="8"/>
  <c r="C340" i="8" s="1"/>
  <c r="C341" i="8" s="1"/>
  <c r="C342" i="8" s="1"/>
  <c r="L335" i="8"/>
  <c r="F330" i="8"/>
  <c r="F329" i="8"/>
  <c r="G328" i="8"/>
  <c r="G327" i="8"/>
  <c r="F327" i="8"/>
  <c r="C327" i="8"/>
  <c r="C328" i="8" s="1"/>
  <c r="C329" i="8" s="1"/>
  <c r="C330" i="8" s="1"/>
  <c r="G192" i="8"/>
  <c r="F192" i="8"/>
  <c r="G204" i="8"/>
  <c r="F204" i="8"/>
  <c r="G216" i="8"/>
  <c r="F216" i="8"/>
  <c r="G315" i="8"/>
  <c r="F315" i="8"/>
  <c r="G180" i="8"/>
  <c r="F180" i="8"/>
  <c r="G168" i="8"/>
  <c r="F168" i="8"/>
  <c r="G156" i="8"/>
  <c r="F156" i="8"/>
  <c r="C313" i="8"/>
  <c r="B312" i="8"/>
  <c r="A312" i="8"/>
  <c r="L323" i="8"/>
  <c r="F318" i="8"/>
  <c r="F317" i="8"/>
  <c r="G316" i="8"/>
  <c r="C315" i="8"/>
  <c r="C316" i="8" s="1"/>
  <c r="C317" i="8" s="1"/>
  <c r="C318" i="8" s="1"/>
  <c r="C214" i="8"/>
  <c r="L224" i="8"/>
  <c r="F219" i="8"/>
  <c r="F218" i="8"/>
  <c r="G217" i="8"/>
  <c r="C216" i="8"/>
  <c r="C217" i="8" s="1"/>
  <c r="C218" i="8" s="1"/>
  <c r="C219" i="8" s="1"/>
  <c r="C202" i="8"/>
  <c r="L212" i="8"/>
  <c r="F207" i="8"/>
  <c r="F206" i="8"/>
  <c r="G205" i="8"/>
  <c r="C204" i="8"/>
  <c r="C205" i="8" s="1"/>
  <c r="C206" i="8" s="1"/>
  <c r="C207" i="8" s="1"/>
  <c r="C190" i="8"/>
  <c r="L200" i="8"/>
  <c r="F195" i="8"/>
  <c r="F194" i="8"/>
  <c r="G193" i="8"/>
  <c r="C192" i="8"/>
  <c r="C193" i="8" s="1"/>
  <c r="C194" i="8" s="1"/>
  <c r="C195" i="8" s="1"/>
  <c r="C178" i="8"/>
  <c r="L188" i="8"/>
  <c r="F183" i="8"/>
  <c r="F182" i="8"/>
  <c r="G181" i="8"/>
  <c r="C180" i="8"/>
  <c r="C181" i="8" s="1"/>
  <c r="C182" i="8" s="1"/>
  <c r="C183" i="8" s="1"/>
  <c r="C166" i="8"/>
  <c r="L176" i="8"/>
  <c r="F171" i="8"/>
  <c r="F170" i="8"/>
  <c r="G169" i="8"/>
  <c r="C168" i="8"/>
  <c r="C169" i="8" s="1"/>
  <c r="C170" i="8" s="1"/>
  <c r="C171" i="8" s="1"/>
  <c r="C154" i="8"/>
  <c r="C156" i="8"/>
  <c r="C157" i="8" s="1"/>
  <c r="C158" i="8" s="1"/>
  <c r="C159" i="8" s="1"/>
  <c r="S84" i="8"/>
  <c r="R84" i="8"/>
  <c r="S83" i="8"/>
  <c r="R83" i="8"/>
  <c r="S97" i="8"/>
  <c r="R97" i="8"/>
  <c r="S96" i="8"/>
  <c r="R96" i="8"/>
  <c r="S110" i="8"/>
  <c r="R110" i="8"/>
  <c r="S109" i="8"/>
  <c r="R109" i="8"/>
  <c r="S123" i="8"/>
  <c r="R123" i="8"/>
  <c r="S122" i="8"/>
  <c r="R122" i="8"/>
  <c r="S136" i="8"/>
  <c r="R136" i="8"/>
  <c r="S135" i="8"/>
  <c r="R135" i="8"/>
  <c r="G136" i="8"/>
  <c r="F136" i="8"/>
  <c r="G135" i="8"/>
  <c r="F135" i="8"/>
  <c r="G123" i="8"/>
  <c r="F123" i="8"/>
  <c r="G122" i="8"/>
  <c r="F122" i="8"/>
  <c r="G110" i="8"/>
  <c r="F110" i="8"/>
  <c r="G109" i="8"/>
  <c r="F109" i="8"/>
  <c r="G97" i="8"/>
  <c r="F97" i="8"/>
  <c r="G96" i="8"/>
  <c r="F96" i="8"/>
  <c r="G84" i="8"/>
  <c r="G83" i="8"/>
  <c r="F84" i="8"/>
  <c r="F83" i="8"/>
  <c r="A153" i="8"/>
  <c r="B153" i="8"/>
  <c r="L164" i="8"/>
  <c r="F159" i="8"/>
  <c r="F158" i="8"/>
  <c r="G157" i="8"/>
  <c r="A80" i="8"/>
  <c r="O133" i="8"/>
  <c r="X144" i="8"/>
  <c r="R139" i="8"/>
  <c r="R138" i="8"/>
  <c r="S137" i="8"/>
  <c r="O135" i="8"/>
  <c r="O136" i="8" s="1"/>
  <c r="O137" i="8" s="1"/>
  <c r="O138" i="8" s="1"/>
  <c r="O139" i="8" s="1"/>
  <c r="O120" i="8"/>
  <c r="X131" i="8"/>
  <c r="R126" i="8"/>
  <c r="R125" i="8"/>
  <c r="S124" i="8"/>
  <c r="O122" i="8"/>
  <c r="O123" i="8" s="1"/>
  <c r="O124" i="8" s="1"/>
  <c r="O125" i="8" s="1"/>
  <c r="O126" i="8" s="1"/>
  <c r="O107" i="8"/>
  <c r="X118" i="8"/>
  <c r="R113" i="8"/>
  <c r="R112" i="8"/>
  <c r="S111" i="8"/>
  <c r="O109" i="8"/>
  <c r="O110" i="8" s="1"/>
  <c r="O111" i="8" s="1"/>
  <c r="O112" i="8" s="1"/>
  <c r="O113" i="8" s="1"/>
  <c r="O94" i="8"/>
  <c r="X105" i="8"/>
  <c r="R100" i="8"/>
  <c r="R99" i="8"/>
  <c r="S98" i="8"/>
  <c r="O96" i="8"/>
  <c r="O97" i="8" s="1"/>
  <c r="O98" i="8" s="1"/>
  <c r="O99" i="8" s="1"/>
  <c r="O100" i="8" s="1"/>
  <c r="N80" i="8"/>
  <c r="Q83" i="8"/>
  <c r="O81" i="8"/>
  <c r="X92" i="8"/>
  <c r="R87" i="8"/>
  <c r="R86" i="8"/>
  <c r="S85" i="8"/>
  <c r="O83" i="8"/>
  <c r="O84" i="8" s="1"/>
  <c r="O85" i="8" s="1"/>
  <c r="O86" i="8" s="1"/>
  <c r="O87" i="8" s="1"/>
  <c r="C133" i="8"/>
  <c r="L144" i="8"/>
  <c r="F139" i="8"/>
  <c r="F138" i="8"/>
  <c r="G137" i="8"/>
  <c r="C135" i="8"/>
  <c r="C136" i="8" s="1"/>
  <c r="C137" i="8" s="1"/>
  <c r="C138" i="8" s="1"/>
  <c r="C139" i="8" s="1"/>
  <c r="C120" i="8"/>
  <c r="L131" i="8"/>
  <c r="F126" i="8"/>
  <c r="F125" i="8"/>
  <c r="G124" i="8"/>
  <c r="C122" i="8"/>
  <c r="C123" i="8" s="1"/>
  <c r="C124" i="8" s="1"/>
  <c r="C125" i="8" s="1"/>
  <c r="C126" i="8" s="1"/>
  <c r="C107" i="8"/>
  <c r="L118" i="8"/>
  <c r="F113" i="8"/>
  <c r="F112" i="8"/>
  <c r="G111" i="8"/>
  <c r="C109" i="8"/>
  <c r="C110" i="8" s="1"/>
  <c r="C111" i="8" s="1"/>
  <c r="C112" i="8" s="1"/>
  <c r="C113" i="8" s="1"/>
  <c r="C94" i="8"/>
  <c r="L105" i="8"/>
  <c r="F100" i="8"/>
  <c r="F99" i="8"/>
  <c r="G98" i="8"/>
  <c r="C96" i="8"/>
  <c r="C97" i="8" s="1"/>
  <c r="C98" i="8" s="1"/>
  <c r="C99" i="8" s="1"/>
  <c r="C100" i="8" s="1"/>
  <c r="L92" i="8"/>
  <c r="C83" i="8"/>
  <c r="C84" i="8" s="1"/>
  <c r="C85" i="8" s="1"/>
  <c r="C86" i="8" s="1"/>
  <c r="C87" i="8" s="1"/>
  <c r="B80" i="8"/>
  <c r="C81" i="8"/>
  <c r="E83" i="8"/>
  <c r="E96" i="8" s="1"/>
  <c r="F87" i="8"/>
  <c r="F86" i="8"/>
  <c r="G85" i="8"/>
  <c r="D45" i="5"/>
  <c r="AH61" i="6"/>
  <c r="Q99" i="8" s="1"/>
  <c r="AH62" i="6"/>
  <c r="Q112" i="8" s="1"/>
  <c r="AH63" i="6"/>
  <c r="Q125" i="8" s="1"/>
  <c r="AH64" i="6"/>
  <c r="Q138" i="8" s="1"/>
  <c r="AH60" i="6"/>
  <c r="Q86" i="8" s="1"/>
  <c r="AA61" i="6"/>
  <c r="G46" i="9" s="1"/>
  <c r="AA62" i="6"/>
  <c r="G47" i="9" s="1"/>
  <c r="AA63" i="6"/>
  <c r="G48" i="9" s="1"/>
  <c r="AA64" i="6"/>
  <c r="G49" i="9" s="1"/>
  <c r="AA60" i="6"/>
  <c r="G45" i="9" s="1"/>
  <c r="Y58" i="6"/>
  <c r="Y45" i="6"/>
  <c r="G40" i="9"/>
  <c r="AA49" i="6"/>
  <c r="G41" i="9" s="1"/>
  <c r="AA50" i="6"/>
  <c r="G42" i="9" s="1"/>
  <c r="AA51" i="6"/>
  <c r="G43" i="9" s="1"/>
  <c r="G39" i="9"/>
  <c r="AH48" i="6"/>
  <c r="E99" i="8" s="1"/>
  <c r="AH49" i="6"/>
  <c r="E112" i="8" s="1"/>
  <c r="AH50" i="6"/>
  <c r="E125" i="8" s="1"/>
  <c r="AH51" i="6"/>
  <c r="E138" i="8" s="1"/>
  <c r="AH47" i="6"/>
  <c r="E86" i="8" s="1"/>
  <c r="L123" i="1" l="1"/>
  <c r="I123" i="1" s="1"/>
  <c r="L125" i="1"/>
  <c r="E34" i="8" s="1"/>
  <c r="L126" i="1"/>
  <c r="E46" i="8" s="1"/>
  <c r="L128" i="1"/>
  <c r="E70" i="8" s="1"/>
  <c r="L127" i="1"/>
  <c r="E58" i="8" s="1"/>
  <c r="H138" i="8"/>
  <c r="J138" i="8" s="1"/>
  <c r="K138" i="8" s="1"/>
  <c r="L138" i="8" s="1"/>
  <c r="T86" i="8"/>
  <c r="V86" i="8" s="1"/>
  <c r="W86" i="8" s="1"/>
  <c r="X86" i="8" s="1"/>
  <c r="T99" i="8"/>
  <c r="V99" i="8" s="1"/>
  <c r="W99" i="8" s="1"/>
  <c r="X99" i="8" s="1"/>
  <c r="H408" i="8"/>
  <c r="J408" i="8" s="1"/>
  <c r="K408" i="8" s="1"/>
  <c r="L408" i="8" s="1"/>
  <c r="H125" i="8"/>
  <c r="J125" i="8" s="1"/>
  <c r="K125" i="8" s="1"/>
  <c r="L125" i="8" s="1"/>
  <c r="H432" i="8"/>
  <c r="J432" i="8" s="1"/>
  <c r="K432" i="8" s="1"/>
  <c r="L432" i="8" s="1"/>
  <c r="D46" i="5"/>
  <c r="D54" i="5" s="1"/>
  <c r="D53" i="5"/>
  <c r="H420" i="8"/>
  <c r="J420" i="8" s="1"/>
  <c r="K420" i="8" s="1"/>
  <c r="L420" i="8" s="1"/>
  <c r="H444" i="8"/>
  <c r="J444" i="8" s="1"/>
  <c r="K444" i="8" s="1"/>
  <c r="L444" i="8" s="1"/>
  <c r="H456" i="8"/>
  <c r="J456" i="8" s="1"/>
  <c r="K456" i="8" s="1"/>
  <c r="L456" i="8" s="1"/>
  <c r="T138" i="8"/>
  <c r="V138" i="8" s="1"/>
  <c r="W138" i="8" s="1"/>
  <c r="X138" i="8" s="1"/>
  <c r="H112" i="8"/>
  <c r="J112" i="8" s="1"/>
  <c r="K112" i="8" s="1"/>
  <c r="L112" i="8" s="1"/>
  <c r="H396" i="8"/>
  <c r="J396" i="8" s="1"/>
  <c r="K396" i="8" s="1"/>
  <c r="L396" i="8" s="1"/>
  <c r="H99" i="8"/>
  <c r="J99" i="8" s="1"/>
  <c r="K99" i="8" s="1"/>
  <c r="L99" i="8" s="1"/>
  <c r="T125" i="8"/>
  <c r="V125" i="8" s="1"/>
  <c r="W125" i="8" s="1"/>
  <c r="X125" i="8" s="1"/>
  <c r="T83" i="8"/>
  <c r="V83" i="8" s="1"/>
  <c r="W83" i="8" s="1"/>
  <c r="X83" i="8" s="1"/>
  <c r="Q96" i="8"/>
  <c r="T96" i="8" s="1"/>
  <c r="V96" i="8" s="1"/>
  <c r="W96" i="8" s="1"/>
  <c r="X96" i="8" s="1"/>
  <c r="H83" i="8"/>
  <c r="J83" i="8" s="1"/>
  <c r="K83" i="8" s="1"/>
  <c r="L83" i="8" s="1"/>
  <c r="H135" i="8"/>
  <c r="J135" i="8" s="1"/>
  <c r="K135" i="8" s="1"/>
  <c r="L135" i="8" s="1"/>
  <c r="H109" i="8"/>
  <c r="J109" i="8" s="1"/>
  <c r="K109" i="8" s="1"/>
  <c r="L109" i="8" s="1"/>
  <c r="T112" i="8"/>
  <c r="V112" i="8" s="1"/>
  <c r="W112" i="8" s="1"/>
  <c r="X112" i="8" s="1"/>
  <c r="H96" i="8"/>
  <c r="J96" i="8" s="1"/>
  <c r="K96" i="8" s="1"/>
  <c r="H86" i="8"/>
  <c r="J86" i="8" s="1"/>
  <c r="K86" i="8" s="1"/>
  <c r="L86" i="8" s="1"/>
  <c r="E10" i="8" l="1"/>
  <c r="H10" i="8" s="1"/>
  <c r="J10" i="8" s="1"/>
  <c r="K10" i="8" s="1"/>
  <c r="J27" i="9"/>
  <c r="I128" i="1"/>
  <c r="J32" i="9" s="1"/>
  <c r="I127" i="1"/>
  <c r="J31" i="9" s="1"/>
  <c r="H58" i="8"/>
  <c r="J58" i="8" s="1"/>
  <c r="K58" i="8" s="1"/>
  <c r="L58" i="8" s="1"/>
  <c r="I126" i="1"/>
  <c r="J30" i="9" s="1"/>
  <c r="I125" i="1"/>
  <c r="J29" i="9" s="1"/>
  <c r="H70" i="8"/>
  <c r="J70" i="8" s="1"/>
  <c r="K70" i="8" s="1"/>
  <c r="H34" i="8"/>
  <c r="J34" i="8" s="1"/>
  <c r="K34" i="8" s="1"/>
  <c r="H46" i="8"/>
  <c r="J46" i="8" s="1"/>
  <c r="K46" i="8" s="1"/>
  <c r="L46" i="8" s="1"/>
  <c r="H122" i="8"/>
  <c r="J122" i="8" s="1"/>
  <c r="K122" i="8" s="1"/>
  <c r="L122" i="8" s="1"/>
  <c r="Q109" i="8"/>
  <c r="Q122" i="8" s="1"/>
  <c r="L96" i="8"/>
  <c r="J29" i="10" l="1"/>
  <c r="J32" i="10"/>
  <c r="J30" i="10"/>
  <c r="J31" i="10"/>
  <c r="J27" i="10"/>
  <c r="L70" i="8"/>
  <c r="L71" i="8" s="1"/>
  <c r="K71" i="8"/>
  <c r="K72" i="8" s="1"/>
  <c r="L34" i="8"/>
  <c r="L35" i="8" s="1"/>
  <c r="K35" i="8"/>
  <c r="K36" i="8" s="1"/>
  <c r="L10" i="8"/>
  <c r="L11" i="8" s="1"/>
  <c r="K11" i="8"/>
  <c r="K12" i="8" s="1"/>
  <c r="T109" i="8"/>
  <c r="V109" i="8" s="1"/>
  <c r="W109" i="8" s="1"/>
  <c r="X109" i="8" s="1"/>
  <c r="Q135" i="8"/>
  <c r="T135" i="8" s="1"/>
  <c r="V135" i="8" s="1"/>
  <c r="W135" i="8" s="1"/>
  <c r="X135" i="8" s="1"/>
  <c r="T122" i="8"/>
  <c r="V122" i="8" s="1"/>
  <c r="W122" i="8" s="1"/>
  <c r="X122" i="8" s="1"/>
  <c r="O33" i="6"/>
  <c r="O32" i="6"/>
  <c r="O31" i="6"/>
  <c r="O30" i="6"/>
  <c r="O29" i="6"/>
  <c r="AA29" i="6"/>
  <c r="Z29" i="6"/>
  <c r="Y33" i="6"/>
  <c r="Y32" i="6"/>
  <c r="Y31" i="6"/>
  <c r="X30" i="6"/>
  <c r="Y30" i="6" s="1"/>
  <c r="X29" i="6"/>
  <c r="Y29" i="6" s="1"/>
  <c r="R25" i="6"/>
  <c r="Y214" i="1"/>
  <c r="BA408" i="8" s="1"/>
  <c r="BD408" i="8" s="1"/>
  <c r="BF408" i="8" s="1"/>
  <c r="BG408" i="8" s="1"/>
  <c r="BH408" i="8" s="1"/>
  <c r="Y215" i="1"/>
  <c r="BA420" i="8" s="1"/>
  <c r="BD420" i="8" s="1"/>
  <c r="BF420" i="8" s="1"/>
  <c r="BG420" i="8" s="1"/>
  <c r="BH420" i="8" s="1"/>
  <c r="Y216" i="1"/>
  <c r="BA432" i="8" s="1"/>
  <c r="BD432" i="8" s="1"/>
  <c r="BF432" i="8" s="1"/>
  <c r="BG432" i="8" s="1"/>
  <c r="BH432" i="8" s="1"/>
  <c r="Y217" i="1"/>
  <c r="BA444" i="8" s="1"/>
  <c r="BD444" i="8" s="1"/>
  <c r="BF444" i="8" s="1"/>
  <c r="BG444" i="8" s="1"/>
  <c r="BH444" i="8" s="1"/>
  <c r="Y218" i="1"/>
  <c r="BA456" i="8" s="1"/>
  <c r="BD456" i="8" s="1"/>
  <c r="BF456" i="8" s="1"/>
  <c r="BG456" i="8" s="1"/>
  <c r="BH456" i="8" s="1"/>
  <c r="Y213" i="1"/>
  <c r="BA396" i="8" s="1"/>
  <c r="BD396" i="8" s="1"/>
  <c r="BF396" i="8" s="1"/>
  <c r="BG396" i="8" s="1"/>
  <c r="BH396" i="8" s="1"/>
  <c r="X214" i="1"/>
  <c r="BA406" i="8" s="1"/>
  <c r="BD406" i="8" s="1"/>
  <c r="BF406" i="8" s="1"/>
  <c r="BG406" i="8" s="1"/>
  <c r="BH406" i="8" s="1"/>
  <c r="X215" i="1"/>
  <c r="BA418" i="8" s="1"/>
  <c r="BD418" i="8" s="1"/>
  <c r="BF418" i="8" s="1"/>
  <c r="BG418" i="8" s="1"/>
  <c r="BH418" i="8" s="1"/>
  <c r="X216" i="1"/>
  <c r="BA430" i="8" s="1"/>
  <c r="BD430" i="8" s="1"/>
  <c r="BF430" i="8" s="1"/>
  <c r="BG430" i="8" s="1"/>
  <c r="BH430" i="8" s="1"/>
  <c r="X217" i="1"/>
  <c r="BA442" i="8" s="1"/>
  <c r="BD442" i="8" s="1"/>
  <c r="BF442" i="8" s="1"/>
  <c r="BG442" i="8" s="1"/>
  <c r="BH442" i="8" s="1"/>
  <c r="X218" i="1"/>
  <c r="BA454" i="8" s="1"/>
  <c r="BD454" i="8" s="1"/>
  <c r="BF454" i="8" s="1"/>
  <c r="BG454" i="8" s="1"/>
  <c r="BH454" i="8" s="1"/>
  <c r="X213" i="1"/>
  <c r="BA394" i="8" s="1"/>
  <c r="BD394" i="8" s="1"/>
  <c r="BF394" i="8" s="1"/>
  <c r="BG394" i="8" s="1"/>
  <c r="T214" i="1"/>
  <c r="T215" i="1"/>
  <c r="T216" i="1"/>
  <c r="T217" i="1"/>
  <c r="T218" i="1"/>
  <c r="T213" i="1"/>
  <c r="P211" i="1"/>
  <c r="Y206" i="1"/>
  <c r="AO408" i="8" s="1"/>
  <c r="AR408" i="8" s="1"/>
  <c r="AT408" i="8" s="1"/>
  <c r="AU408" i="8" s="1"/>
  <c r="AV408" i="8" s="1"/>
  <c r="Y207" i="1"/>
  <c r="AO420" i="8" s="1"/>
  <c r="AR420" i="8" s="1"/>
  <c r="AT420" i="8" s="1"/>
  <c r="AU420" i="8" s="1"/>
  <c r="AV420" i="8" s="1"/>
  <c r="Y208" i="1"/>
  <c r="AO432" i="8" s="1"/>
  <c r="AR432" i="8" s="1"/>
  <c r="AT432" i="8" s="1"/>
  <c r="AU432" i="8" s="1"/>
  <c r="AV432" i="8" s="1"/>
  <c r="Y209" i="1"/>
  <c r="AO444" i="8" s="1"/>
  <c r="AR444" i="8" s="1"/>
  <c r="AT444" i="8" s="1"/>
  <c r="AU444" i="8" s="1"/>
  <c r="AV444" i="8" s="1"/>
  <c r="Y210" i="1"/>
  <c r="AO456" i="8" s="1"/>
  <c r="AR456" i="8" s="1"/>
  <c r="AT456" i="8" s="1"/>
  <c r="AU456" i="8" s="1"/>
  <c r="AV456" i="8" s="1"/>
  <c r="Y205" i="1"/>
  <c r="AO396" i="8" s="1"/>
  <c r="AR396" i="8" s="1"/>
  <c r="AT396" i="8" s="1"/>
  <c r="AU396" i="8" s="1"/>
  <c r="AV396" i="8" s="1"/>
  <c r="X206" i="1"/>
  <c r="AO406" i="8" s="1"/>
  <c r="AR406" i="8" s="1"/>
  <c r="AT406" i="8" s="1"/>
  <c r="AU406" i="8" s="1"/>
  <c r="AV406" i="8" s="1"/>
  <c r="X207" i="1"/>
  <c r="AO418" i="8" s="1"/>
  <c r="AR418" i="8" s="1"/>
  <c r="AT418" i="8" s="1"/>
  <c r="AU418" i="8" s="1"/>
  <c r="AV418" i="8" s="1"/>
  <c r="X208" i="1"/>
  <c r="AO430" i="8" s="1"/>
  <c r="AR430" i="8" s="1"/>
  <c r="AT430" i="8" s="1"/>
  <c r="AU430" i="8" s="1"/>
  <c r="AV430" i="8" s="1"/>
  <c r="X209" i="1"/>
  <c r="AO442" i="8" s="1"/>
  <c r="AR442" i="8" s="1"/>
  <c r="AT442" i="8" s="1"/>
  <c r="AU442" i="8" s="1"/>
  <c r="AV442" i="8" s="1"/>
  <c r="X210" i="1"/>
  <c r="AO454" i="8" s="1"/>
  <c r="AR454" i="8" s="1"/>
  <c r="AT454" i="8" s="1"/>
  <c r="AU454" i="8" s="1"/>
  <c r="AV454" i="8" s="1"/>
  <c r="X205" i="1"/>
  <c r="AO394" i="8" s="1"/>
  <c r="AR394" i="8" s="1"/>
  <c r="AT394" i="8" s="1"/>
  <c r="AU394" i="8" s="1"/>
  <c r="T206" i="1"/>
  <c r="T207" i="1"/>
  <c r="T208" i="1"/>
  <c r="T209" i="1"/>
  <c r="T210" i="1"/>
  <c r="T205" i="1"/>
  <c r="P203" i="1"/>
  <c r="Y198" i="1"/>
  <c r="AC408" i="8" s="1"/>
  <c r="AF408" i="8" s="1"/>
  <c r="AH408" i="8" s="1"/>
  <c r="AI408" i="8" s="1"/>
  <c r="AJ408" i="8" s="1"/>
  <c r="Y199" i="1"/>
  <c r="AC420" i="8" s="1"/>
  <c r="AF420" i="8" s="1"/>
  <c r="AH420" i="8" s="1"/>
  <c r="AI420" i="8" s="1"/>
  <c r="AJ420" i="8" s="1"/>
  <c r="Y200" i="1"/>
  <c r="AC432" i="8" s="1"/>
  <c r="AF432" i="8" s="1"/>
  <c r="AH432" i="8" s="1"/>
  <c r="AI432" i="8" s="1"/>
  <c r="AJ432" i="8" s="1"/>
  <c r="Y201" i="1"/>
  <c r="AC444" i="8" s="1"/>
  <c r="AF444" i="8" s="1"/>
  <c r="AH444" i="8" s="1"/>
  <c r="AI444" i="8" s="1"/>
  <c r="AJ444" i="8" s="1"/>
  <c r="Y202" i="1"/>
  <c r="AC456" i="8" s="1"/>
  <c r="AF456" i="8" s="1"/>
  <c r="AH456" i="8" s="1"/>
  <c r="AI456" i="8" s="1"/>
  <c r="AJ456" i="8" s="1"/>
  <c r="Y197" i="1"/>
  <c r="AC396" i="8" s="1"/>
  <c r="AF396" i="8" s="1"/>
  <c r="AH396" i="8" s="1"/>
  <c r="AI396" i="8" s="1"/>
  <c r="AJ396" i="8" s="1"/>
  <c r="X198" i="1"/>
  <c r="AC406" i="8" s="1"/>
  <c r="AF406" i="8" s="1"/>
  <c r="AH406" i="8" s="1"/>
  <c r="AI406" i="8" s="1"/>
  <c r="AJ406" i="8" s="1"/>
  <c r="X199" i="1"/>
  <c r="AC418" i="8" s="1"/>
  <c r="AF418" i="8" s="1"/>
  <c r="AH418" i="8" s="1"/>
  <c r="AI418" i="8" s="1"/>
  <c r="AJ418" i="8" s="1"/>
  <c r="X200" i="1"/>
  <c r="AC430" i="8" s="1"/>
  <c r="AF430" i="8" s="1"/>
  <c r="AH430" i="8" s="1"/>
  <c r="AI430" i="8" s="1"/>
  <c r="AJ430" i="8" s="1"/>
  <c r="X201" i="1"/>
  <c r="AC442" i="8" s="1"/>
  <c r="AF442" i="8" s="1"/>
  <c r="AH442" i="8" s="1"/>
  <c r="AI442" i="8" s="1"/>
  <c r="AJ442" i="8" s="1"/>
  <c r="X202" i="1"/>
  <c r="AC454" i="8" s="1"/>
  <c r="AF454" i="8" s="1"/>
  <c r="AH454" i="8" s="1"/>
  <c r="AI454" i="8" s="1"/>
  <c r="AJ454" i="8" s="1"/>
  <c r="X197" i="1"/>
  <c r="AC394" i="8" s="1"/>
  <c r="AF394" i="8" s="1"/>
  <c r="AH394" i="8" s="1"/>
  <c r="AI394" i="8" s="1"/>
  <c r="T198" i="1"/>
  <c r="T199" i="1"/>
  <c r="T200" i="1"/>
  <c r="T201" i="1"/>
  <c r="T202" i="1"/>
  <c r="T197" i="1"/>
  <c r="P195" i="1"/>
  <c r="Y190" i="1"/>
  <c r="Q408" i="8" s="1"/>
  <c r="T408" i="8" s="1"/>
  <c r="V408" i="8" s="1"/>
  <c r="W408" i="8" s="1"/>
  <c r="X408" i="8" s="1"/>
  <c r="Y191" i="1"/>
  <c r="Q420" i="8" s="1"/>
  <c r="T420" i="8" s="1"/>
  <c r="V420" i="8" s="1"/>
  <c r="W420" i="8" s="1"/>
  <c r="X420" i="8" s="1"/>
  <c r="Y192" i="1"/>
  <c r="Q432" i="8" s="1"/>
  <c r="T432" i="8" s="1"/>
  <c r="V432" i="8" s="1"/>
  <c r="W432" i="8" s="1"/>
  <c r="X432" i="8" s="1"/>
  <c r="Y193" i="1"/>
  <c r="Q444" i="8" s="1"/>
  <c r="T444" i="8" s="1"/>
  <c r="V444" i="8" s="1"/>
  <c r="W444" i="8" s="1"/>
  <c r="X444" i="8" s="1"/>
  <c r="Y194" i="1"/>
  <c r="Q456" i="8" s="1"/>
  <c r="T456" i="8" s="1"/>
  <c r="V456" i="8" s="1"/>
  <c r="W456" i="8" s="1"/>
  <c r="X456" i="8" s="1"/>
  <c r="Y189" i="1"/>
  <c r="Q396" i="8" s="1"/>
  <c r="T396" i="8" s="1"/>
  <c r="V396" i="8" s="1"/>
  <c r="W396" i="8" s="1"/>
  <c r="X396" i="8" s="1"/>
  <c r="X190" i="1"/>
  <c r="Q406" i="8" s="1"/>
  <c r="T406" i="8" s="1"/>
  <c r="V406" i="8" s="1"/>
  <c r="W406" i="8" s="1"/>
  <c r="X406" i="8" s="1"/>
  <c r="X191" i="1"/>
  <c r="Q418" i="8" s="1"/>
  <c r="T418" i="8" s="1"/>
  <c r="V418" i="8" s="1"/>
  <c r="W418" i="8" s="1"/>
  <c r="X418" i="8" s="1"/>
  <c r="X192" i="1"/>
  <c r="Q430" i="8" s="1"/>
  <c r="T430" i="8" s="1"/>
  <c r="V430" i="8" s="1"/>
  <c r="W430" i="8" s="1"/>
  <c r="X430" i="8" s="1"/>
  <c r="X193" i="1"/>
  <c r="Q442" i="8" s="1"/>
  <c r="T442" i="8" s="1"/>
  <c r="V442" i="8" s="1"/>
  <c r="W442" i="8" s="1"/>
  <c r="X442" i="8" s="1"/>
  <c r="X194" i="1"/>
  <c r="Q454" i="8" s="1"/>
  <c r="T454" i="8" s="1"/>
  <c r="V454" i="8" s="1"/>
  <c r="W454" i="8" s="1"/>
  <c r="X454" i="8" s="1"/>
  <c r="X189" i="1"/>
  <c r="Q394" i="8" s="1"/>
  <c r="T394" i="8" s="1"/>
  <c r="V394" i="8" s="1"/>
  <c r="W394" i="8" s="1"/>
  <c r="T190" i="1"/>
  <c r="T191" i="1"/>
  <c r="T192" i="1"/>
  <c r="T193" i="1"/>
  <c r="T194" i="1"/>
  <c r="T189" i="1"/>
  <c r="P187" i="1"/>
  <c r="P179" i="1"/>
  <c r="X182" i="1"/>
  <c r="E406" i="8" s="1"/>
  <c r="H406" i="8" s="1"/>
  <c r="J406" i="8" s="1"/>
  <c r="K406" i="8" s="1"/>
  <c r="L406" i="8" s="1"/>
  <c r="X183" i="1"/>
  <c r="E418" i="8" s="1"/>
  <c r="H418" i="8" s="1"/>
  <c r="J418" i="8" s="1"/>
  <c r="K418" i="8" s="1"/>
  <c r="L418" i="8" s="1"/>
  <c r="X184" i="1"/>
  <c r="X185" i="1"/>
  <c r="E442" i="8" s="1"/>
  <c r="H442" i="8" s="1"/>
  <c r="J442" i="8" s="1"/>
  <c r="K442" i="8" s="1"/>
  <c r="L442" i="8" s="1"/>
  <c r="X186" i="1"/>
  <c r="E454" i="8" s="1"/>
  <c r="H454" i="8" s="1"/>
  <c r="J454" i="8" s="1"/>
  <c r="K454" i="8" s="1"/>
  <c r="L454" i="8" s="1"/>
  <c r="X181" i="1"/>
  <c r="E394" i="8" s="1"/>
  <c r="H394" i="8" s="1"/>
  <c r="J394" i="8" s="1"/>
  <c r="K394" i="8" s="1"/>
  <c r="T182" i="1"/>
  <c r="T183" i="1"/>
  <c r="T184" i="1"/>
  <c r="T185" i="1"/>
  <c r="T186" i="1"/>
  <c r="R186" i="1"/>
  <c r="G123" i="9" s="1"/>
  <c r="R185" i="1"/>
  <c r="G122" i="9" s="1"/>
  <c r="R184" i="1"/>
  <c r="G121" i="9" s="1"/>
  <c r="R183" i="1"/>
  <c r="G120" i="9" s="1"/>
  <c r="R182" i="1"/>
  <c r="G119" i="9" s="1"/>
  <c r="R181" i="1"/>
  <c r="G118" i="9" s="1"/>
  <c r="Q181" i="1"/>
  <c r="Q189" i="1" s="1"/>
  <c r="Q197" i="1" s="1"/>
  <c r="Q205" i="1" s="1"/>
  <c r="Q213" i="1" s="1"/>
  <c r="O179" i="1"/>
  <c r="Y173" i="1"/>
  <c r="E329" i="8" s="1"/>
  <c r="H329" i="8" s="1"/>
  <c r="J329" i="8" s="1"/>
  <c r="K329" i="8" s="1"/>
  <c r="L329" i="8" s="1"/>
  <c r="Y174" i="1"/>
  <c r="E341" i="8" s="1"/>
  <c r="H341" i="8" s="1"/>
  <c r="J341" i="8" s="1"/>
  <c r="K341" i="8" s="1"/>
  <c r="L341" i="8" s="1"/>
  <c r="Y175" i="1"/>
  <c r="E353" i="8" s="1"/>
  <c r="H353" i="8" s="1"/>
  <c r="J353" i="8" s="1"/>
  <c r="K353" i="8" s="1"/>
  <c r="L353" i="8" s="1"/>
  <c r="Y176" i="1"/>
  <c r="E365" i="8" s="1"/>
  <c r="H365" i="8" s="1"/>
  <c r="J365" i="8" s="1"/>
  <c r="K365" i="8" s="1"/>
  <c r="L365" i="8" s="1"/>
  <c r="Y177" i="1"/>
  <c r="E377" i="8" s="1"/>
  <c r="H377" i="8" s="1"/>
  <c r="J377" i="8" s="1"/>
  <c r="K377" i="8" s="1"/>
  <c r="L377" i="8" s="1"/>
  <c r="Y172" i="1"/>
  <c r="E317" i="8" s="1"/>
  <c r="H317" i="8" s="1"/>
  <c r="J317" i="8" s="1"/>
  <c r="K317" i="8" s="1"/>
  <c r="L317" i="8" s="1"/>
  <c r="X173" i="1"/>
  <c r="E327" i="8" s="1"/>
  <c r="H327" i="8" s="1"/>
  <c r="J327" i="8" s="1"/>
  <c r="K327" i="8" s="1"/>
  <c r="L327" i="8" s="1"/>
  <c r="X174" i="1"/>
  <c r="E339" i="8" s="1"/>
  <c r="H339" i="8" s="1"/>
  <c r="J339" i="8" s="1"/>
  <c r="K339" i="8" s="1"/>
  <c r="L339" i="8" s="1"/>
  <c r="E351" i="8"/>
  <c r="H351" i="8" s="1"/>
  <c r="J351" i="8" s="1"/>
  <c r="K351" i="8" s="1"/>
  <c r="L351" i="8" s="1"/>
  <c r="X176" i="1"/>
  <c r="E363" i="8" s="1"/>
  <c r="H363" i="8" s="1"/>
  <c r="J363" i="8" s="1"/>
  <c r="K363" i="8" s="1"/>
  <c r="L363" i="8" s="1"/>
  <c r="X177" i="1"/>
  <c r="E375" i="8" s="1"/>
  <c r="H375" i="8" s="1"/>
  <c r="J375" i="8" s="1"/>
  <c r="K375" i="8" s="1"/>
  <c r="L375" i="8" s="1"/>
  <c r="X172" i="1"/>
  <c r="E315" i="8" s="1"/>
  <c r="H315" i="8" s="1"/>
  <c r="J315" i="8" s="1"/>
  <c r="K315" i="8" s="1"/>
  <c r="L315" i="8" s="1"/>
  <c r="T173" i="1"/>
  <c r="T174" i="1"/>
  <c r="T175" i="1"/>
  <c r="T176" i="1"/>
  <c r="T177" i="1"/>
  <c r="T172" i="1"/>
  <c r="R173" i="1"/>
  <c r="G107" i="9" s="1"/>
  <c r="R174" i="1"/>
  <c r="G108" i="9" s="1"/>
  <c r="R175" i="1"/>
  <c r="G109" i="9" s="1"/>
  <c r="R176" i="1"/>
  <c r="G110" i="9" s="1"/>
  <c r="R177" i="1"/>
  <c r="G111" i="9" s="1"/>
  <c r="R172" i="1"/>
  <c r="G106" i="9" s="1"/>
  <c r="Q172" i="1"/>
  <c r="O171" i="1"/>
  <c r="Y165" i="1"/>
  <c r="BA252" i="8" s="1"/>
  <c r="Y166" i="1"/>
  <c r="BA264" i="8" s="1"/>
  <c r="Y167" i="1"/>
  <c r="BA276" i="8" s="1"/>
  <c r="Y168" i="1"/>
  <c r="BA288" i="8" s="1"/>
  <c r="Y169" i="1"/>
  <c r="BA300" i="8" s="1"/>
  <c r="Y164" i="1"/>
  <c r="BA240" i="8" s="1"/>
  <c r="BD240" i="8" s="1"/>
  <c r="BF240" i="8" s="1"/>
  <c r="BG240" i="8" s="1"/>
  <c r="BH240" i="8" s="1"/>
  <c r="X165" i="1"/>
  <c r="BA250" i="8" s="1"/>
  <c r="X166" i="1"/>
  <c r="BA262" i="8" s="1"/>
  <c r="X167" i="1"/>
  <c r="BA274" i="8" s="1"/>
  <c r="X168" i="1"/>
  <c r="BA286" i="8" s="1"/>
  <c r="X169" i="1"/>
  <c r="BA298" i="8" s="1"/>
  <c r="X164" i="1"/>
  <c r="BA238" i="8" s="1"/>
  <c r="BD238" i="8" s="1"/>
  <c r="BF238" i="8" s="1"/>
  <c r="BG238" i="8" s="1"/>
  <c r="T165" i="1"/>
  <c r="T166" i="1"/>
  <c r="T167" i="1"/>
  <c r="T168" i="1"/>
  <c r="T169" i="1"/>
  <c r="T164" i="1"/>
  <c r="R169" i="1"/>
  <c r="G100" i="9" s="1"/>
  <c r="R168" i="1"/>
  <c r="G99" i="9" s="1"/>
  <c r="R167" i="1"/>
  <c r="G98" i="9" s="1"/>
  <c r="R166" i="1"/>
  <c r="G97" i="9" s="1"/>
  <c r="R165" i="1"/>
  <c r="G96" i="9" s="1"/>
  <c r="R164" i="1"/>
  <c r="G95" i="9" s="1"/>
  <c r="P162" i="1"/>
  <c r="Y157" i="1"/>
  <c r="AO252" i="8" s="1"/>
  <c r="Y158" i="1"/>
  <c r="AO264" i="8" s="1"/>
  <c r="Y159" i="1"/>
  <c r="AO276" i="8" s="1"/>
  <c r="Y160" i="1"/>
  <c r="AO288" i="8" s="1"/>
  <c r="Y161" i="1"/>
  <c r="AO300" i="8" s="1"/>
  <c r="Y156" i="1"/>
  <c r="AO240" i="8" s="1"/>
  <c r="AR240" i="8" s="1"/>
  <c r="AT240" i="8" s="1"/>
  <c r="AU240" i="8" s="1"/>
  <c r="AV240" i="8" s="1"/>
  <c r="X158" i="1"/>
  <c r="AO262" i="8" s="1"/>
  <c r="X159" i="1"/>
  <c r="AO274" i="8" s="1"/>
  <c r="X160" i="1"/>
  <c r="AO286" i="8" s="1"/>
  <c r="X161" i="1"/>
  <c r="AO298" i="8" s="1"/>
  <c r="X156" i="1"/>
  <c r="AO238" i="8" s="1"/>
  <c r="AR238" i="8" s="1"/>
  <c r="AT238" i="8" s="1"/>
  <c r="AU238" i="8" s="1"/>
  <c r="T157" i="1"/>
  <c r="T158" i="1"/>
  <c r="T159" i="1"/>
  <c r="T160" i="1"/>
  <c r="T161" i="1"/>
  <c r="T156" i="1"/>
  <c r="R161" i="1"/>
  <c r="G93" i="9" s="1"/>
  <c r="R160" i="1"/>
  <c r="G92" i="9" s="1"/>
  <c r="R159" i="1"/>
  <c r="G91" i="9" s="1"/>
  <c r="R158" i="1"/>
  <c r="G90" i="9" s="1"/>
  <c r="R157" i="1"/>
  <c r="G89" i="9" s="1"/>
  <c r="R156" i="1"/>
  <c r="G88" i="9" s="1"/>
  <c r="P154" i="1"/>
  <c r="Y149" i="1"/>
  <c r="AC252" i="8" s="1"/>
  <c r="Y150" i="1"/>
  <c r="AC264" i="8" s="1"/>
  <c r="Y151" i="1"/>
  <c r="AC276" i="8" s="1"/>
  <c r="Y152" i="1"/>
  <c r="AC288" i="8" s="1"/>
  <c r="Y153" i="1"/>
  <c r="AC300" i="8" s="1"/>
  <c r="Y148" i="1"/>
  <c r="AC240" i="8" s="1"/>
  <c r="AF240" i="8" s="1"/>
  <c r="AH240" i="8" s="1"/>
  <c r="AI240" i="8" s="1"/>
  <c r="AJ240" i="8" s="1"/>
  <c r="X149" i="1"/>
  <c r="AC250" i="8" s="1"/>
  <c r="AC262" i="8"/>
  <c r="X151" i="1"/>
  <c r="AC274" i="8" s="1"/>
  <c r="X152" i="1"/>
  <c r="AC286" i="8" s="1"/>
  <c r="X153" i="1"/>
  <c r="AC298" i="8" s="1"/>
  <c r="X148" i="1"/>
  <c r="AC238" i="8" s="1"/>
  <c r="AF238" i="8" s="1"/>
  <c r="AH238" i="8" s="1"/>
  <c r="AI238" i="8" s="1"/>
  <c r="T149" i="1"/>
  <c r="T150" i="1"/>
  <c r="T151" i="1"/>
  <c r="T152" i="1"/>
  <c r="T153" i="1"/>
  <c r="T148" i="1"/>
  <c r="R153" i="1"/>
  <c r="G86" i="9" s="1"/>
  <c r="R152" i="1"/>
  <c r="G85" i="9" s="1"/>
  <c r="R151" i="1"/>
  <c r="G84" i="9" s="1"/>
  <c r="R150" i="1"/>
  <c r="G83" i="9" s="1"/>
  <c r="R149" i="1"/>
  <c r="G82" i="9" s="1"/>
  <c r="R148" i="1"/>
  <c r="G81" i="9" s="1"/>
  <c r="Y141" i="1"/>
  <c r="Q252" i="8" s="1"/>
  <c r="Y142" i="1"/>
  <c r="Q264" i="8" s="1"/>
  <c r="Y143" i="1"/>
  <c r="Q276" i="8" s="1"/>
  <c r="Y144" i="1"/>
  <c r="Q288" i="8" s="1"/>
  <c r="Y145" i="1"/>
  <c r="Q300" i="8" s="1"/>
  <c r="Y140" i="1"/>
  <c r="Q240" i="8" s="1"/>
  <c r="T240" i="8" s="1"/>
  <c r="V240" i="8" s="1"/>
  <c r="W240" i="8" s="1"/>
  <c r="X240" i="8" s="1"/>
  <c r="Q262" i="8"/>
  <c r="Q274" i="8"/>
  <c r="Q286" i="8"/>
  <c r="Q298" i="8"/>
  <c r="Q250" i="8"/>
  <c r="Q238" i="8"/>
  <c r="T238" i="8" s="1"/>
  <c r="V238" i="8" s="1"/>
  <c r="W238" i="8" s="1"/>
  <c r="P146" i="1"/>
  <c r="T141" i="1"/>
  <c r="T142" i="1"/>
  <c r="T143" i="1"/>
  <c r="T144" i="1"/>
  <c r="T145" i="1"/>
  <c r="T140" i="1"/>
  <c r="R145" i="1"/>
  <c r="G79" i="9" s="1"/>
  <c r="R144" i="1"/>
  <c r="G78" i="9" s="1"/>
  <c r="R143" i="1"/>
  <c r="G77" i="9" s="1"/>
  <c r="R142" i="1"/>
  <c r="G76" i="9" s="1"/>
  <c r="R141" i="1"/>
  <c r="G75" i="9" s="1"/>
  <c r="R140" i="1"/>
  <c r="G74" i="9" s="1"/>
  <c r="P138" i="1"/>
  <c r="P130" i="1"/>
  <c r="B235" i="8" s="1"/>
  <c r="Y133" i="1"/>
  <c r="E252" i="8" s="1"/>
  <c r="H252" i="8" s="1"/>
  <c r="J252" i="8" s="1"/>
  <c r="K252" i="8" s="1"/>
  <c r="L252" i="8" s="1"/>
  <c r="Y134" i="1"/>
  <c r="E264" i="8" s="1"/>
  <c r="H264" i="8" s="1"/>
  <c r="J264" i="8" s="1"/>
  <c r="K264" i="8" s="1"/>
  <c r="L264" i="8" s="1"/>
  <c r="Y135" i="1"/>
  <c r="E276" i="8" s="1"/>
  <c r="H276" i="8" s="1"/>
  <c r="J276" i="8" s="1"/>
  <c r="K276" i="8" s="1"/>
  <c r="L276" i="8" s="1"/>
  <c r="Y136" i="1"/>
  <c r="E288" i="8" s="1"/>
  <c r="H288" i="8" s="1"/>
  <c r="J288" i="8" s="1"/>
  <c r="K288" i="8" s="1"/>
  <c r="L288" i="8" s="1"/>
  <c r="Y137" i="1"/>
  <c r="E300" i="8" s="1"/>
  <c r="H300" i="8" s="1"/>
  <c r="J300" i="8" s="1"/>
  <c r="K300" i="8" s="1"/>
  <c r="L300" i="8" s="1"/>
  <c r="Y132" i="1"/>
  <c r="E240" i="8" s="1"/>
  <c r="H240" i="8" s="1"/>
  <c r="J240" i="8" s="1"/>
  <c r="K240" i="8" s="1"/>
  <c r="L240" i="8" s="1"/>
  <c r="X133" i="1"/>
  <c r="E250" i="8" s="1"/>
  <c r="H250" i="8" s="1"/>
  <c r="J250" i="8" s="1"/>
  <c r="K250" i="8" s="1"/>
  <c r="L250" i="8" s="1"/>
  <c r="X134" i="1"/>
  <c r="E262" i="8" s="1"/>
  <c r="H262" i="8" s="1"/>
  <c r="J262" i="8" s="1"/>
  <c r="K262" i="8" s="1"/>
  <c r="L262" i="8" s="1"/>
  <c r="X135" i="1"/>
  <c r="E274" i="8" s="1"/>
  <c r="H274" i="8" s="1"/>
  <c r="J274" i="8" s="1"/>
  <c r="K274" i="8" s="1"/>
  <c r="L274" i="8" s="1"/>
  <c r="X136" i="1"/>
  <c r="E286" i="8" s="1"/>
  <c r="H286" i="8" s="1"/>
  <c r="J286" i="8" s="1"/>
  <c r="K286" i="8" s="1"/>
  <c r="L286" i="8" s="1"/>
  <c r="X137" i="1"/>
  <c r="E298" i="8" s="1"/>
  <c r="H298" i="8" s="1"/>
  <c r="J298" i="8" s="1"/>
  <c r="K298" i="8" s="1"/>
  <c r="L298" i="8" s="1"/>
  <c r="X132" i="1"/>
  <c r="E238" i="8" s="1"/>
  <c r="H238" i="8" s="1"/>
  <c r="J238" i="8" s="1"/>
  <c r="K238" i="8" s="1"/>
  <c r="L238" i="8" s="1"/>
  <c r="T133" i="1"/>
  <c r="T134" i="1"/>
  <c r="T135" i="1"/>
  <c r="T136" i="1"/>
  <c r="T137" i="1"/>
  <c r="T132" i="1"/>
  <c r="R137" i="1"/>
  <c r="G72" i="9" s="1"/>
  <c r="R136" i="1"/>
  <c r="G71" i="9" s="1"/>
  <c r="R135" i="1"/>
  <c r="G70" i="9" s="1"/>
  <c r="R134" i="1"/>
  <c r="G69" i="9" s="1"/>
  <c r="R133" i="1"/>
  <c r="G68" i="9" s="1"/>
  <c r="R132" i="1"/>
  <c r="G67" i="9" s="1"/>
  <c r="Q132" i="1"/>
  <c r="Q140" i="1" s="1"/>
  <c r="Q148" i="1" s="1"/>
  <c r="Q156" i="1" s="1"/>
  <c r="Q164" i="1" s="1"/>
  <c r="O130" i="1"/>
  <c r="Y124" i="1"/>
  <c r="E170" i="8" s="1"/>
  <c r="H170" i="8" s="1"/>
  <c r="J170" i="8" s="1"/>
  <c r="K170" i="8" s="1"/>
  <c r="L170" i="8" s="1"/>
  <c r="Y125" i="1"/>
  <c r="E182" i="8" s="1"/>
  <c r="H182" i="8" s="1"/>
  <c r="J182" i="8" s="1"/>
  <c r="K182" i="8" s="1"/>
  <c r="L182" i="8" s="1"/>
  <c r="Y126" i="1"/>
  <c r="E194" i="8" s="1"/>
  <c r="H194" i="8" s="1"/>
  <c r="J194" i="8" s="1"/>
  <c r="K194" i="8" s="1"/>
  <c r="L194" i="8" s="1"/>
  <c r="Y127" i="1"/>
  <c r="E206" i="8" s="1"/>
  <c r="H206" i="8" s="1"/>
  <c r="J206" i="8" s="1"/>
  <c r="K206" i="8" s="1"/>
  <c r="L206" i="8" s="1"/>
  <c r="Y128" i="1"/>
  <c r="E218" i="8" s="1"/>
  <c r="H218" i="8" s="1"/>
  <c r="J218" i="8" s="1"/>
  <c r="K218" i="8" s="1"/>
  <c r="L218" i="8" s="1"/>
  <c r="Y123" i="1"/>
  <c r="E158" i="8" s="1"/>
  <c r="H158" i="8" s="1"/>
  <c r="J158" i="8" s="1"/>
  <c r="K158" i="8" s="1"/>
  <c r="L158" i="8" s="1"/>
  <c r="E168" i="8"/>
  <c r="X125" i="1"/>
  <c r="E180" i="8" s="1"/>
  <c r="H180" i="8" s="1"/>
  <c r="J180" i="8" s="1"/>
  <c r="K180" i="8" s="1"/>
  <c r="L180" i="8" s="1"/>
  <c r="X126" i="1"/>
  <c r="E192" i="8" s="1"/>
  <c r="H192" i="8" s="1"/>
  <c r="J192" i="8" s="1"/>
  <c r="K192" i="8" s="1"/>
  <c r="L192" i="8" s="1"/>
  <c r="X127" i="1"/>
  <c r="E204" i="8" s="1"/>
  <c r="H204" i="8" s="1"/>
  <c r="J204" i="8" s="1"/>
  <c r="K204" i="8" s="1"/>
  <c r="L204" i="8" s="1"/>
  <c r="X128" i="1"/>
  <c r="E216" i="8" s="1"/>
  <c r="H216" i="8" s="1"/>
  <c r="J216" i="8" s="1"/>
  <c r="K216" i="8" s="1"/>
  <c r="L216" i="8" s="1"/>
  <c r="X123" i="1"/>
  <c r="E156" i="8" s="1"/>
  <c r="H156" i="8" s="1"/>
  <c r="J156" i="8" s="1"/>
  <c r="K156" i="8" s="1"/>
  <c r="T124" i="1"/>
  <c r="J108" i="1"/>
  <c r="T125" i="1"/>
  <c r="T126" i="1"/>
  <c r="T127" i="1"/>
  <c r="T128" i="1"/>
  <c r="T123" i="1"/>
  <c r="R124" i="1"/>
  <c r="G56" i="9" s="1"/>
  <c r="R125" i="1"/>
  <c r="G57" i="9" s="1"/>
  <c r="R126" i="1"/>
  <c r="G58" i="9" s="1"/>
  <c r="R127" i="1"/>
  <c r="G59" i="9" s="1"/>
  <c r="R128" i="1"/>
  <c r="G60" i="9" s="1"/>
  <c r="R123" i="1"/>
  <c r="G55" i="9" s="1"/>
  <c r="O122" i="1"/>
  <c r="Q123" i="1"/>
  <c r="Z47" i="6"/>
  <c r="Z60" i="6" s="1"/>
  <c r="E430" i="8" l="1"/>
  <c r="H430" i="8" s="1"/>
  <c r="J430" i="8" s="1"/>
  <c r="K430" i="8" s="1"/>
  <c r="L430" i="8" s="1"/>
  <c r="AA30" i="6"/>
  <c r="S128" i="1"/>
  <c r="G60" i="10" s="1"/>
  <c r="S136" i="1"/>
  <c r="G71" i="10" s="1"/>
  <c r="S140" i="1"/>
  <c r="G74" i="10" s="1"/>
  <c r="S142" i="1"/>
  <c r="S151" i="1"/>
  <c r="G84" i="10" s="1"/>
  <c r="S160" i="1"/>
  <c r="G92" i="10" s="1"/>
  <c r="S169" i="1"/>
  <c r="G100" i="10" s="1"/>
  <c r="S165" i="1"/>
  <c r="G96" i="10" s="1"/>
  <c r="S175" i="1"/>
  <c r="G109" i="10" s="1"/>
  <c r="S186" i="1"/>
  <c r="S127" i="1"/>
  <c r="G59" i="10" s="1"/>
  <c r="S124" i="1"/>
  <c r="G56" i="10" s="1"/>
  <c r="S135" i="1"/>
  <c r="S145" i="1"/>
  <c r="G79" i="10" s="1"/>
  <c r="S141" i="1"/>
  <c r="G75" i="10" s="1"/>
  <c r="S148" i="1"/>
  <c r="G81" i="10" s="1"/>
  <c r="V150" i="1"/>
  <c r="S159" i="1"/>
  <c r="G91" i="10" s="1"/>
  <c r="S168" i="1"/>
  <c r="G99" i="10" s="1"/>
  <c r="S172" i="1"/>
  <c r="G106" i="10" s="1"/>
  <c r="S174" i="1"/>
  <c r="G108" i="10" s="1"/>
  <c r="S185" i="1"/>
  <c r="S126" i="1"/>
  <c r="G58" i="10" s="1"/>
  <c r="V132" i="1"/>
  <c r="S134" i="1"/>
  <c r="G69" i="10" s="1"/>
  <c r="S144" i="1"/>
  <c r="G78" i="10" s="1"/>
  <c r="S153" i="1"/>
  <c r="G86" i="10" s="1"/>
  <c r="S149" i="1"/>
  <c r="G82" i="10" s="1"/>
  <c r="S156" i="1"/>
  <c r="G88" i="10" s="1"/>
  <c r="S158" i="1"/>
  <c r="S167" i="1"/>
  <c r="G98" i="10" s="1"/>
  <c r="S177" i="1"/>
  <c r="G111" i="10" s="1"/>
  <c r="S173" i="1"/>
  <c r="G107" i="10" s="1"/>
  <c r="S184" i="1"/>
  <c r="V123" i="1"/>
  <c r="S125" i="1"/>
  <c r="G57" i="10" s="1"/>
  <c r="S137" i="1"/>
  <c r="G72" i="10" s="1"/>
  <c r="S133" i="1"/>
  <c r="S143" i="1"/>
  <c r="G77" i="10" s="1"/>
  <c r="S152" i="1"/>
  <c r="G85" i="10" s="1"/>
  <c r="S161" i="1"/>
  <c r="G93" i="10" s="1"/>
  <c r="S157" i="1"/>
  <c r="G89" i="10" s="1"/>
  <c r="S164" i="1"/>
  <c r="G95" i="10" s="1"/>
  <c r="S166" i="1"/>
  <c r="G97" i="10" s="1"/>
  <c r="S176" i="1"/>
  <c r="G110" i="10" s="1"/>
  <c r="S183" i="1"/>
  <c r="K13" i="8"/>
  <c r="L14" i="8" s="1"/>
  <c r="K37" i="8"/>
  <c r="L38" i="8" s="1"/>
  <c r="K73" i="8"/>
  <c r="K74" i="8" s="1"/>
  <c r="K75" i="8" s="1"/>
  <c r="R192" i="1"/>
  <c r="G128" i="9" s="1"/>
  <c r="R189" i="1"/>
  <c r="G125" i="9" s="1"/>
  <c r="R193" i="1"/>
  <c r="G129" i="9" s="1"/>
  <c r="R190" i="1"/>
  <c r="G126" i="9" s="1"/>
  <c r="R194" i="1"/>
  <c r="G130" i="9" s="1"/>
  <c r="R191" i="1"/>
  <c r="G127" i="9" s="1"/>
  <c r="X238" i="8"/>
  <c r="BH238" i="8"/>
  <c r="T298" i="8"/>
  <c r="V298" i="8" s="1"/>
  <c r="W298" i="8" s="1"/>
  <c r="X298" i="8" s="1"/>
  <c r="X394" i="8"/>
  <c r="L156" i="8"/>
  <c r="AJ238" i="8"/>
  <c r="L394" i="8"/>
  <c r="AF262" i="8"/>
  <c r="AH262" i="8" s="1"/>
  <c r="AI262" i="8" s="1"/>
  <c r="AJ262" i="8" s="1"/>
  <c r="AR262" i="8"/>
  <c r="AT262" i="8" s="1"/>
  <c r="AU262" i="8" s="1"/>
  <c r="AV262" i="8" s="1"/>
  <c r="BD286" i="8"/>
  <c r="BF286" i="8" s="1"/>
  <c r="BG286" i="8" s="1"/>
  <c r="BH286" i="8" s="1"/>
  <c r="AV394" i="8"/>
  <c r="AV238" i="8"/>
  <c r="T262" i="8"/>
  <c r="V262" i="8" s="1"/>
  <c r="W262" i="8" s="1"/>
  <c r="X262" i="8" s="1"/>
  <c r="AJ394" i="8"/>
  <c r="BD274" i="8"/>
  <c r="BF274" i="8" s="1"/>
  <c r="BG274" i="8" s="1"/>
  <c r="BH274" i="8" s="1"/>
  <c r="BH394" i="8"/>
  <c r="T250" i="8"/>
  <c r="V250" i="8" s="1"/>
  <c r="W250" i="8" s="1"/>
  <c r="X250" i="8" s="1"/>
  <c r="AR274" i="8"/>
  <c r="AT274" i="8" s="1"/>
  <c r="AU274" i="8" s="1"/>
  <c r="AF274" i="8"/>
  <c r="AH274" i="8" s="1"/>
  <c r="AI274" i="8" s="1"/>
  <c r="BD276" i="8"/>
  <c r="BF276" i="8" s="1"/>
  <c r="BG276" i="8" s="1"/>
  <c r="BH276" i="8" s="1"/>
  <c r="BD288" i="8"/>
  <c r="BF288" i="8" s="1"/>
  <c r="BG288" i="8" s="1"/>
  <c r="BH288" i="8" s="1"/>
  <c r="AR276" i="8"/>
  <c r="AT276" i="8" s="1"/>
  <c r="AU276" i="8" s="1"/>
  <c r="AV276" i="8" s="1"/>
  <c r="AR264" i="8"/>
  <c r="AT264" i="8" s="1"/>
  <c r="AU264" i="8" s="1"/>
  <c r="AV264" i="8" s="1"/>
  <c r="AF264" i="8"/>
  <c r="AH264" i="8" s="1"/>
  <c r="AI264" i="8" s="1"/>
  <c r="AJ264" i="8" s="1"/>
  <c r="AF276" i="8"/>
  <c r="AH276" i="8" s="1"/>
  <c r="AI276" i="8" s="1"/>
  <c r="AJ276" i="8" s="1"/>
  <c r="T300" i="8"/>
  <c r="V300" i="8" s="1"/>
  <c r="W300" i="8" s="1"/>
  <c r="X300" i="8" s="1"/>
  <c r="T252" i="8"/>
  <c r="V252" i="8" s="1"/>
  <c r="W252" i="8" s="1"/>
  <c r="X252" i="8" s="1"/>
  <c r="T264" i="8"/>
  <c r="V264" i="8" s="1"/>
  <c r="W264" i="8" s="1"/>
  <c r="X264" i="8" s="1"/>
  <c r="Z150" i="1" l="1"/>
  <c r="AA150" i="1"/>
  <c r="AC263" i="8" s="1"/>
  <c r="AF263" i="8" s="1"/>
  <c r="AH263" i="8" s="1"/>
  <c r="AI263" i="8" s="1"/>
  <c r="AJ263" i="8" s="1"/>
  <c r="I55" i="9"/>
  <c r="Z123" i="1"/>
  <c r="AA123" i="1"/>
  <c r="E239" i="8"/>
  <c r="H239" i="8" s="1"/>
  <c r="J239" i="8" s="1"/>
  <c r="K239" i="8" s="1"/>
  <c r="L239" i="8" s="1"/>
  <c r="E241" i="8"/>
  <c r="H241" i="8" s="1"/>
  <c r="J241" i="8" s="1"/>
  <c r="K241" i="8" s="1"/>
  <c r="L241" i="8" s="1"/>
  <c r="S181" i="1"/>
  <c r="V181" i="1"/>
  <c r="I83" i="9"/>
  <c r="I83" i="10" s="1"/>
  <c r="I67" i="9"/>
  <c r="I67" i="10" s="1"/>
  <c r="V151" i="1"/>
  <c r="V140" i="1"/>
  <c r="V175" i="1"/>
  <c r="I55" i="10"/>
  <c r="V173" i="1"/>
  <c r="V126" i="1"/>
  <c r="V133" i="1"/>
  <c r="V156" i="1"/>
  <c r="I88" i="9" s="1"/>
  <c r="V166" i="1"/>
  <c r="V148" i="1"/>
  <c r="I81" i="9" s="1"/>
  <c r="V159" i="1"/>
  <c r="V169" i="1"/>
  <c r="AA169" i="1" s="1"/>
  <c r="V128" i="1"/>
  <c r="V124" i="1"/>
  <c r="V172" i="1"/>
  <c r="V145" i="1"/>
  <c r="I79" i="9" s="1"/>
  <c r="V134" i="1"/>
  <c r="V153" i="1"/>
  <c r="V167" i="1"/>
  <c r="V143" i="1"/>
  <c r="I77" i="9" s="1"/>
  <c r="V157" i="1"/>
  <c r="V174" i="1"/>
  <c r="V149" i="1"/>
  <c r="V144" i="1"/>
  <c r="I78" i="9" s="1"/>
  <c r="V160" i="1"/>
  <c r="V176" i="1"/>
  <c r="V142" i="1"/>
  <c r="I76" i="9" s="1"/>
  <c r="V152" i="1"/>
  <c r="V125" i="1"/>
  <c r="V135" i="1"/>
  <c r="V158" i="1"/>
  <c r="V165" i="1"/>
  <c r="V136" i="1"/>
  <c r="S150" i="1"/>
  <c r="G83" i="10" s="1"/>
  <c r="V141" i="1"/>
  <c r="I75" i="9" s="1"/>
  <c r="V168" i="1"/>
  <c r="V177" i="1"/>
  <c r="V127" i="1"/>
  <c r="V164" i="1"/>
  <c r="I95" i="9" s="1"/>
  <c r="V137" i="1"/>
  <c r="V161" i="1"/>
  <c r="S132" i="1"/>
  <c r="G67" i="10" s="1"/>
  <c r="W123" i="1"/>
  <c r="J55" i="9" s="1"/>
  <c r="J55" i="10" s="1"/>
  <c r="E157" i="8"/>
  <c r="H157" i="8" s="1"/>
  <c r="J157" i="8" s="1"/>
  <c r="K157" i="8" s="1"/>
  <c r="L157" i="8" s="1"/>
  <c r="S123" i="1"/>
  <c r="G55" i="10" s="1"/>
  <c r="S182" i="1"/>
  <c r="G119" i="10" s="1"/>
  <c r="V182" i="1"/>
  <c r="AC265" i="8"/>
  <c r="H55" i="8"/>
  <c r="J55" i="8" s="1"/>
  <c r="K55" i="8" s="1"/>
  <c r="L55" i="8" s="1"/>
  <c r="G68" i="10"/>
  <c r="K38" i="8"/>
  <c r="K39" i="8" s="1"/>
  <c r="K40" i="8" s="1"/>
  <c r="K14" i="8"/>
  <c r="K15" i="8" s="1"/>
  <c r="K16" i="8" s="1"/>
  <c r="L74" i="8"/>
  <c r="K76" i="8"/>
  <c r="N128" i="1"/>
  <c r="G121" i="10"/>
  <c r="G120" i="10"/>
  <c r="G122" i="10"/>
  <c r="G123" i="10"/>
  <c r="G118" i="10"/>
  <c r="G90" i="10"/>
  <c r="G76" i="10"/>
  <c r="G70" i="10"/>
  <c r="H43" i="8"/>
  <c r="J43" i="8" s="1"/>
  <c r="K43" i="8" s="1"/>
  <c r="V184" i="1"/>
  <c r="R202" i="1"/>
  <c r="G137" i="9" s="1"/>
  <c r="R200" i="1"/>
  <c r="G135" i="9" s="1"/>
  <c r="R199" i="1"/>
  <c r="G134" i="9" s="1"/>
  <c r="R198" i="1"/>
  <c r="G133" i="9" s="1"/>
  <c r="V185" i="1"/>
  <c r="V183" i="1"/>
  <c r="R201" i="1"/>
  <c r="G136" i="9" s="1"/>
  <c r="R197" i="1"/>
  <c r="G132" i="9" s="1"/>
  <c r="V186" i="1"/>
  <c r="AR286" i="8"/>
  <c r="AT286" i="8" s="1"/>
  <c r="AU286" i="8" s="1"/>
  <c r="AV274" i="8"/>
  <c r="AF286" i="8"/>
  <c r="AH286" i="8" s="1"/>
  <c r="AI286" i="8" s="1"/>
  <c r="AJ274" i="8"/>
  <c r="T276" i="8"/>
  <c r="V276" i="8" s="1"/>
  <c r="W276" i="8" s="1"/>
  <c r="X276" i="8" s="1"/>
  <c r="T274" i="8"/>
  <c r="V274" i="8" s="1"/>
  <c r="W274" i="8" s="1"/>
  <c r="T286" i="8"/>
  <c r="V286" i="8" s="1"/>
  <c r="W286" i="8" s="1"/>
  <c r="H168" i="8"/>
  <c r="J168" i="8" s="1"/>
  <c r="K168" i="8" s="1"/>
  <c r="BD300" i="8"/>
  <c r="BF300" i="8" s="1"/>
  <c r="BG300" i="8" s="1"/>
  <c r="BH300" i="8" s="1"/>
  <c r="BD252" i="8"/>
  <c r="BF252" i="8" s="1"/>
  <c r="BG252" i="8" s="1"/>
  <c r="BH252" i="8" s="1"/>
  <c r="BD264" i="8"/>
  <c r="BF264" i="8" s="1"/>
  <c r="BG264" i="8" s="1"/>
  <c r="BH264" i="8" s="1"/>
  <c r="AR288" i="8"/>
  <c r="AT288" i="8" s="1"/>
  <c r="AU288" i="8" s="1"/>
  <c r="AV288" i="8" s="1"/>
  <c r="AR252" i="8"/>
  <c r="AT252" i="8" s="1"/>
  <c r="AU252" i="8" s="1"/>
  <c r="AV252" i="8" s="1"/>
  <c r="AR300" i="8"/>
  <c r="AT300" i="8" s="1"/>
  <c r="AU300" i="8" s="1"/>
  <c r="AV300" i="8" s="1"/>
  <c r="AF288" i="8"/>
  <c r="AH288" i="8" s="1"/>
  <c r="AI288" i="8" s="1"/>
  <c r="AJ288" i="8" s="1"/>
  <c r="T288" i="8"/>
  <c r="V288" i="8" s="1"/>
  <c r="W288" i="8" s="1"/>
  <c r="X288" i="8" s="1"/>
  <c r="AF300" i="8"/>
  <c r="AH300" i="8" s="1"/>
  <c r="AI300" i="8" s="1"/>
  <c r="AJ300" i="8" s="1"/>
  <c r="AF252" i="8"/>
  <c r="AH252" i="8" s="1"/>
  <c r="AI252" i="8" s="1"/>
  <c r="AJ252" i="8" s="1"/>
  <c r="Z184" i="1" l="1"/>
  <c r="W184" i="1" s="1"/>
  <c r="J121" i="9" s="1"/>
  <c r="AA184" i="1"/>
  <c r="E431" i="8" s="1"/>
  <c r="H431" i="8" s="1"/>
  <c r="J431" i="8" s="1"/>
  <c r="K431" i="8" s="1"/>
  <c r="L431" i="8" s="1"/>
  <c r="Z186" i="1"/>
  <c r="AA186" i="1"/>
  <c r="AA182" i="1"/>
  <c r="Z182" i="1"/>
  <c r="Z183" i="1"/>
  <c r="W183" i="1" s="1"/>
  <c r="J120" i="9" s="1"/>
  <c r="AA183" i="1"/>
  <c r="E419" i="8" s="1"/>
  <c r="H419" i="8" s="1"/>
  <c r="J419" i="8" s="1"/>
  <c r="K419" i="8" s="1"/>
  <c r="L419" i="8" s="1"/>
  <c r="Z185" i="1"/>
  <c r="AA185" i="1"/>
  <c r="E443" i="8" s="1"/>
  <c r="H443" i="8" s="1"/>
  <c r="J443" i="8" s="1"/>
  <c r="K443" i="8" s="1"/>
  <c r="L443" i="8" s="1"/>
  <c r="I106" i="9"/>
  <c r="AA172" i="1"/>
  <c r="Z172" i="1"/>
  <c r="Z173" i="1"/>
  <c r="AA173" i="1"/>
  <c r="I111" i="9"/>
  <c r="I111" i="10" s="1"/>
  <c r="Z177" i="1"/>
  <c r="E378" i="8" s="1"/>
  <c r="H378" i="8" s="1"/>
  <c r="J378" i="8" s="1"/>
  <c r="K378" i="8" s="1"/>
  <c r="L378" i="8" s="1"/>
  <c r="AA177" i="1"/>
  <c r="E376" i="8" s="1"/>
  <c r="H376" i="8" s="1"/>
  <c r="J376" i="8" s="1"/>
  <c r="K376" i="8" s="1"/>
  <c r="L376" i="8" s="1"/>
  <c r="I110" i="9"/>
  <c r="Z176" i="1"/>
  <c r="AA176" i="1"/>
  <c r="E364" i="8" s="1"/>
  <c r="H364" i="8" s="1"/>
  <c r="J364" i="8" s="1"/>
  <c r="K364" i="8" s="1"/>
  <c r="L364" i="8" s="1"/>
  <c r="I109" i="9"/>
  <c r="Z175" i="1"/>
  <c r="E354" i="8" s="1"/>
  <c r="H354" i="8" s="1"/>
  <c r="J354" i="8" s="1"/>
  <c r="K354" i="8" s="1"/>
  <c r="L354" i="8" s="1"/>
  <c r="AA175" i="1"/>
  <c r="E352" i="8" s="1"/>
  <c r="H352" i="8" s="1"/>
  <c r="J352" i="8" s="1"/>
  <c r="K352" i="8" s="1"/>
  <c r="L352" i="8" s="1"/>
  <c r="I108" i="9"/>
  <c r="I108" i="10" s="1"/>
  <c r="Z174" i="1"/>
  <c r="E342" i="8" s="1"/>
  <c r="H342" i="8" s="1"/>
  <c r="J342" i="8" s="1"/>
  <c r="K342" i="8" s="1"/>
  <c r="L342" i="8" s="1"/>
  <c r="AA174" i="1"/>
  <c r="I100" i="9"/>
  <c r="Z169" i="1"/>
  <c r="I97" i="9"/>
  <c r="Z166" i="1"/>
  <c r="AA166" i="1"/>
  <c r="BA263" i="8" s="1"/>
  <c r="BD263" i="8" s="1"/>
  <c r="BF263" i="8" s="1"/>
  <c r="BG263" i="8" s="1"/>
  <c r="BH263" i="8" s="1"/>
  <c r="I98" i="9"/>
  <c r="I98" i="10" s="1"/>
  <c r="Z167" i="1"/>
  <c r="AA167" i="1"/>
  <c r="BA275" i="8" s="1"/>
  <c r="BD275" i="8" s="1"/>
  <c r="BF275" i="8" s="1"/>
  <c r="BG275" i="8" s="1"/>
  <c r="BH275" i="8" s="1"/>
  <c r="Z165" i="1"/>
  <c r="AA165" i="1"/>
  <c r="I99" i="9"/>
  <c r="Z168" i="1"/>
  <c r="AA168" i="1"/>
  <c r="BA287" i="8" s="1"/>
  <c r="BD287" i="8" s="1"/>
  <c r="BF287" i="8" s="1"/>
  <c r="BG287" i="8" s="1"/>
  <c r="BH287" i="8" s="1"/>
  <c r="Z157" i="1"/>
  <c r="AO253" i="8" s="1"/>
  <c r="AR253" i="8" s="1"/>
  <c r="AT253" i="8" s="1"/>
  <c r="AU253" i="8" s="1"/>
  <c r="AV253" i="8" s="1"/>
  <c r="AA157" i="1"/>
  <c r="I91" i="9"/>
  <c r="Z159" i="1"/>
  <c r="AA159" i="1"/>
  <c r="AO275" i="8" s="1"/>
  <c r="AR275" i="8" s="1"/>
  <c r="AT275" i="8" s="1"/>
  <c r="AU275" i="8" s="1"/>
  <c r="AV275" i="8" s="1"/>
  <c r="I93" i="9"/>
  <c r="I93" i="10" s="1"/>
  <c r="Z161" i="1"/>
  <c r="AA161" i="1"/>
  <c r="AO299" i="8" s="1"/>
  <c r="AR299" i="8" s="1"/>
  <c r="AT299" i="8" s="1"/>
  <c r="AU299" i="8" s="1"/>
  <c r="AV299" i="8" s="1"/>
  <c r="I92" i="9"/>
  <c r="I92" i="10" s="1"/>
  <c r="Z160" i="1"/>
  <c r="AA160" i="1"/>
  <c r="I90" i="9"/>
  <c r="Z158" i="1"/>
  <c r="W158" i="1" s="1"/>
  <c r="AA158" i="1"/>
  <c r="I86" i="9"/>
  <c r="I86" i="10" s="1"/>
  <c r="Z153" i="1"/>
  <c r="AA153" i="1"/>
  <c r="Z151" i="1"/>
  <c r="AA151" i="1"/>
  <c r="AC275" i="8" s="1"/>
  <c r="AF275" i="8" s="1"/>
  <c r="AH275" i="8" s="1"/>
  <c r="AI275" i="8" s="1"/>
  <c r="AJ275" i="8" s="1"/>
  <c r="I85" i="9"/>
  <c r="Z152" i="1"/>
  <c r="AA152" i="1"/>
  <c r="AC287" i="8" s="1"/>
  <c r="AF287" i="8" s="1"/>
  <c r="AH287" i="8" s="1"/>
  <c r="AI287" i="8" s="1"/>
  <c r="AJ287" i="8" s="1"/>
  <c r="I82" i="9"/>
  <c r="I82" i="10" s="1"/>
  <c r="Z149" i="1"/>
  <c r="AA149" i="1"/>
  <c r="AA136" i="1"/>
  <c r="Z136" i="1"/>
  <c r="I69" i="9"/>
  <c r="Z134" i="1"/>
  <c r="AA134" i="1"/>
  <c r="Z133" i="1"/>
  <c r="AA133" i="1"/>
  <c r="E251" i="8" s="1"/>
  <c r="H251" i="8" s="1"/>
  <c r="J251" i="8" s="1"/>
  <c r="K251" i="8" s="1"/>
  <c r="L251" i="8" s="1"/>
  <c r="AA135" i="1"/>
  <c r="Z135" i="1"/>
  <c r="I72" i="9"/>
  <c r="Z137" i="1"/>
  <c r="AA137" i="1"/>
  <c r="I59" i="9"/>
  <c r="Z127" i="1"/>
  <c r="AA127" i="1"/>
  <c r="AA124" i="1"/>
  <c r="Z124" i="1"/>
  <c r="I58" i="9"/>
  <c r="Z126" i="1"/>
  <c r="AA126" i="1"/>
  <c r="I57" i="9"/>
  <c r="Z125" i="1"/>
  <c r="AA125" i="1"/>
  <c r="AA128" i="1"/>
  <c r="E217" i="8" s="1"/>
  <c r="H217" i="8" s="1"/>
  <c r="J217" i="8" s="1"/>
  <c r="K217" i="8" s="1"/>
  <c r="L217" i="8" s="1"/>
  <c r="Z128" i="1"/>
  <c r="I68" i="9"/>
  <c r="I68" i="10" s="1"/>
  <c r="I107" i="9"/>
  <c r="I107" i="10" s="1"/>
  <c r="E328" i="8"/>
  <c r="H328" i="8" s="1"/>
  <c r="J328" i="8" s="1"/>
  <c r="K328" i="8" s="1"/>
  <c r="L328" i="8" s="1"/>
  <c r="I96" i="9"/>
  <c r="I96" i="10" s="1"/>
  <c r="BA251" i="8"/>
  <c r="BD251" i="8" s="1"/>
  <c r="BF251" i="8" s="1"/>
  <c r="BG251" i="8" s="1"/>
  <c r="BH251" i="8" s="1"/>
  <c r="I89" i="9"/>
  <c r="I89" i="10" s="1"/>
  <c r="I60" i="9"/>
  <c r="I60" i="10" s="1"/>
  <c r="I56" i="9"/>
  <c r="I56" i="10" s="1"/>
  <c r="E169" i="8"/>
  <c r="H169" i="8" s="1"/>
  <c r="J169" i="8" s="1"/>
  <c r="K169" i="8" s="1"/>
  <c r="L169" i="8" s="1"/>
  <c r="I121" i="9"/>
  <c r="I121" i="10" s="1"/>
  <c r="I119" i="9"/>
  <c r="I119" i="10" s="1"/>
  <c r="I120" i="9"/>
  <c r="I120" i="10" s="1"/>
  <c r="I123" i="9"/>
  <c r="I123" i="10" s="1"/>
  <c r="I122" i="9"/>
  <c r="I122" i="10" s="1"/>
  <c r="I118" i="9"/>
  <c r="I118" i="10" s="1"/>
  <c r="I84" i="9"/>
  <c r="I84" i="10" s="1"/>
  <c r="I74" i="9"/>
  <c r="I74" i="10" s="1"/>
  <c r="I71" i="9"/>
  <c r="I71" i="10" s="1"/>
  <c r="I70" i="9"/>
  <c r="I70" i="10" s="1"/>
  <c r="K32" i="9"/>
  <c r="K32" i="10" s="1"/>
  <c r="Q239" i="8"/>
  <c r="T239" i="8" s="1"/>
  <c r="V239" i="8" s="1"/>
  <c r="W239" i="8" s="1"/>
  <c r="X239" i="8" s="1"/>
  <c r="Q241" i="8"/>
  <c r="T241" i="8" s="1"/>
  <c r="V241" i="8" s="1"/>
  <c r="W241" i="8" s="1"/>
  <c r="X241" i="8" s="1"/>
  <c r="I109" i="10"/>
  <c r="W176" i="1"/>
  <c r="I110" i="10"/>
  <c r="E316" i="8"/>
  <c r="H316" i="8" s="1"/>
  <c r="J316" i="8" s="1"/>
  <c r="K316" i="8" s="1"/>
  <c r="L316" i="8" s="1"/>
  <c r="I106" i="10"/>
  <c r="BA265" i="8"/>
  <c r="BD265" i="8" s="1"/>
  <c r="BF265" i="8" s="1"/>
  <c r="BG265" i="8" s="1"/>
  <c r="BH265" i="8" s="1"/>
  <c r="I97" i="10"/>
  <c r="I99" i="10"/>
  <c r="BA253" i="8"/>
  <c r="BD253" i="8" s="1"/>
  <c r="BF253" i="8" s="1"/>
  <c r="BG253" i="8" s="1"/>
  <c r="BH253" i="8" s="1"/>
  <c r="BA299" i="8"/>
  <c r="BD299" i="8" s="1"/>
  <c r="BF299" i="8" s="1"/>
  <c r="BG299" i="8" s="1"/>
  <c r="BH299" i="8" s="1"/>
  <c r="I100" i="10"/>
  <c r="BA239" i="8"/>
  <c r="BD239" i="8" s="1"/>
  <c r="BF239" i="8" s="1"/>
  <c r="BG239" i="8" s="1"/>
  <c r="BH239" i="8" s="1"/>
  <c r="I95" i="10"/>
  <c r="AO287" i="8"/>
  <c r="AR287" i="8" s="1"/>
  <c r="AT287" i="8" s="1"/>
  <c r="AU287" i="8" s="1"/>
  <c r="AV287" i="8" s="1"/>
  <c r="AO251" i="8"/>
  <c r="AR251" i="8" s="1"/>
  <c r="AT251" i="8" s="1"/>
  <c r="AU251" i="8" s="1"/>
  <c r="AV251" i="8" s="1"/>
  <c r="I90" i="10"/>
  <c r="AO277" i="8"/>
  <c r="AR277" i="8" s="1"/>
  <c r="AT277" i="8" s="1"/>
  <c r="AU277" i="8" s="1"/>
  <c r="AV277" i="8" s="1"/>
  <c r="I91" i="10"/>
  <c r="AO239" i="8"/>
  <c r="AR239" i="8" s="1"/>
  <c r="AT239" i="8" s="1"/>
  <c r="AU239" i="8" s="1"/>
  <c r="AV239" i="8" s="1"/>
  <c r="I88" i="10"/>
  <c r="I85" i="10"/>
  <c r="AC299" i="8"/>
  <c r="AF299" i="8" s="1"/>
  <c r="AH299" i="8" s="1"/>
  <c r="AI299" i="8" s="1"/>
  <c r="AJ299" i="8" s="1"/>
  <c r="AC253" i="8"/>
  <c r="AF253" i="8" s="1"/>
  <c r="AH253" i="8" s="1"/>
  <c r="AI253" i="8" s="1"/>
  <c r="AJ253" i="8" s="1"/>
  <c r="AC277" i="8"/>
  <c r="AF277" i="8" s="1"/>
  <c r="AH277" i="8" s="1"/>
  <c r="AI277" i="8" s="1"/>
  <c r="AJ277" i="8" s="1"/>
  <c r="AC241" i="8"/>
  <c r="AF241" i="8" s="1"/>
  <c r="AH241" i="8" s="1"/>
  <c r="AI241" i="8" s="1"/>
  <c r="AJ241" i="8" s="1"/>
  <c r="I81" i="10"/>
  <c r="Q289" i="8"/>
  <c r="T289" i="8" s="1"/>
  <c r="V289" i="8" s="1"/>
  <c r="W289" i="8" s="1"/>
  <c r="X289" i="8" s="1"/>
  <c r="I78" i="10"/>
  <c r="Q275" i="8"/>
  <c r="T275" i="8" s="1"/>
  <c r="V275" i="8" s="1"/>
  <c r="W275" i="8" s="1"/>
  <c r="X275" i="8" s="1"/>
  <c r="I77" i="10"/>
  <c r="Q299" i="8"/>
  <c r="T299" i="8" s="1"/>
  <c r="V299" i="8" s="1"/>
  <c r="W299" i="8" s="1"/>
  <c r="X299" i="8" s="1"/>
  <c r="I79" i="10"/>
  <c r="Q251" i="8"/>
  <c r="T251" i="8" s="1"/>
  <c r="V251" i="8" s="1"/>
  <c r="W251" i="8" s="1"/>
  <c r="X251" i="8" s="1"/>
  <c r="I75" i="10"/>
  <c r="Q265" i="8"/>
  <c r="T265" i="8" s="1"/>
  <c r="V265" i="8" s="1"/>
  <c r="W265" i="8" s="1"/>
  <c r="I76" i="10"/>
  <c r="E301" i="8"/>
  <c r="H301" i="8" s="1"/>
  <c r="J301" i="8" s="1"/>
  <c r="K301" i="8" s="1"/>
  <c r="L301" i="8" s="1"/>
  <c r="I72" i="10"/>
  <c r="E263" i="8"/>
  <c r="H263" i="8" s="1"/>
  <c r="J263" i="8" s="1"/>
  <c r="K263" i="8" s="1"/>
  <c r="L263" i="8" s="1"/>
  <c r="I69" i="10"/>
  <c r="E275" i="8"/>
  <c r="H275" i="8" s="1"/>
  <c r="J275" i="8" s="1"/>
  <c r="K275" i="8" s="1"/>
  <c r="L275" i="8" s="1"/>
  <c r="E277" i="8"/>
  <c r="H277" i="8" s="1"/>
  <c r="J277" i="8" s="1"/>
  <c r="K277" i="8" s="1"/>
  <c r="E289" i="8"/>
  <c r="H289" i="8" s="1"/>
  <c r="J289" i="8" s="1"/>
  <c r="K289" i="8" s="1"/>
  <c r="L289" i="8" s="1"/>
  <c r="W125" i="1"/>
  <c r="J57" i="9" s="1"/>
  <c r="J57" i="10" s="1"/>
  <c r="I57" i="10"/>
  <c r="E205" i="8"/>
  <c r="H205" i="8" s="1"/>
  <c r="J205" i="8" s="1"/>
  <c r="K205" i="8" s="1"/>
  <c r="L205" i="8" s="1"/>
  <c r="I59" i="10"/>
  <c r="W124" i="1"/>
  <c r="J56" i="9" s="1"/>
  <c r="J56" i="10" s="1"/>
  <c r="E195" i="8"/>
  <c r="H195" i="8" s="1"/>
  <c r="J195" i="8" s="1"/>
  <c r="K195" i="8" s="1"/>
  <c r="L195" i="8" s="1"/>
  <c r="I58" i="10"/>
  <c r="E253" i="8"/>
  <c r="H253" i="8" s="1"/>
  <c r="J253" i="8" s="1"/>
  <c r="K253" i="8" s="1"/>
  <c r="L253" i="8" s="1"/>
  <c r="E265" i="8"/>
  <c r="H265" i="8" s="1"/>
  <c r="J265" i="8" s="1"/>
  <c r="K265" i="8" s="1"/>
  <c r="L265" i="8" s="1"/>
  <c r="E330" i="8"/>
  <c r="H330" i="8" s="1"/>
  <c r="J330" i="8" s="1"/>
  <c r="K330" i="8" s="1"/>
  <c r="L330" i="8" s="1"/>
  <c r="E193" i="8"/>
  <c r="H193" i="8" s="1"/>
  <c r="J193" i="8" s="1"/>
  <c r="K193" i="8" s="1"/>
  <c r="L193" i="8" s="1"/>
  <c r="E219" i="8"/>
  <c r="H219" i="8" s="1"/>
  <c r="J219" i="8" s="1"/>
  <c r="K219" i="8" s="1"/>
  <c r="L219" i="8" s="1"/>
  <c r="AO289" i="8"/>
  <c r="AR289" i="8" s="1"/>
  <c r="AT289" i="8" s="1"/>
  <c r="AU289" i="8" s="1"/>
  <c r="AV289" i="8" s="1"/>
  <c r="AO241" i="8"/>
  <c r="AR241" i="8" s="1"/>
  <c r="AT241" i="8" s="1"/>
  <c r="AU241" i="8" s="1"/>
  <c r="AV241" i="8" s="1"/>
  <c r="Q277" i="8"/>
  <c r="T277" i="8" s="1"/>
  <c r="V277" i="8" s="1"/>
  <c r="W277" i="8" s="1"/>
  <c r="X277" i="8" s="1"/>
  <c r="E287" i="8"/>
  <c r="H287" i="8" s="1"/>
  <c r="J287" i="8" s="1"/>
  <c r="K287" i="8" s="1"/>
  <c r="L287" i="8" s="1"/>
  <c r="AC239" i="8"/>
  <c r="AF239" i="8" s="1"/>
  <c r="AH239" i="8" s="1"/>
  <c r="AI239" i="8" s="1"/>
  <c r="AJ239" i="8" s="1"/>
  <c r="AO301" i="8"/>
  <c r="AR301" i="8" s="1"/>
  <c r="AT301" i="8" s="1"/>
  <c r="AU301" i="8" s="1"/>
  <c r="AV301" i="8" s="1"/>
  <c r="E318" i="8"/>
  <c r="H318" i="8" s="1"/>
  <c r="J318" i="8" s="1"/>
  <c r="K318" i="8" s="1"/>
  <c r="L318" i="8" s="1"/>
  <c r="AC251" i="8"/>
  <c r="AF251" i="8" s="1"/>
  <c r="AH251" i="8" s="1"/>
  <c r="AI251" i="8" s="1"/>
  <c r="AJ251" i="8" s="1"/>
  <c r="E340" i="8"/>
  <c r="H340" i="8" s="1"/>
  <c r="J340" i="8" s="1"/>
  <c r="K340" i="8" s="1"/>
  <c r="L340" i="8" s="1"/>
  <c r="Q263" i="8"/>
  <c r="T263" i="8" s="1"/>
  <c r="V263" i="8" s="1"/>
  <c r="W263" i="8" s="1"/>
  <c r="X263" i="8" s="1"/>
  <c r="Q301" i="8"/>
  <c r="T301" i="8" s="1"/>
  <c r="V301" i="8" s="1"/>
  <c r="W301" i="8" s="1"/>
  <c r="X301" i="8" s="1"/>
  <c r="AO263" i="8"/>
  <c r="AR263" i="8" s="1"/>
  <c r="AT263" i="8" s="1"/>
  <c r="AU263" i="8" s="1"/>
  <c r="AV263" i="8" s="1"/>
  <c r="BA301" i="8"/>
  <c r="BD301" i="8" s="1"/>
  <c r="BF301" i="8" s="1"/>
  <c r="BG301" i="8" s="1"/>
  <c r="BH301" i="8" s="1"/>
  <c r="BA277" i="8"/>
  <c r="BD277" i="8" s="1"/>
  <c r="BF277" i="8" s="1"/>
  <c r="BG277" i="8" s="1"/>
  <c r="BH277" i="8" s="1"/>
  <c r="AC301" i="8"/>
  <c r="AF301" i="8" s="1"/>
  <c r="AH301" i="8" s="1"/>
  <c r="AI301" i="8" s="1"/>
  <c r="AJ301" i="8" s="1"/>
  <c r="E181" i="8"/>
  <c r="H181" i="8" s="1"/>
  <c r="J181" i="8" s="1"/>
  <c r="K181" i="8" s="1"/>
  <c r="L181" i="8" s="1"/>
  <c r="E207" i="8"/>
  <c r="H207" i="8" s="1"/>
  <c r="J207" i="8" s="1"/>
  <c r="K207" i="8" s="1"/>
  <c r="E299" i="8"/>
  <c r="H299" i="8" s="1"/>
  <c r="J299" i="8" s="1"/>
  <c r="K299" i="8" s="1"/>
  <c r="L299" i="8" s="1"/>
  <c r="Q287" i="8"/>
  <c r="T287" i="8" s="1"/>
  <c r="V287" i="8" s="1"/>
  <c r="W287" i="8" s="1"/>
  <c r="X287" i="8" s="1"/>
  <c r="BA289" i="8"/>
  <c r="BD289" i="8" s="1"/>
  <c r="BF289" i="8" s="1"/>
  <c r="BG289" i="8" s="1"/>
  <c r="BH289" i="8" s="1"/>
  <c r="AC289" i="8"/>
  <c r="AF289" i="8" s="1"/>
  <c r="AH289" i="8" s="1"/>
  <c r="AI289" i="8" s="1"/>
  <c r="AJ289" i="8" s="1"/>
  <c r="BA241" i="8"/>
  <c r="BD241" i="8" s="1"/>
  <c r="BF241" i="8" s="1"/>
  <c r="BG241" i="8" s="1"/>
  <c r="BH241" i="8" s="1"/>
  <c r="Q253" i="8"/>
  <c r="T253" i="8" s="1"/>
  <c r="V253" i="8" s="1"/>
  <c r="W253" i="8" s="1"/>
  <c r="X253" i="8" s="1"/>
  <c r="W132" i="1"/>
  <c r="J67" i="9" s="1"/>
  <c r="W150" i="1"/>
  <c r="J83" i="9" s="1"/>
  <c r="E395" i="8"/>
  <c r="H395" i="8" s="1"/>
  <c r="J395" i="8" s="1"/>
  <c r="K395" i="8" s="1"/>
  <c r="L395" i="8" s="1"/>
  <c r="W181" i="1"/>
  <c r="J118" i="9" s="1"/>
  <c r="E455" i="8"/>
  <c r="H455" i="8" s="1"/>
  <c r="J455" i="8" s="1"/>
  <c r="K455" i="8" s="1"/>
  <c r="L455" i="8" s="1"/>
  <c r="W186" i="1"/>
  <c r="J123" i="9" s="1"/>
  <c r="W185" i="1"/>
  <c r="J122" i="9" s="1"/>
  <c r="E407" i="8"/>
  <c r="H407" i="8" s="1"/>
  <c r="J407" i="8" s="1"/>
  <c r="K407" i="8" s="1"/>
  <c r="L407" i="8" s="1"/>
  <c r="W182" i="1"/>
  <c r="J119" i="9" s="1"/>
  <c r="E159" i="8"/>
  <c r="H159" i="8" s="1"/>
  <c r="J159" i="8" s="1"/>
  <c r="K159" i="8" s="1"/>
  <c r="L159" i="8" s="1"/>
  <c r="L160" i="8" s="1"/>
  <c r="AF265" i="8"/>
  <c r="AH265" i="8" s="1"/>
  <c r="AI265" i="8" s="1"/>
  <c r="N125" i="1"/>
  <c r="N123" i="1"/>
  <c r="H45" i="8"/>
  <c r="J45" i="8" s="1"/>
  <c r="K45" i="8" s="1"/>
  <c r="L45" i="8" s="1"/>
  <c r="L43" i="8"/>
  <c r="R208" i="1"/>
  <c r="G142" i="9" s="1"/>
  <c r="S191" i="1"/>
  <c r="V191" i="1"/>
  <c r="R205" i="1"/>
  <c r="G139" i="9" s="1"/>
  <c r="S190" i="1"/>
  <c r="V190" i="1"/>
  <c r="R207" i="1"/>
  <c r="G141" i="9" s="1"/>
  <c r="S194" i="1"/>
  <c r="V194" i="1"/>
  <c r="AA194" i="1" s="1"/>
  <c r="R209" i="1"/>
  <c r="G143" i="9" s="1"/>
  <c r="S189" i="1"/>
  <c r="V189" i="1"/>
  <c r="K242" i="8"/>
  <c r="K243" i="8" s="1"/>
  <c r="L242" i="8"/>
  <c r="S193" i="1"/>
  <c r="V193" i="1"/>
  <c r="R206" i="1"/>
  <c r="G140" i="9" s="1"/>
  <c r="S192" i="1"/>
  <c r="V192" i="1"/>
  <c r="R210" i="1"/>
  <c r="G144" i="9" s="1"/>
  <c r="AV286" i="8"/>
  <c r="AJ286" i="8"/>
  <c r="X274" i="8"/>
  <c r="X286" i="8"/>
  <c r="L168" i="8"/>
  <c r="A392" i="7"/>
  <c r="B61" i="6"/>
  <c r="Z194" i="1" l="1"/>
  <c r="Q457" i="8" s="1"/>
  <c r="T457" i="8" s="1"/>
  <c r="V457" i="8" s="1"/>
  <c r="W457" i="8" s="1"/>
  <c r="X457" i="8" s="1"/>
  <c r="Z192" i="1"/>
  <c r="Q433" i="8" s="1"/>
  <c r="T433" i="8" s="1"/>
  <c r="V433" i="8" s="1"/>
  <c r="W433" i="8" s="1"/>
  <c r="X433" i="8" s="1"/>
  <c r="AA192" i="1"/>
  <c r="Z193" i="1"/>
  <c r="Q445" i="8" s="1"/>
  <c r="T445" i="8" s="1"/>
  <c r="V445" i="8" s="1"/>
  <c r="W445" i="8" s="1"/>
  <c r="X445" i="8" s="1"/>
  <c r="AA193" i="1"/>
  <c r="Z190" i="1"/>
  <c r="Q409" i="8" s="1"/>
  <c r="T409" i="8" s="1"/>
  <c r="V409" i="8" s="1"/>
  <c r="W409" i="8" s="1"/>
  <c r="X409" i="8" s="1"/>
  <c r="AA190" i="1"/>
  <c r="Q407" i="8" s="1"/>
  <c r="T407" i="8" s="1"/>
  <c r="V407" i="8" s="1"/>
  <c r="W407" i="8" s="1"/>
  <c r="Z191" i="1"/>
  <c r="Q421" i="8" s="1"/>
  <c r="T421" i="8" s="1"/>
  <c r="V421" i="8" s="1"/>
  <c r="W421" i="8" s="1"/>
  <c r="X421" i="8" s="1"/>
  <c r="AA191" i="1"/>
  <c r="Q455" i="8"/>
  <c r="T455" i="8" s="1"/>
  <c r="V455" i="8" s="1"/>
  <c r="W455" i="8" s="1"/>
  <c r="W140" i="1"/>
  <c r="J74" i="9" s="1"/>
  <c r="J74" i="10" s="1"/>
  <c r="I129" i="9"/>
  <c r="I129" i="10" s="1"/>
  <c r="I128" i="9"/>
  <c r="I128" i="10" s="1"/>
  <c r="I127" i="9"/>
  <c r="I127" i="10" s="1"/>
  <c r="I126" i="9"/>
  <c r="I126" i="10" s="1"/>
  <c r="I130" i="9"/>
  <c r="I130" i="10" s="1"/>
  <c r="L355" i="8"/>
  <c r="AJ278" i="8"/>
  <c r="I125" i="9"/>
  <c r="I125" i="10" s="1"/>
  <c r="J110" i="9"/>
  <c r="J110" i="10" s="1"/>
  <c r="L302" i="8"/>
  <c r="J90" i="9"/>
  <c r="J90" i="10" s="1"/>
  <c r="K29" i="9"/>
  <c r="K29" i="10" s="1"/>
  <c r="K27" i="9"/>
  <c r="K27" i="10" s="1"/>
  <c r="W166" i="1"/>
  <c r="X242" i="8"/>
  <c r="W242" i="8"/>
  <c r="W243" i="8" s="1"/>
  <c r="W159" i="1"/>
  <c r="W165" i="1"/>
  <c r="W175" i="1"/>
  <c r="BH278" i="8"/>
  <c r="W149" i="1"/>
  <c r="BH290" i="8"/>
  <c r="X302" i="8"/>
  <c r="AI278" i="8"/>
  <c r="AI279" i="8" s="1"/>
  <c r="W142" i="1"/>
  <c r="W174" i="1"/>
  <c r="AO265" i="8"/>
  <c r="AR265" i="8" s="1"/>
  <c r="AT265" i="8" s="1"/>
  <c r="AU265" i="8" s="1"/>
  <c r="AV265" i="8" s="1"/>
  <c r="AV266" i="8" s="1"/>
  <c r="BH242" i="8"/>
  <c r="L319" i="8"/>
  <c r="AV242" i="8"/>
  <c r="W148" i="1"/>
  <c r="AJ242" i="8"/>
  <c r="W144" i="1"/>
  <c r="W151" i="1"/>
  <c r="K355" i="8"/>
  <c r="K356" i="8" s="1"/>
  <c r="X254" i="8"/>
  <c r="L266" i="8"/>
  <c r="L254" i="8"/>
  <c r="W137" i="1"/>
  <c r="J67" i="10"/>
  <c r="L220" i="8"/>
  <c r="W126" i="1"/>
  <c r="J58" i="9" s="1"/>
  <c r="K208" i="8"/>
  <c r="K209" i="8" s="1"/>
  <c r="W136" i="1"/>
  <c r="J71" i="9" s="1"/>
  <c r="W160" i="1"/>
  <c r="L290" i="8"/>
  <c r="W133" i="1"/>
  <c r="J68" i="9" s="1"/>
  <c r="K254" i="8"/>
  <c r="K255" i="8" s="1"/>
  <c r="E171" i="8"/>
  <c r="H171" i="8" s="1"/>
  <c r="J171" i="8" s="1"/>
  <c r="K171" i="8" s="1"/>
  <c r="L171" i="8" s="1"/>
  <c r="L172" i="8" s="1"/>
  <c r="E183" i="8"/>
  <c r="H183" i="8" s="1"/>
  <c r="J183" i="8" s="1"/>
  <c r="K183" i="8" s="1"/>
  <c r="L183" i="8" s="1"/>
  <c r="L184" i="8" s="1"/>
  <c r="W134" i="1"/>
  <c r="J69" i="9" s="1"/>
  <c r="W156" i="1"/>
  <c r="K266" i="8"/>
  <c r="K267" i="8" s="1"/>
  <c r="L196" i="8"/>
  <c r="K196" i="8"/>
  <c r="K197" i="8" s="1"/>
  <c r="AV278" i="8"/>
  <c r="W173" i="1"/>
  <c r="AV290" i="8"/>
  <c r="AU290" i="8"/>
  <c r="AU291" i="8" s="1"/>
  <c r="AU242" i="8"/>
  <c r="AU243" i="8" s="1"/>
  <c r="L207" i="8"/>
  <c r="L208" i="8" s="1"/>
  <c r="K343" i="8"/>
  <c r="K344" i="8" s="1"/>
  <c r="W278" i="8"/>
  <c r="W279" i="8" s="1"/>
  <c r="X278" i="8"/>
  <c r="K319" i="8"/>
  <c r="K320" i="8" s="1"/>
  <c r="L343" i="8"/>
  <c r="W143" i="1"/>
  <c r="W128" i="1"/>
  <c r="J60" i="9" s="1"/>
  <c r="K220" i="8"/>
  <c r="K221" i="8" s="1"/>
  <c r="AU278" i="8"/>
  <c r="AU279" i="8" s="1"/>
  <c r="BG242" i="8"/>
  <c r="BG243" i="8" s="1"/>
  <c r="K290" i="8"/>
  <c r="K291" i="8" s="1"/>
  <c r="X290" i="8"/>
  <c r="W135" i="1"/>
  <c r="J70" i="9" s="1"/>
  <c r="AI242" i="8"/>
  <c r="AI243" i="8" s="1"/>
  <c r="W169" i="1"/>
  <c r="BG278" i="8"/>
  <c r="BG279" i="8" s="1"/>
  <c r="W172" i="1"/>
  <c r="W161" i="1"/>
  <c r="L379" i="8"/>
  <c r="E366" i="8"/>
  <c r="H366" i="8" s="1"/>
  <c r="J366" i="8" s="1"/>
  <c r="K366" i="8" s="1"/>
  <c r="L366" i="8" s="1"/>
  <c r="L367" i="8" s="1"/>
  <c r="W127" i="1"/>
  <c r="J59" i="9" s="1"/>
  <c r="W141" i="1"/>
  <c r="W302" i="8"/>
  <c r="W303" i="8" s="1"/>
  <c r="K379" i="8"/>
  <c r="K380" i="8" s="1"/>
  <c r="W290" i="8"/>
  <c r="W291" i="8" s="1"/>
  <c r="W145" i="1"/>
  <c r="W153" i="1"/>
  <c r="W167" i="1"/>
  <c r="W177" i="1"/>
  <c r="W157" i="1"/>
  <c r="BG290" i="8"/>
  <c r="BG291" i="8" s="1"/>
  <c r="W254" i="8"/>
  <c r="W255" i="8" s="1"/>
  <c r="W168" i="1"/>
  <c r="K302" i="8"/>
  <c r="K303" i="8" s="1"/>
  <c r="W164" i="1"/>
  <c r="AI290" i="8"/>
  <c r="AI291" i="8" s="1"/>
  <c r="AJ290" i="8"/>
  <c r="W152" i="1"/>
  <c r="AF298" i="8"/>
  <c r="AH298" i="8" s="1"/>
  <c r="AI298" i="8" s="1"/>
  <c r="AJ298" i="8" s="1"/>
  <c r="AJ302" i="8" s="1"/>
  <c r="AF250" i="8"/>
  <c r="AH250" i="8" s="1"/>
  <c r="AI250" i="8" s="1"/>
  <c r="AJ250" i="8" s="1"/>
  <c r="AJ254" i="8" s="1"/>
  <c r="Q419" i="8"/>
  <c r="T419" i="8" s="1"/>
  <c r="V419" i="8" s="1"/>
  <c r="W419" i="8" s="1"/>
  <c r="Q395" i="8"/>
  <c r="T395" i="8" s="1"/>
  <c r="V395" i="8" s="1"/>
  <c r="W395" i="8" s="1"/>
  <c r="Q397" i="8"/>
  <c r="T397" i="8" s="1"/>
  <c r="V397" i="8" s="1"/>
  <c r="W397" i="8" s="1"/>
  <c r="X397" i="8" s="1"/>
  <c r="Q431" i="8"/>
  <c r="T431" i="8" s="1"/>
  <c r="V431" i="8" s="1"/>
  <c r="W431" i="8" s="1"/>
  <c r="Q443" i="8"/>
  <c r="T443" i="8" s="1"/>
  <c r="V443" i="8" s="1"/>
  <c r="W443" i="8" s="1"/>
  <c r="E433" i="8"/>
  <c r="H433" i="8" s="1"/>
  <c r="J433" i="8" s="1"/>
  <c r="K433" i="8" s="1"/>
  <c r="J121" i="10"/>
  <c r="E397" i="8"/>
  <c r="H397" i="8" s="1"/>
  <c r="J397" i="8" s="1"/>
  <c r="K397" i="8" s="1"/>
  <c r="J118" i="10"/>
  <c r="E421" i="8"/>
  <c r="H421" i="8" s="1"/>
  <c r="J421" i="8" s="1"/>
  <c r="K421" i="8" s="1"/>
  <c r="J120" i="10"/>
  <c r="E409" i="8"/>
  <c r="H409" i="8" s="1"/>
  <c r="J409" i="8" s="1"/>
  <c r="K409" i="8" s="1"/>
  <c r="J119" i="10"/>
  <c r="E457" i="8"/>
  <c r="H457" i="8" s="1"/>
  <c r="J457" i="8" s="1"/>
  <c r="K457" i="8" s="1"/>
  <c r="J123" i="10"/>
  <c r="E445" i="8"/>
  <c r="H445" i="8" s="1"/>
  <c r="J445" i="8" s="1"/>
  <c r="K445" i="8" s="1"/>
  <c r="J122" i="10"/>
  <c r="AJ265" i="8"/>
  <c r="AJ266" i="8" s="1"/>
  <c r="AI266" i="8"/>
  <c r="AI267" i="8" s="1"/>
  <c r="X265" i="8"/>
  <c r="X266" i="8" s="1"/>
  <c r="W266" i="8"/>
  <c r="W267" i="8" s="1"/>
  <c r="L277" i="8"/>
  <c r="L278" i="8" s="1"/>
  <c r="K278" i="8"/>
  <c r="K279" i="8" s="1"/>
  <c r="J83" i="10"/>
  <c r="L47" i="8"/>
  <c r="H57" i="8"/>
  <c r="J57" i="8" s="1"/>
  <c r="K57" i="8" s="1"/>
  <c r="K47" i="8"/>
  <c r="K48" i="8" s="1"/>
  <c r="G128" i="10"/>
  <c r="G129" i="10"/>
  <c r="G130" i="10"/>
  <c r="G126" i="10"/>
  <c r="G127" i="10"/>
  <c r="G125" i="10"/>
  <c r="K160" i="8"/>
  <c r="K161" i="8" s="1"/>
  <c r="K162" i="8" s="1"/>
  <c r="K244" i="8"/>
  <c r="K245" i="8" s="1"/>
  <c r="K246" i="8" s="1"/>
  <c r="AB132" i="1" s="1"/>
  <c r="K67" i="9" s="1"/>
  <c r="S202" i="1"/>
  <c r="V202" i="1"/>
  <c r="S200" i="1"/>
  <c r="V200" i="1"/>
  <c r="R218" i="1"/>
  <c r="G151" i="9" s="1"/>
  <c r="R214" i="1"/>
  <c r="S201" i="1"/>
  <c r="V201" i="1"/>
  <c r="R216" i="1"/>
  <c r="G149" i="9" s="1"/>
  <c r="R217" i="1"/>
  <c r="G150" i="9" s="1"/>
  <c r="S198" i="1"/>
  <c r="V198" i="1"/>
  <c r="R215" i="1"/>
  <c r="G148" i="9" s="1"/>
  <c r="R213" i="1"/>
  <c r="G146" i="9" s="1"/>
  <c r="S199" i="1"/>
  <c r="V199" i="1"/>
  <c r="S197" i="1"/>
  <c r="V197" i="1"/>
  <c r="L331" i="8"/>
  <c r="K331" i="8"/>
  <c r="K332" i="8" s="1"/>
  <c r="Q84" i="8"/>
  <c r="T84" i="8" s="1"/>
  <c r="V84" i="8" s="1"/>
  <c r="W84" i="8" s="1"/>
  <c r="X84" i="8" s="1"/>
  <c r="AC61" i="6"/>
  <c r="Q97" i="8"/>
  <c r="T97" i="8" s="1"/>
  <c r="V97" i="8" s="1"/>
  <c r="W97" i="8" s="1"/>
  <c r="X97" i="8" s="1"/>
  <c r="Q136" i="8"/>
  <c r="T136" i="8" s="1"/>
  <c r="V136" i="8" s="1"/>
  <c r="W136" i="8" s="1"/>
  <c r="X136" i="8" s="1"/>
  <c r="AC64" i="6"/>
  <c r="Q123" i="8"/>
  <c r="T123" i="8" s="1"/>
  <c r="V123" i="8" s="1"/>
  <c r="W123" i="8" s="1"/>
  <c r="X123" i="8" s="1"/>
  <c r="AC63" i="6"/>
  <c r="AC62" i="6"/>
  <c r="Q110" i="8"/>
  <c r="T110" i="8" s="1"/>
  <c r="V110" i="8" s="1"/>
  <c r="W110" i="8" s="1"/>
  <c r="X110" i="8" s="1"/>
  <c r="E123" i="8"/>
  <c r="H123" i="8" s="1"/>
  <c r="J123" i="8" s="1"/>
  <c r="K123" i="8" s="1"/>
  <c r="L123" i="8" s="1"/>
  <c r="AC50" i="6"/>
  <c r="AD50" i="6" s="1"/>
  <c r="E136" i="8"/>
  <c r="H136" i="8" s="1"/>
  <c r="J136" i="8" s="1"/>
  <c r="K136" i="8" s="1"/>
  <c r="L136" i="8" s="1"/>
  <c r="AC51" i="6"/>
  <c r="AD51" i="6" s="1"/>
  <c r="E110" i="8"/>
  <c r="H110" i="8" s="1"/>
  <c r="J110" i="8" s="1"/>
  <c r="K110" i="8" s="1"/>
  <c r="L110" i="8" s="1"/>
  <c r="AC49" i="6"/>
  <c r="E97" i="8"/>
  <c r="H97" i="8" s="1"/>
  <c r="J97" i="8" s="1"/>
  <c r="K97" i="8" s="1"/>
  <c r="L97" i="8" s="1"/>
  <c r="AC48" i="6"/>
  <c r="AD48" i="6" s="1"/>
  <c r="E84" i="8"/>
  <c r="H84" i="8" s="1"/>
  <c r="J84" i="8" s="1"/>
  <c r="K84" i="8" s="1"/>
  <c r="C50" i="6"/>
  <c r="G50" i="6"/>
  <c r="E52" i="6"/>
  <c r="D53" i="6"/>
  <c r="C54" i="6"/>
  <c r="G54" i="6"/>
  <c r="E56" i="6"/>
  <c r="D57" i="6"/>
  <c r="B50" i="6"/>
  <c r="B54" i="6"/>
  <c r="C49" i="6"/>
  <c r="D50" i="6"/>
  <c r="C51" i="6"/>
  <c r="G51" i="6"/>
  <c r="E53" i="6"/>
  <c r="D54" i="6"/>
  <c r="C55" i="6"/>
  <c r="G55" i="6"/>
  <c r="E57" i="6"/>
  <c r="B51" i="6"/>
  <c r="B55" i="6"/>
  <c r="D49" i="6"/>
  <c r="E50" i="6"/>
  <c r="D51" i="6"/>
  <c r="C52" i="6"/>
  <c r="G52" i="6"/>
  <c r="E54" i="6"/>
  <c r="D55" i="6"/>
  <c r="C56" i="6"/>
  <c r="G56" i="6"/>
  <c r="B52" i="6"/>
  <c r="B56" i="6"/>
  <c r="E49" i="6"/>
  <c r="E51" i="6"/>
  <c r="AB60" i="6" s="1"/>
  <c r="D52" i="6"/>
  <c r="C53" i="6"/>
  <c r="G53" i="6"/>
  <c r="E55" i="6"/>
  <c r="D56" i="6"/>
  <c r="C57" i="6"/>
  <c r="G57" i="6"/>
  <c r="B53" i="6"/>
  <c r="B57" i="6"/>
  <c r="J412" i="7"/>
  <c r="I412" i="7"/>
  <c r="J411" i="7"/>
  <c r="I411" i="7"/>
  <c r="J410" i="7"/>
  <c r="I410" i="7"/>
  <c r="J409" i="7"/>
  <c r="I409" i="7"/>
  <c r="J408" i="7"/>
  <c r="I408" i="7"/>
  <c r="J407" i="7"/>
  <c r="I407" i="7"/>
  <c r="J406" i="7"/>
  <c r="I406" i="7"/>
  <c r="J405" i="7"/>
  <c r="I405" i="7"/>
  <c r="J404" i="7"/>
  <c r="I404" i="7"/>
  <c r="J403" i="7"/>
  <c r="I403" i="7"/>
  <c r="J402" i="7"/>
  <c r="I402" i="7"/>
  <c r="J401" i="7"/>
  <c r="I401" i="7"/>
  <c r="J400" i="7"/>
  <c r="I400" i="7"/>
  <c r="J399" i="7"/>
  <c r="I399" i="7"/>
  <c r="J398" i="7"/>
  <c r="I398" i="7"/>
  <c r="J397" i="7"/>
  <c r="I397" i="7"/>
  <c r="J396" i="7"/>
  <c r="I396" i="7"/>
  <c r="J395" i="7"/>
  <c r="I395" i="7"/>
  <c r="J394" i="7"/>
  <c r="I394" i="7"/>
  <c r="J393" i="7"/>
  <c r="I393" i="7"/>
  <c r="F386" i="7"/>
  <c r="A386" i="7"/>
  <c r="S371" i="7"/>
  <c r="R371" i="7"/>
  <c r="Q371" i="7"/>
  <c r="L371" i="7"/>
  <c r="K371" i="7"/>
  <c r="J371" i="7"/>
  <c r="E371" i="7"/>
  <c r="D371" i="7"/>
  <c r="C371" i="7"/>
  <c r="S370" i="7"/>
  <c r="R370" i="7"/>
  <c r="Q370" i="7"/>
  <c r="L370" i="7"/>
  <c r="K370" i="7"/>
  <c r="J370" i="7"/>
  <c r="E370" i="7"/>
  <c r="D370" i="7"/>
  <c r="C370" i="7"/>
  <c r="S369" i="7"/>
  <c r="R369" i="7"/>
  <c r="Q369" i="7"/>
  <c r="L369" i="7"/>
  <c r="K369" i="7"/>
  <c r="J369" i="7"/>
  <c r="E369" i="7"/>
  <c r="D369" i="7"/>
  <c r="C369" i="7"/>
  <c r="S368" i="7"/>
  <c r="R368" i="7"/>
  <c r="Q368" i="7"/>
  <c r="L368" i="7"/>
  <c r="K368" i="7"/>
  <c r="J368" i="7"/>
  <c r="E368" i="7"/>
  <c r="D368" i="7"/>
  <c r="C368" i="7"/>
  <c r="S367" i="7"/>
  <c r="R367" i="7"/>
  <c r="Q367" i="7"/>
  <c r="L367" i="7"/>
  <c r="K367" i="7"/>
  <c r="J367" i="7"/>
  <c r="E367" i="7"/>
  <c r="D367" i="7"/>
  <c r="C367" i="7"/>
  <c r="S366" i="7"/>
  <c r="R366" i="7"/>
  <c r="Q366" i="7"/>
  <c r="L366" i="7"/>
  <c r="K366" i="7"/>
  <c r="J366" i="7"/>
  <c r="E366" i="7"/>
  <c r="D366" i="7"/>
  <c r="C366" i="7"/>
  <c r="S365" i="7"/>
  <c r="R365" i="7"/>
  <c r="Q365" i="7"/>
  <c r="L365" i="7"/>
  <c r="K365" i="7"/>
  <c r="J365" i="7"/>
  <c r="E365" i="7"/>
  <c r="D365" i="7"/>
  <c r="C365" i="7"/>
  <c r="S364" i="7"/>
  <c r="R364" i="7"/>
  <c r="Q364" i="7"/>
  <c r="L364" i="7"/>
  <c r="K364" i="7"/>
  <c r="J364" i="7"/>
  <c r="E364" i="7"/>
  <c r="D364" i="7"/>
  <c r="C364" i="7"/>
  <c r="S363" i="7"/>
  <c r="R363" i="7"/>
  <c r="Q363" i="7"/>
  <c r="L363" i="7"/>
  <c r="K363" i="7"/>
  <c r="J363" i="7"/>
  <c r="E363" i="7"/>
  <c r="D363" i="7"/>
  <c r="C363" i="7"/>
  <c r="S362" i="7"/>
  <c r="R362" i="7"/>
  <c r="Q362" i="7"/>
  <c r="L362" i="7"/>
  <c r="K362" i="7"/>
  <c r="J362" i="7"/>
  <c r="E362" i="7"/>
  <c r="D362" i="7"/>
  <c r="C362" i="7"/>
  <c r="S361" i="7"/>
  <c r="R361" i="7"/>
  <c r="Q361" i="7"/>
  <c r="L361" i="7"/>
  <c r="K361" i="7"/>
  <c r="J361" i="7"/>
  <c r="E361" i="7"/>
  <c r="D361" i="7"/>
  <c r="C361" i="7"/>
  <c r="S360" i="7"/>
  <c r="R360" i="7"/>
  <c r="Q360" i="7"/>
  <c r="L360" i="7"/>
  <c r="K360" i="7"/>
  <c r="J360" i="7"/>
  <c r="E360" i="7"/>
  <c r="D360" i="7"/>
  <c r="C360" i="7"/>
  <c r="S359" i="7"/>
  <c r="R359" i="7"/>
  <c r="Q359" i="7"/>
  <c r="L359" i="7"/>
  <c r="K359" i="7"/>
  <c r="J359" i="7"/>
  <c r="E359" i="7"/>
  <c r="D359" i="7"/>
  <c r="C359" i="7"/>
  <c r="S358" i="7"/>
  <c r="R358" i="7"/>
  <c r="Q358" i="7"/>
  <c r="L358" i="7"/>
  <c r="K358" i="7"/>
  <c r="J358" i="7"/>
  <c r="E358" i="7"/>
  <c r="D358" i="7"/>
  <c r="C358" i="7"/>
  <c r="S357" i="7"/>
  <c r="R357" i="7"/>
  <c r="Q357" i="7"/>
  <c r="L357" i="7"/>
  <c r="K357" i="7"/>
  <c r="J357" i="7"/>
  <c r="E357" i="7"/>
  <c r="D357" i="7"/>
  <c r="C357" i="7"/>
  <c r="S356" i="7"/>
  <c r="R356" i="7"/>
  <c r="Q356" i="7"/>
  <c r="L356" i="7"/>
  <c r="K356" i="7"/>
  <c r="J356" i="7"/>
  <c r="E356" i="7"/>
  <c r="D356" i="7"/>
  <c r="C356" i="7"/>
  <c r="S355" i="7"/>
  <c r="R355" i="7"/>
  <c r="Q355" i="7"/>
  <c r="L355" i="7"/>
  <c r="K355" i="7"/>
  <c r="J355" i="7"/>
  <c r="E355" i="7"/>
  <c r="D355" i="7"/>
  <c r="C355" i="7"/>
  <c r="S354" i="7"/>
  <c r="R354" i="7"/>
  <c r="Q354" i="7"/>
  <c r="L354" i="7"/>
  <c r="K354" i="7"/>
  <c r="J354" i="7"/>
  <c r="E354" i="7"/>
  <c r="D354" i="7"/>
  <c r="C354" i="7"/>
  <c r="S353" i="7"/>
  <c r="R353" i="7"/>
  <c r="Q353" i="7"/>
  <c r="L353" i="7"/>
  <c r="K353" i="7"/>
  <c r="J353" i="7"/>
  <c r="E353" i="7"/>
  <c r="D353" i="7"/>
  <c r="C353" i="7"/>
  <c r="S352" i="7"/>
  <c r="R352" i="7"/>
  <c r="Q352" i="7"/>
  <c r="L352" i="7"/>
  <c r="K352" i="7"/>
  <c r="J352" i="7"/>
  <c r="E352" i="7"/>
  <c r="D352" i="7"/>
  <c r="C352" i="7"/>
  <c r="S350" i="7"/>
  <c r="R350" i="7"/>
  <c r="Q350" i="7"/>
  <c r="L350" i="7"/>
  <c r="K350" i="7"/>
  <c r="J350" i="7"/>
  <c r="E350" i="7"/>
  <c r="D350" i="7"/>
  <c r="C350" i="7"/>
  <c r="S349" i="7"/>
  <c r="R349" i="7"/>
  <c r="Q349" i="7"/>
  <c r="L349" i="7"/>
  <c r="K349" i="7"/>
  <c r="J349" i="7"/>
  <c r="E349" i="7"/>
  <c r="D349" i="7"/>
  <c r="C349" i="7"/>
  <c r="S348" i="7"/>
  <c r="R348" i="7"/>
  <c r="Q348" i="7"/>
  <c r="L348" i="7"/>
  <c r="K348" i="7"/>
  <c r="J348" i="7"/>
  <c r="E348" i="7"/>
  <c r="D348" i="7"/>
  <c r="C348" i="7"/>
  <c r="S347" i="7"/>
  <c r="R347" i="7"/>
  <c r="Q347" i="7"/>
  <c r="L347" i="7"/>
  <c r="K347" i="7"/>
  <c r="J347" i="7"/>
  <c r="E347" i="7"/>
  <c r="D347" i="7"/>
  <c r="C347" i="7"/>
  <c r="S346" i="7"/>
  <c r="R346" i="7"/>
  <c r="Q346" i="7"/>
  <c r="L346" i="7"/>
  <c r="K346" i="7"/>
  <c r="J346" i="7"/>
  <c r="E346" i="7"/>
  <c r="D346" i="7"/>
  <c r="C346" i="7"/>
  <c r="S345" i="7"/>
  <c r="R345" i="7"/>
  <c r="Q345" i="7"/>
  <c r="L345" i="7"/>
  <c r="K345" i="7"/>
  <c r="J345" i="7"/>
  <c r="E345" i="7"/>
  <c r="D345" i="7"/>
  <c r="C345" i="7"/>
  <c r="S344" i="7"/>
  <c r="R344" i="7"/>
  <c r="Q344" i="7"/>
  <c r="L344" i="7"/>
  <c r="K344" i="7"/>
  <c r="J344" i="7"/>
  <c r="E344" i="7"/>
  <c r="D344" i="7"/>
  <c r="C344" i="7"/>
  <c r="S343" i="7"/>
  <c r="R343" i="7"/>
  <c r="Q343" i="7"/>
  <c r="L343" i="7"/>
  <c r="K343" i="7"/>
  <c r="J343" i="7"/>
  <c r="E343" i="7"/>
  <c r="D343" i="7"/>
  <c r="C343" i="7"/>
  <c r="S342" i="7"/>
  <c r="R342" i="7"/>
  <c r="Q342" i="7"/>
  <c r="L342" i="7"/>
  <c r="K342" i="7"/>
  <c r="J342" i="7"/>
  <c r="E342" i="7"/>
  <c r="D342" i="7"/>
  <c r="C342" i="7"/>
  <c r="S341" i="7"/>
  <c r="R341" i="7"/>
  <c r="Q341" i="7"/>
  <c r="L341" i="7"/>
  <c r="K341" i="7"/>
  <c r="J341" i="7"/>
  <c r="E341" i="7"/>
  <c r="D341" i="7"/>
  <c r="C341" i="7"/>
  <c r="S340" i="7"/>
  <c r="R340" i="7"/>
  <c r="Q340" i="7"/>
  <c r="L340" i="7"/>
  <c r="K340" i="7"/>
  <c r="J340" i="7"/>
  <c r="E340" i="7"/>
  <c r="D340" i="7"/>
  <c r="C340" i="7"/>
  <c r="S339" i="7"/>
  <c r="R339" i="7"/>
  <c r="Q339" i="7"/>
  <c r="L339" i="7"/>
  <c r="K339" i="7"/>
  <c r="J339" i="7"/>
  <c r="E339" i="7"/>
  <c r="D339" i="7"/>
  <c r="C339" i="7"/>
  <c r="S338" i="7"/>
  <c r="R338" i="7"/>
  <c r="Q338" i="7"/>
  <c r="L338" i="7"/>
  <c r="K338" i="7"/>
  <c r="J338" i="7"/>
  <c r="E338" i="7"/>
  <c r="D338" i="7"/>
  <c r="C338" i="7"/>
  <c r="S337" i="7"/>
  <c r="R337" i="7"/>
  <c r="Q337" i="7"/>
  <c r="L337" i="7"/>
  <c r="K337" i="7"/>
  <c r="J337" i="7"/>
  <c r="E337" i="7"/>
  <c r="D337" i="7"/>
  <c r="C337" i="7"/>
  <c r="S336" i="7"/>
  <c r="R336" i="7"/>
  <c r="Q336" i="7"/>
  <c r="L336" i="7"/>
  <c r="K336" i="7"/>
  <c r="J336" i="7"/>
  <c r="E336" i="7"/>
  <c r="D336" i="7"/>
  <c r="C336" i="7"/>
  <c r="S335" i="7"/>
  <c r="R335" i="7"/>
  <c r="Q335" i="7"/>
  <c r="L335" i="7"/>
  <c r="K335" i="7"/>
  <c r="J335" i="7"/>
  <c r="E335" i="7"/>
  <c r="D335" i="7"/>
  <c r="C335" i="7"/>
  <c r="S334" i="7"/>
  <c r="R334" i="7"/>
  <c r="Q334" i="7"/>
  <c r="L334" i="7"/>
  <c r="K334" i="7"/>
  <c r="J334" i="7"/>
  <c r="E334" i="7"/>
  <c r="D334" i="7"/>
  <c r="C334" i="7"/>
  <c r="S333" i="7"/>
  <c r="R333" i="7"/>
  <c r="Q333" i="7"/>
  <c r="L333" i="7"/>
  <c r="K333" i="7"/>
  <c r="J333" i="7"/>
  <c r="E333" i="7"/>
  <c r="D333" i="7"/>
  <c r="C333" i="7"/>
  <c r="S332" i="7"/>
  <c r="R332" i="7"/>
  <c r="Q332" i="7"/>
  <c r="L332" i="7"/>
  <c r="K332" i="7"/>
  <c r="J332" i="7"/>
  <c r="E332" i="7"/>
  <c r="D332" i="7"/>
  <c r="C332" i="7"/>
  <c r="S331" i="7"/>
  <c r="R331" i="7"/>
  <c r="Q331" i="7"/>
  <c r="L331" i="7"/>
  <c r="K331" i="7"/>
  <c r="J331" i="7"/>
  <c r="E331" i="7"/>
  <c r="D331" i="7"/>
  <c r="C331" i="7"/>
  <c r="S329" i="7"/>
  <c r="R329" i="7"/>
  <c r="Q329" i="7"/>
  <c r="L329" i="7"/>
  <c r="K329" i="7"/>
  <c r="J329" i="7"/>
  <c r="E329" i="7"/>
  <c r="D329" i="7"/>
  <c r="C329" i="7"/>
  <c r="S328" i="7"/>
  <c r="R328" i="7"/>
  <c r="Q328" i="7"/>
  <c r="L328" i="7"/>
  <c r="K328" i="7"/>
  <c r="J328" i="7"/>
  <c r="E328" i="7"/>
  <c r="D328" i="7"/>
  <c r="C328" i="7"/>
  <c r="S327" i="7"/>
  <c r="R327" i="7"/>
  <c r="Q327" i="7"/>
  <c r="L327" i="7"/>
  <c r="K327" i="7"/>
  <c r="J327" i="7"/>
  <c r="E327" i="7"/>
  <c r="D327" i="7"/>
  <c r="C327" i="7"/>
  <c r="S326" i="7"/>
  <c r="R326" i="7"/>
  <c r="Q326" i="7"/>
  <c r="L326" i="7"/>
  <c r="K326" i="7"/>
  <c r="J326" i="7"/>
  <c r="E326" i="7"/>
  <c r="D326" i="7"/>
  <c r="C326" i="7"/>
  <c r="S325" i="7"/>
  <c r="R325" i="7"/>
  <c r="Q325" i="7"/>
  <c r="L325" i="7"/>
  <c r="K325" i="7"/>
  <c r="J325" i="7"/>
  <c r="E325" i="7"/>
  <c r="D325" i="7"/>
  <c r="C325" i="7"/>
  <c r="S324" i="7"/>
  <c r="R324" i="7"/>
  <c r="Q324" i="7"/>
  <c r="L324" i="7"/>
  <c r="K324" i="7"/>
  <c r="J324" i="7"/>
  <c r="E324" i="7"/>
  <c r="D324" i="7"/>
  <c r="C324" i="7"/>
  <c r="S323" i="7"/>
  <c r="R323" i="7"/>
  <c r="Q323" i="7"/>
  <c r="L323" i="7"/>
  <c r="K323" i="7"/>
  <c r="J323" i="7"/>
  <c r="E323" i="7"/>
  <c r="D323" i="7"/>
  <c r="C323" i="7"/>
  <c r="S322" i="7"/>
  <c r="R322" i="7"/>
  <c r="Q322" i="7"/>
  <c r="L322" i="7"/>
  <c r="K322" i="7"/>
  <c r="J322" i="7"/>
  <c r="E322" i="7"/>
  <c r="D322" i="7"/>
  <c r="C322" i="7"/>
  <c r="S321" i="7"/>
  <c r="R321" i="7"/>
  <c r="Q321" i="7"/>
  <c r="L321" i="7"/>
  <c r="K321" i="7"/>
  <c r="J321" i="7"/>
  <c r="E321" i="7"/>
  <c r="D321" i="7"/>
  <c r="C321" i="7"/>
  <c r="S320" i="7"/>
  <c r="R320" i="7"/>
  <c r="Q320" i="7"/>
  <c r="L320" i="7"/>
  <c r="K320" i="7"/>
  <c r="J320" i="7"/>
  <c r="E320" i="7"/>
  <c r="D320" i="7"/>
  <c r="C320" i="7"/>
  <c r="S319" i="7"/>
  <c r="R319" i="7"/>
  <c r="Q319" i="7"/>
  <c r="L319" i="7"/>
  <c r="K319" i="7"/>
  <c r="J319" i="7"/>
  <c r="E319" i="7"/>
  <c r="D319" i="7"/>
  <c r="C319" i="7"/>
  <c r="S318" i="7"/>
  <c r="R318" i="7"/>
  <c r="Q318" i="7"/>
  <c r="L318" i="7"/>
  <c r="K318" i="7"/>
  <c r="J318" i="7"/>
  <c r="E318" i="7"/>
  <c r="D318" i="7"/>
  <c r="C318" i="7"/>
  <c r="S317" i="7"/>
  <c r="R317" i="7"/>
  <c r="Q317" i="7"/>
  <c r="L317" i="7"/>
  <c r="K317" i="7"/>
  <c r="J317" i="7"/>
  <c r="E317" i="7"/>
  <c r="D317" i="7"/>
  <c r="C317" i="7"/>
  <c r="S316" i="7"/>
  <c r="R316" i="7"/>
  <c r="Q316" i="7"/>
  <c r="L316" i="7"/>
  <c r="K316" i="7"/>
  <c r="J316" i="7"/>
  <c r="E316" i="7"/>
  <c r="D316" i="7"/>
  <c r="C316" i="7"/>
  <c r="S315" i="7"/>
  <c r="R315" i="7"/>
  <c r="Q315" i="7"/>
  <c r="L315" i="7"/>
  <c r="K315" i="7"/>
  <c r="J315" i="7"/>
  <c r="E315" i="7"/>
  <c r="D315" i="7"/>
  <c r="C315" i="7"/>
  <c r="S314" i="7"/>
  <c r="R314" i="7"/>
  <c r="Q314" i="7"/>
  <c r="L314" i="7"/>
  <c r="K314" i="7"/>
  <c r="J314" i="7"/>
  <c r="E314" i="7"/>
  <c r="D314" i="7"/>
  <c r="C314" i="7"/>
  <c r="S313" i="7"/>
  <c r="R313" i="7"/>
  <c r="Q313" i="7"/>
  <c r="L313" i="7"/>
  <c r="K313" i="7"/>
  <c r="J313" i="7"/>
  <c r="E313" i="7"/>
  <c r="D313" i="7"/>
  <c r="C313" i="7"/>
  <c r="S312" i="7"/>
  <c r="R312" i="7"/>
  <c r="Q312" i="7"/>
  <c r="L312" i="7"/>
  <c r="K312" i="7"/>
  <c r="J312" i="7"/>
  <c r="E312" i="7"/>
  <c r="D312" i="7"/>
  <c r="C312" i="7"/>
  <c r="S311" i="7"/>
  <c r="R311" i="7"/>
  <c r="Q311" i="7"/>
  <c r="L311" i="7"/>
  <c r="K311" i="7"/>
  <c r="J311" i="7"/>
  <c r="E311" i="7"/>
  <c r="D311" i="7"/>
  <c r="C311" i="7"/>
  <c r="S310" i="7"/>
  <c r="R310" i="7"/>
  <c r="Q310" i="7"/>
  <c r="L310" i="7"/>
  <c r="K310" i="7"/>
  <c r="J310" i="7"/>
  <c r="E310" i="7"/>
  <c r="D310" i="7"/>
  <c r="C310" i="7"/>
  <c r="S308" i="7"/>
  <c r="R308" i="7"/>
  <c r="Q308" i="7"/>
  <c r="L308" i="7"/>
  <c r="K308" i="7"/>
  <c r="J308" i="7"/>
  <c r="E308" i="7"/>
  <c r="D308" i="7"/>
  <c r="C308" i="7"/>
  <c r="S307" i="7"/>
  <c r="R307" i="7"/>
  <c r="Q307" i="7"/>
  <c r="L307" i="7"/>
  <c r="K307" i="7"/>
  <c r="J307" i="7"/>
  <c r="E307" i="7"/>
  <c r="D307" i="7"/>
  <c r="C307" i="7"/>
  <c r="S306" i="7"/>
  <c r="R306" i="7"/>
  <c r="Q306" i="7"/>
  <c r="L306" i="7"/>
  <c r="K306" i="7"/>
  <c r="J306" i="7"/>
  <c r="E306" i="7"/>
  <c r="D306" i="7"/>
  <c r="C306" i="7"/>
  <c r="S305" i="7"/>
  <c r="R305" i="7"/>
  <c r="Q305" i="7"/>
  <c r="L305" i="7"/>
  <c r="K305" i="7"/>
  <c r="J305" i="7"/>
  <c r="E305" i="7"/>
  <c r="D305" i="7"/>
  <c r="C305" i="7"/>
  <c r="S304" i="7"/>
  <c r="R304" i="7"/>
  <c r="Q304" i="7"/>
  <c r="L304" i="7"/>
  <c r="K304" i="7"/>
  <c r="J304" i="7"/>
  <c r="E304" i="7"/>
  <c r="D304" i="7"/>
  <c r="C304" i="7"/>
  <c r="S303" i="7"/>
  <c r="R303" i="7"/>
  <c r="Q303" i="7"/>
  <c r="L303" i="7"/>
  <c r="K303" i="7"/>
  <c r="J303" i="7"/>
  <c r="E303" i="7"/>
  <c r="D303" i="7"/>
  <c r="C303" i="7"/>
  <c r="S302" i="7"/>
  <c r="R302" i="7"/>
  <c r="Q302" i="7"/>
  <c r="L302" i="7"/>
  <c r="K302" i="7"/>
  <c r="J302" i="7"/>
  <c r="E302" i="7"/>
  <c r="D302" i="7"/>
  <c r="C302" i="7"/>
  <c r="S301" i="7"/>
  <c r="R301" i="7"/>
  <c r="Q301" i="7"/>
  <c r="L301" i="7"/>
  <c r="K301" i="7"/>
  <c r="J301" i="7"/>
  <c r="E301" i="7"/>
  <c r="D301" i="7"/>
  <c r="C301" i="7"/>
  <c r="S300" i="7"/>
  <c r="R300" i="7"/>
  <c r="Q300" i="7"/>
  <c r="L300" i="7"/>
  <c r="K300" i="7"/>
  <c r="J300" i="7"/>
  <c r="E300" i="7"/>
  <c r="D300" i="7"/>
  <c r="C300" i="7"/>
  <c r="S299" i="7"/>
  <c r="R299" i="7"/>
  <c r="Q299" i="7"/>
  <c r="L299" i="7"/>
  <c r="K299" i="7"/>
  <c r="J299" i="7"/>
  <c r="E299" i="7"/>
  <c r="D299" i="7"/>
  <c r="C299" i="7"/>
  <c r="S298" i="7"/>
  <c r="R298" i="7"/>
  <c r="Q298" i="7"/>
  <c r="L298" i="7"/>
  <c r="K298" i="7"/>
  <c r="J298" i="7"/>
  <c r="E298" i="7"/>
  <c r="D298" i="7"/>
  <c r="C298" i="7"/>
  <c r="S297" i="7"/>
  <c r="R297" i="7"/>
  <c r="Q297" i="7"/>
  <c r="L297" i="7"/>
  <c r="K297" i="7"/>
  <c r="J297" i="7"/>
  <c r="E297" i="7"/>
  <c r="D297" i="7"/>
  <c r="C297" i="7"/>
  <c r="S296" i="7"/>
  <c r="R296" i="7"/>
  <c r="Q296" i="7"/>
  <c r="L296" i="7"/>
  <c r="K296" i="7"/>
  <c r="J296" i="7"/>
  <c r="E296" i="7"/>
  <c r="D296" i="7"/>
  <c r="C296" i="7"/>
  <c r="S295" i="7"/>
  <c r="R295" i="7"/>
  <c r="Q295" i="7"/>
  <c r="L295" i="7"/>
  <c r="K295" i="7"/>
  <c r="J295" i="7"/>
  <c r="E295" i="7"/>
  <c r="D295" i="7"/>
  <c r="C295" i="7"/>
  <c r="S294" i="7"/>
  <c r="R294" i="7"/>
  <c r="Q294" i="7"/>
  <c r="L294" i="7"/>
  <c r="K294" i="7"/>
  <c r="J294" i="7"/>
  <c r="E294" i="7"/>
  <c r="D294" i="7"/>
  <c r="C294" i="7"/>
  <c r="S293" i="7"/>
  <c r="R293" i="7"/>
  <c r="Q293" i="7"/>
  <c r="L293" i="7"/>
  <c r="K293" i="7"/>
  <c r="J293" i="7"/>
  <c r="E293" i="7"/>
  <c r="D293" i="7"/>
  <c r="C293" i="7"/>
  <c r="W292" i="7"/>
  <c r="S292" i="7"/>
  <c r="R292" i="7"/>
  <c r="Q292" i="7"/>
  <c r="L292" i="7"/>
  <c r="K292" i="7"/>
  <c r="J292" i="7"/>
  <c r="E292" i="7"/>
  <c r="D292" i="7"/>
  <c r="C292" i="7"/>
  <c r="W291" i="7"/>
  <c r="S291" i="7"/>
  <c r="R291" i="7"/>
  <c r="Q291" i="7"/>
  <c r="L291" i="7"/>
  <c r="K291" i="7"/>
  <c r="J291" i="7"/>
  <c r="E291" i="7"/>
  <c r="D291" i="7"/>
  <c r="C291" i="7"/>
  <c r="W290" i="7"/>
  <c r="S290" i="7"/>
  <c r="R290" i="7"/>
  <c r="Q290" i="7"/>
  <c r="L290" i="7"/>
  <c r="K290" i="7"/>
  <c r="J290" i="7"/>
  <c r="E290" i="7"/>
  <c r="D290" i="7"/>
  <c r="C290" i="7"/>
  <c r="W289" i="7"/>
  <c r="S289" i="7"/>
  <c r="R289" i="7"/>
  <c r="Q289" i="7"/>
  <c r="L289" i="7"/>
  <c r="K289" i="7"/>
  <c r="J289" i="7"/>
  <c r="E289" i="7"/>
  <c r="D289" i="7"/>
  <c r="C289" i="7"/>
  <c r="W288" i="7"/>
  <c r="W287" i="7"/>
  <c r="S287" i="7"/>
  <c r="R287" i="7"/>
  <c r="Q287" i="7"/>
  <c r="L287" i="7"/>
  <c r="K287" i="7"/>
  <c r="J287" i="7"/>
  <c r="E287" i="7"/>
  <c r="D287" i="7"/>
  <c r="C287" i="7"/>
  <c r="W286" i="7"/>
  <c r="S286" i="7"/>
  <c r="R286" i="7"/>
  <c r="Q286" i="7"/>
  <c r="L286" i="7"/>
  <c r="K286" i="7"/>
  <c r="J286" i="7"/>
  <c r="E286" i="7"/>
  <c r="D286" i="7"/>
  <c r="C286" i="7"/>
  <c r="W285" i="7"/>
  <c r="S285" i="7"/>
  <c r="R285" i="7"/>
  <c r="Q285" i="7"/>
  <c r="L285" i="7"/>
  <c r="K285" i="7"/>
  <c r="J285" i="7"/>
  <c r="E285" i="7"/>
  <c r="D285" i="7"/>
  <c r="C285" i="7"/>
  <c r="W284" i="7"/>
  <c r="S284" i="7"/>
  <c r="R284" i="7"/>
  <c r="Q284" i="7"/>
  <c r="L284" i="7"/>
  <c r="K284" i="7"/>
  <c r="J284" i="7"/>
  <c r="E284" i="7"/>
  <c r="D284" i="7"/>
  <c r="C284" i="7"/>
  <c r="W283" i="7"/>
  <c r="S283" i="7"/>
  <c r="R283" i="7"/>
  <c r="Q283" i="7"/>
  <c r="L283" i="7"/>
  <c r="K283" i="7"/>
  <c r="J283" i="7"/>
  <c r="E283" i="7"/>
  <c r="D283" i="7"/>
  <c r="C283" i="7"/>
  <c r="W282" i="7"/>
  <c r="S282" i="7"/>
  <c r="R282" i="7"/>
  <c r="Q282" i="7"/>
  <c r="L282" i="7"/>
  <c r="K282" i="7"/>
  <c r="J282" i="7"/>
  <c r="E282" i="7"/>
  <c r="D282" i="7"/>
  <c r="C282" i="7"/>
  <c r="W281" i="7"/>
  <c r="S281" i="7"/>
  <c r="R281" i="7"/>
  <c r="Q281" i="7"/>
  <c r="L281" i="7"/>
  <c r="K281" i="7"/>
  <c r="J281" i="7"/>
  <c r="E281" i="7"/>
  <c r="D281" i="7"/>
  <c r="C281" i="7"/>
  <c r="W280" i="7"/>
  <c r="S280" i="7"/>
  <c r="R280" i="7"/>
  <c r="Q280" i="7"/>
  <c r="L280" i="7"/>
  <c r="K280" i="7"/>
  <c r="J280" i="7"/>
  <c r="E280" i="7"/>
  <c r="D280" i="7"/>
  <c r="C280" i="7"/>
  <c r="W279" i="7"/>
  <c r="S279" i="7"/>
  <c r="R279" i="7"/>
  <c r="Q279" i="7"/>
  <c r="L279" i="7"/>
  <c r="K279" i="7"/>
  <c r="J279" i="7"/>
  <c r="E279" i="7"/>
  <c r="D279" i="7"/>
  <c r="C279" i="7"/>
  <c r="W278" i="7"/>
  <c r="S278" i="7"/>
  <c r="R278" i="7"/>
  <c r="Q278" i="7"/>
  <c r="L278" i="7"/>
  <c r="K278" i="7"/>
  <c r="J278" i="7"/>
  <c r="E278" i="7"/>
  <c r="D278" i="7"/>
  <c r="C278" i="7"/>
  <c r="W277" i="7"/>
  <c r="S277" i="7"/>
  <c r="R277" i="7"/>
  <c r="Q277" i="7"/>
  <c r="L277" i="7"/>
  <c r="K277" i="7"/>
  <c r="J277" i="7"/>
  <c r="E277" i="7"/>
  <c r="D277" i="7"/>
  <c r="C277" i="7"/>
  <c r="W276" i="7"/>
  <c r="S276" i="7"/>
  <c r="R276" i="7"/>
  <c r="Q276" i="7"/>
  <c r="L276" i="7"/>
  <c r="K276" i="7"/>
  <c r="J276" i="7"/>
  <c r="E276" i="7"/>
  <c r="D276" i="7"/>
  <c r="C276" i="7"/>
  <c r="W275" i="7"/>
  <c r="S275" i="7"/>
  <c r="R275" i="7"/>
  <c r="Q275" i="7"/>
  <c r="L275" i="7"/>
  <c r="K275" i="7"/>
  <c r="J275" i="7"/>
  <c r="E275" i="7"/>
  <c r="D275" i="7"/>
  <c r="C275" i="7"/>
  <c r="W274" i="7"/>
  <c r="S274" i="7"/>
  <c r="R274" i="7"/>
  <c r="Q274" i="7"/>
  <c r="L274" i="7"/>
  <c r="K274" i="7"/>
  <c r="J274" i="7"/>
  <c r="E274" i="7"/>
  <c r="D274" i="7"/>
  <c r="C274" i="7"/>
  <c r="W273" i="7"/>
  <c r="S273" i="7"/>
  <c r="R273" i="7"/>
  <c r="Q273" i="7"/>
  <c r="L273" i="7"/>
  <c r="K273" i="7"/>
  <c r="J273" i="7"/>
  <c r="E273" i="7"/>
  <c r="D273" i="7"/>
  <c r="C273" i="7"/>
  <c r="S272" i="7"/>
  <c r="R272" i="7"/>
  <c r="Q272" i="7"/>
  <c r="L272" i="7"/>
  <c r="K272" i="7"/>
  <c r="J272" i="7"/>
  <c r="E272" i="7"/>
  <c r="D272" i="7"/>
  <c r="C272" i="7"/>
  <c r="S271" i="7"/>
  <c r="R271" i="7"/>
  <c r="Q271" i="7"/>
  <c r="L271" i="7"/>
  <c r="K271" i="7"/>
  <c r="J271" i="7"/>
  <c r="E271" i="7"/>
  <c r="D271" i="7"/>
  <c r="C271" i="7"/>
  <c r="S270" i="7"/>
  <c r="R270" i="7"/>
  <c r="Q270" i="7"/>
  <c r="L270" i="7"/>
  <c r="K270" i="7"/>
  <c r="J270" i="7"/>
  <c r="E270" i="7"/>
  <c r="D270" i="7"/>
  <c r="C270" i="7"/>
  <c r="S269" i="7"/>
  <c r="R269" i="7"/>
  <c r="Q269" i="7"/>
  <c r="L269" i="7"/>
  <c r="K269" i="7"/>
  <c r="J269" i="7"/>
  <c r="E269" i="7"/>
  <c r="D269" i="7"/>
  <c r="C269" i="7"/>
  <c r="W268" i="7"/>
  <c r="S268" i="7"/>
  <c r="R268" i="7"/>
  <c r="Q268" i="7"/>
  <c r="L268" i="7"/>
  <c r="K268" i="7"/>
  <c r="J268" i="7"/>
  <c r="E268" i="7"/>
  <c r="D268" i="7"/>
  <c r="C268" i="7"/>
  <c r="W267" i="7"/>
  <c r="W266" i="7"/>
  <c r="S266" i="7"/>
  <c r="R266" i="7"/>
  <c r="Q266" i="7"/>
  <c r="L266" i="7"/>
  <c r="K266" i="7"/>
  <c r="J266" i="7"/>
  <c r="E266" i="7"/>
  <c r="D266" i="7"/>
  <c r="C266" i="7"/>
  <c r="W265" i="7"/>
  <c r="S265" i="7"/>
  <c r="R265" i="7"/>
  <c r="Q265" i="7"/>
  <c r="L265" i="7"/>
  <c r="K265" i="7"/>
  <c r="J265" i="7"/>
  <c r="E265" i="7"/>
  <c r="D265" i="7"/>
  <c r="C265" i="7"/>
  <c r="W264" i="7"/>
  <c r="S264" i="7"/>
  <c r="R264" i="7"/>
  <c r="Q264" i="7"/>
  <c r="L264" i="7"/>
  <c r="K264" i="7"/>
  <c r="J264" i="7"/>
  <c r="E264" i="7"/>
  <c r="D264" i="7"/>
  <c r="C264" i="7"/>
  <c r="W263" i="7"/>
  <c r="S263" i="7"/>
  <c r="R263" i="7"/>
  <c r="Q263" i="7"/>
  <c r="L263" i="7"/>
  <c r="K263" i="7"/>
  <c r="J263" i="7"/>
  <c r="E263" i="7"/>
  <c r="D263" i="7"/>
  <c r="C263" i="7"/>
  <c r="W262" i="7"/>
  <c r="S262" i="7"/>
  <c r="R262" i="7"/>
  <c r="Q262" i="7"/>
  <c r="L262" i="7"/>
  <c r="K262" i="7"/>
  <c r="J262" i="7"/>
  <c r="E262" i="7"/>
  <c r="D262" i="7"/>
  <c r="C262" i="7"/>
  <c r="W261" i="7"/>
  <c r="S261" i="7"/>
  <c r="R261" i="7"/>
  <c r="Q261" i="7"/>
  <c r="L261" i="7"/>
  <c r="K261" i="7"/>
  <c r="J261" i="7"/>
  <c r="E261" i="7"/>
  <c r="D261" i="7"/>
  <c r="C261" i="7"/>
  <c r="W260" i="7"/>
  <c r="S260" i="7"/>
  <c r="R260" i="7"/>
  <c r="Q260" i="7"/>
  <c r="L260" i="7"/>
  <c r="K260" i="7"/>
  <c r="J260" i="7"/>
  <c r="E260" i="7"/>
  <c r="D260" i="7"/>
  <c r="C260" i="7"/>
  <c r="W259" i="7"/>
  <c r="S259" i="7"/>
  <c r="R259" i="7"/>
  <c r="Q259" i="7"/>
  <c r="L259" i="7"/>
  <c r="K259" i="7"/>
  <c r="J259" i="7"/>
  <c r="E259" i="7"/>
  <c r="D259" i="7"/>
  <c r="C259" i="7"/>
  <c r="W258" i="7"/>
  <c r="S258" i="7"/>
  <c r="R258" i="7"/>
  <c r="Q258" i="7"/>
  <c r="L258" i="7"/>
  <c r="K258" i="7"/>
  <c r="J258" i="7"/>
  <c r="E258" i="7"/>
  <c r="D258" i="7"/>
  <c r="C258" i="7"/>
  <c r="W257" i="7"/>
  <c r="S257" i="7"/>
  <c r="R257" i="7"/>
  <c r="Q257" i="7"/>
  <c r="L257" i="7"/>
  <c r="K257" i="7"/>
  <c r="J257" i="7"/>
  <c r="E257" i="7"/>
  <c r="D257" i="7"/>
  <c r="C257" i="7"/>
  <c r="W256" i="7"/>
  <c r="S256" i="7"/>
  <c r="R256" i="7"/>
  <c r="Q256" i="7"/>
  <c r="L256" i="7"/>
  <c r="K256" i="7"/>
  <c r="J256" i="7"/>
  <c r="E256" i="7"/>
  <c r="D256" i="7"/>
  <c r="C256" i="7"/>
  <c r="W255" i="7"/>
  <c r="S255" i="7"/>
  <c r="R255" i="7"/>
  <c r="Q255" i="7"/>
  <c r="L255" i="7"/>
  <c r="K255" i="7"/>
  <c r="J255" i="7"/>
  <c r="E255" i="7"/>
  <c r="D255" i="7"/>
  <c r="C255" i="7"/>
  <c r="W254" i="7"/>
  <c r="S254" i="7"/>
  <c r="R254" i="7"/>
  <c r="Q254" i="7"/>
  <c r="L254" i="7"/>
  <c r="K254" i="7"/>
  <c r="J254" i="7"/>
  <c r="E254" i="7"/>
  <c r="D254" i="7"/>
  <c r="C254" i="7"/>
  <c r="W253" i="7"/>
  <c r="S253" i="7"/>
  <c r="R253" i="7"/>
  <c r="Q253" i="7"/>
  <c r="L253" i="7"/>
  <c r="K253" i="7"/>
  <c r="J253" i="7"/>
  <c r="E253" i="7"/>
  <c r="D253" i="7"/>
  <c r="C253" i="7"/>
  <c r="W252" i="7"/>
  <c r="S252" i="7"/>
  <c r="R252" i="7"/>
  <c r="Q252" i="7"/>
  <c r="L252" i="7"/>
  <c r="K252" i="7"/>
  <c r="J252" i="7"/>
  <c r="E252" i="7"/>
  <c r="D252" i="7"/>
  <c r="C252" i="7"/>
  <c r="W251" i="7"/>
  <c r="S251" i="7"/>
  <c r="R251" i="7"/>
  <c r="Q251" i="7"/>
  <c r="L251" i="7"/>
  <c r="K251" i="7"/>
  <c r="J251" i="7"/>
  <c r="E251" i="7"/>
  <c r="D251" i="7"/>
  <c r="C251" i="7"/>
  <c r="W250" i="7"/>
  <c r="S250" i="7"/>
  <c r="R250" i="7"/>
  <c r="Q250" i="7"/>
  <c r="L250" i="7"/>
  <c r="K250" i="7"/>
  <c r="J250" i="7"/>
  <c r="E250" i="7"/>
  <c r="D250" i="7"/>
  <c r="C250" i="7"/>
  <c r="W249" i="7"/>
  <c r="S249" i="7"/>
  <c r="R249" i="7"/>
  <c r="Q249" i="7"/>
  <c r="L249" i="7"/>
  <c r="K249" i="7"/>
  <c r="J249" i="7"/>
  <c r="E249" i="7"/>
  <c r="D249" i="7"/>
  <c r="C249" i="7"/>
  <c r="S248" i="7"/>
  <c r="R248" i="7"/>
  <c r="Q248" i="7"/>
  <c r="L248" i="7"/>
  <c r="K248" i="7"/>
  <c r="J248" i="7"/>
  <c r="E248" i="7"/>
  <c r="D248" i="7"/>
  <c r="C248" i="7"/>
  <c r="S247" i="7"/>
  <c r="R247" i="7"/>
  <c r="Q247" i="7"/>
  <c r="L247" i="7"/>
  <c r="K247" i="7"/>
  <c r="J247" i="7"/>
  <c r="E247" i="7"/>
  <c r="D247" i="7"/>
  <c r="C247" i="7"/>
  <c r="S245" i="7"/>
  <c r="R245" i="7"/>
  <c r="Q245" i="7"/>
  <c r="L245" i="7"/>
  <c r="K245" i="7"/>
  <c r="J245" i="7"/>
  <c r="E245" i="7"/>
  <c r="D245" i="7"/>
  <c r="C245" i="7"/>
  <c r="W244" i="7"/>
  <c r="S244" i="7"/>
  <c r="R244" i="7"/>
  <c r="Q244" i="7"/>
  <c r="L244" i="7"/>
  <c r="K244" i="7"/>
  <c r="J244" i="7"/>
  <c r="E244" i="7"/>
  <c r="D244" i="7"/>
  <c r="C244" i="7"/>
  <c r="W243" i="7"/>
  <c r="S243" i="7"/>
  <c r="R243" i="7"/>
  <c r="Q243" i="7"/>
  <c r="L243" i="7"/>
  <c r="K243" i="7"/>
  <c r="J243" i="7"/>
  <c r="E243" i="7"/>
  <c r="D243" i="7"/>
  <c r="C243" i="7"/>
  <c r="W242" i="7"/>
  <c r="S242" i="7"/>
  <c r="R242" i="7"/>
  <c r="Q242" i="7"/>
  <c r="L242" i="7"/>
  <c r="K242" i="7"/>
  <c r="J242" i="7"/>
  <c r="E242" i="7"/>
  <c r="D242" i="7"/>
  <c r="C242" i="7"/>
  <c r="W241" i="7"/>
  <c r="S241" i="7"/>
  <c r="R241" i="7"/>
  <c r="Q241" i="7"/>
  <c r="L241" i="7"/>
  <c r="K241" i="7"/>
  <c r="J241" i="7"/>
  <c r="E241" i="7"/>
  <c r="D241" i="7"/>
  <c r="C241" i="7"/>
  <c r="W240" i="7"/>
  <c r="S240" i="7"/>
  <c r="R240" i="7"/>
  <c r="Q240" i="7"/>
  <c r="L240" i="7"/>
  <c r="K240" i="7"/>
  <c r="J240" i="7"/>
  <c r="E240" i="7"/>
  <c r="D240" i="7"/>
  <c r="C240" i="7"/>
  <c r="W239" i="7"/>
  <c r="S239" i="7"/>
  <c r="R239" i="7"/>
  <c r="Q239" i="7"/>
  <c r="L239" i="7"/>
  <c r="K239" i="7"/>
  <c r="J239" i="7"/>
  <c r="E239" i="7"/>
  <c r="D239" i="7"/>
  <c r="C239" i="7"/>
  <c r="W238" i="7"/>
  <c r="S238" i="7"/>
  <c r="R238" i="7"/>
  <c r="Q238" i="7"/>
  <c r="L238" i="7"/>
  <c r="K238" i="7"/>
  <c r="J238" i="7"/>
  <c r="E238" i="7"/>
  <c r="D238" i="7"/>
  <c r="C238" i="7"/>
  <c r="W237" i="7"/>
  <c r="S237" i="7"/>
  <c r="R237" i="7"/>
  <c r="Q237" i="7"/>
  <c r="L237" i="7"/>
  <c r="K237" i="7"/>
  <c r="J237" i="7"/>
  <c r="E237" i="7"/>
  <c r="D237" i="7"/>
  <c r="C237" i="7"/>
  <c r="W236" i="7"/>
  <c r="S236" i="7"/>
  <c r="R236" i="7"/>
  <c r="Q236" i="7"/>
  <c r="L236" i="7"/>
  <c r="K236" i="7"/>
  <c r="J236" i="7"/>
  <c r="E236" i="7"/>
  <c r="D236" i="7"/>
  <c r="C236" i="7"/>
  <c r="W235" i="7"/>
  <c r="S235" i="7"/>
  <c r="R235" i="7"/>
  <c r="Q235" i="7"/>
  <c r="L235" i="7"/>
  <c r="K235" i="7"/>
  <c r="J235" i="7"/>
  <c r="E235" i="7"/>
  <c r="D235" i="7"/>
  <c r="C235" i="7"/>
  <c r="W234" i="7"/>
  <c r="S234" i="7"/>
  <c r="R234" i="7"/>
  <c r="Q234" i="7"/>
  <c r="L234" i="7"/>
  <c r="K234" i="7"/>
  <c r="J234" i="7"/>
  <c r="E234" i="7"/>
  <c r="D234" i="7"/>
  <c r="C234" i="7"/>
  <c r="W233" i="7"/>
  <c r="S233" i="7"/>
  <c r="R233" i="7"/>
  <c r="Q233" i="7"/>
  <c r="L233" i="7"/>
  <c r="K233" i="7"/>
  <c r="J233" i="7"/>
  <c r="E233" i="7"/>
  <c r="D233" i="7"/>
  <c r="C233" i="7"/>
  <c r="W232" i="7"/>
  <c r="S232" i="7"/>
  <c r="R232" i="7"/>
  <c r="Q232" i="7"/>
  <c r="L232" i="7"/>
  <c r="K232" i="7"/>
  <c r="J232" i="7"/>
  <c r="E232" i="7"/>
  <c r="D232" i="7"/>
  <c r="C232" i="7"/>
  <c r="W231" i="7"/>
  <c r="S231" i="7"/>
  <c r="R231" i="7"/>
  <c r="Q231" i="7"/>
  <c r="L231" i="7"/>
  <c r="K231" i="7"/>
  <c r="J231" i="7"/>
  <c r="E231" i="7"/>
  <c r="D231" i="7"/>
  <c r="C231" i="7"/>
  <c r="W230" i="7"/>
  <c r="S230" i="7"/>
  <c r="R230" i="7"/>
  <c r="Q230" i="7"/>
  <c r="L230" i="7"/>
  <c r="K230" i="7"/>
  <c r="J230" i="7"/>
  <c r="E230" i="7"/>
  <c r="D230" i="7"/>
  <c r="C230" i="7"/>
  <c r="W229" i="7"/>
  <c r="S229" i="7"/>
  <c r="R229" i="7"/>
  <c r="Q229" i="7"/>
  <c r="L229" i="7"/>
  <c r="K229" i="7"/>
  <c r="J229" i="7"/>
  <c r="E229" i="7"/>
  <c r="D229" i="7"/>
  <c r="C229" i="7"/>
  <c r="W228" i="7"/>
  <c r="S228" i="7"/>
  <c r="R228" i="7"/>
  <c r="Q228" i="7"/>
  <c r="L228" i="7"/>
  <c r="K228" i="7"/>
  <c r="J228" i="7"/>
  <c r="E228" i="7"/>
  <c r="D228" i="7"/>
  <c r="C228" i="7"/>
  <c r="W227" i="7"/>
  <c r="S227" i="7"/>
  <c r="R227" i="7"/>
  <c r="Q227" i="7"/>
  <c r="L227" i="7"/>
  <c r="K227" i="7"/>
  <c r="J227" i="7"/>
  <c r="E227" i="7"/>
  <c r="D227" i="7"/>
  <c r="C227" i="7"/>
  <c r="W226" i="7"/>
  <c r="S226" i="7"/>
  <c r="R226" i="7"/>
  <c r="Q226" i="7"/>
  <c r="L226" i="7"/>
  <c r="K226" i="7"/>
  <c r="J226" i="7"/>
  <c r="E226" i="7"/>
  <c r="D226" i="7"/>
  <c r="C226" i="7"/>
  <c r="W225" i="7"/>
  <c r="R220" i="7"/>
  <c r="T371" i="7" s="1"/>
  <c r="L220" i="7"/>
  <c r="M371" i="7" s="1"/>
  <c r="F220" i="7"/>
  <c r="F371" i="7" s="1"/>
  <c r="R219" i="7"/>
  <c r="T350" i="7" s="1"/>
  <c r="L219" i="7"/>
  <c r="M350" i="7" s="1"/>
  <c r="F219" i="7"/>
  <c r="F350" i="7" s="1"/>
  <c r="R218" i="7"/>
  <c r="T329" i="7" s="1"/>
  <c r="L218" i="7"/>
  <c r="M329" i="7" s="1"/>
  <c r="F218" i="7"/>
  <c r="F329" i="7" s="1"/>
  <c r="R217" i="7"/>
  <c r="T308" i="7" s="1"/>
  <c r="L217" i="7"/>
  <c r="M308" i="7" s="1"/>
  <c r="F217" i="7"/>
  <c r="F308" i="7" s="1"/>
  <c r="R216" i="7"/>
  <c r="T287" i="7" s="1"/>
  <c r="L216" i="7"/>
  <c r="M287" i="7" s="1"/>
  <c r="F216" i="7"/>
  <c r="F287" i="7" s="1"/>
  <c r="R215" i="7"/>
  <c r="T266" i="7" s="1"/>
  <c r="L215" i="7"/>
  <c r="M266" i="7" s="1"/>
  <c r="F215" i="7"/>
  <c r="F266" i="7" s="1"/>
  <c r="R214" i="7"/>
  <c r="T245" i="7" s="1"/>
  <c r="L214" i="7"/>
  <c r="M245" i="7" s="1"/>
  <c r="F214" i="7"/>
  <c r="F245" i="7" s="1"/>
  <c r="K213" i="7"/>
  <c r="Q213" i="7" s="1"/>
  <c r="J213" i="7"/>
  <c r="P213" i="7" s="1"/>
  <c r="H211" i="7"/>
  <c r="N211" i="7" s="1"/>
  <c r="R209" i="7"/>
  <c r="T370" i="7" s="1"/>
  <c r="L209" i="7"/>
  <c r="M370" i="7" s="1"/>
  <c r="F209" i="7"/>
  <c r="F370" i="7" s="1"/>
  <c r="R208" i="7"/>
  <c r="T349" i="7" s="1"/>
  <c r="L208" i="7"/>
  <c r="M349" i="7" s="1"/>
  <c r="F208" i="7"/>
  <c r="F349" i="7" s="1"/>
  <c r="R207" i="7"/>
  <c r="T328" i="7" s="1"/>
  <c r="L207" i="7"/>
  <c r="M328" i="7" s="1"/>
  <c r="F207" i="7"/>
  <c r="F328" i="7" s="1"/>
  <c r="R206" i="7"/>
  <c r="T307" i="7" s="1"/>
  <c r="L206" i="7"/>
  <c r="M307" i="7" s="1"/>
  <c r="F206" i="7"/>
  <c r="F307" i="7" s="1"/>
  <c r="R205" i="7"/>
  <c r="T286" i="7" s="1"/>
  <c r="L205" i="7"/>
  <c r="M286" i="7" s="1"/>
  <c r="F205" i="7"/>
  <c r="R204" i="7"/>
  <c r="T265" i="7" s="1"/>
  <c r="L204" i="7"/>
  <c r="M265" i="7" s="1"/>
  <c r="F204" i="7"/>
  <c r="F265" i="7" s="1"/>
  <c r="R203" i="7"/>
  <c r="T244" i="7" s="1"/>
  <c r="L203" i="7"/>
  <c r="M244" i="7" s="1"/>
  <c r="F203" i="7"/>
  <c r="F244" i="7" s="1"/>
  <c r="K202" i="7"/>
  <c r="Q202" i="7" s="1"/>
  <c r="J202" i="7"/>
  <c r="P202" i="7" s="1"/>
  <c r="H200" i="7"/>
  <c r="N200" i="7" s="1"/>
  <c r="R198" i="7"/>
  <c r="T369" i="7" s="1"/>
  <c r="L198" i="7"/>
  <c r="M369" i="7" s="1"/>
  <c r="F198" i="7"/>
  <c r="F369" i="7" s="1"/>
  <c r="R197" i="7"/>
  <c r="T348" i="7" s="1"/>
  <c r="L197" i="7"/>
  <c r="M348" i="7" s="1"/>
  <c r="F197" i="7"/>
  <c r="F348" i="7" s="1"/>
  <c r="R196" i="7"/>
  <c r="T327" i="7" s="1"/>
  <c r="L196" i="7"/>
  <c r="M327" i="7" s="1"/>
  <c r="F196" i="7"/>
  <c r="F327" i="7" s="1"/>
  <c r="R195" i="7"/>
  <c r="T306" i="7" s="1"/>
  <c r="L195" i="7"/>
  <c r="M306" i="7" s="1"/>
  <c r="F195" i="7"/>
  <c r="F306" i="7" s="1"/>
  <c r="R194" i="7"/>
  <c r="T285" i="7" s="1"/>
  <c r="L194" i="7"/>
  <c r="M285" i="7" s="1"/>
  <c r="F194" i="7"/>
  <c r="R193" i="7"/>
  <c r="T264" i="7" s="1"/>
  <c r="L193" i="7"/>
  <c r="M264" i="7" s="1"/>
  <c r="F193" i="7"/>
  <c r="F264" i="7" s="1"/>
  <c r="R192" i="7"/>
  <c r="T243" i="7" s="1"/>
  <c r="L192" i="7"/>
  <c r="M243" i="7" s="1"/>
  <c r="F192" i="7"/>
  <c r="F243" i="7" s="1"/>
  <c r="K191" i="7"/>
  <c r="Q191" i="7" s="1"/>
  <c r="J191" i="7"/>
  <c r="P191" i="7" s="1"/>
  <c r="H189" i="7"/>
  <c r="N189" i="7" s="1"/>
  <c r="R187" i="7"/>
  <c r="T368" i="7" s="1"/>
  <c r="L187" i="7"/>
  <c r="M368" i="7" s="1"/>
  <c r="F187" i="7"/>
  <c r="F368" i="7" s="1"/>
  <c r="R186" i="7"/>
  <c r="T347" i="7" s="1"/>
  <c r="L186" i="7"/>
  <c r="M347" i="7" s="1"/>
  <c r="F186" i="7"/>
  <c r="F347" i="7" s="1"/>
  <c r="R185" i="7"/>
  <c r="T326" i="7" s="1"/>
  <c r="L185" i="7"/>
  <c r="M326" i="7" s="1"/>
  <c r="F185" i="7"/>
  <c r="F326" i="7" s="1"/>
  <c r="R184" i="7"/>
  <c r="T305" i="7" s="1"/>
  <c r="L184" i="7"/>
  <c r="M305" i="7" s="1"/>
  <c r="F184" i="7"/>
  <c r="F305" i="7" s="1"/>
  <c r="R183" i="7"/>
  <c r="T284" i="7" s="1"/>
  <c r="L183" i="7"/>
  <c r="M284" i="7" s="1"/>
  <c r="F183" i="7"/>
  <c r="F284" i="7" s="1"/>
  <c r="R182" i="7"/>
  <c r="T263" i="7" s="1"/>
  <c r="L182" i="7"/>
  <c r="M263" i="7" s="1"/>
  <c r="F182" i="7"/>
  <c r="F263" i="7" s="1"/>
  <c r="R181" i="7"/>
  <c r="T242" i="7" s="1"/>
  <c r="L181" i="7"/>
  <c r="M242" i="7" s="1"/>
  <c r="F181" i="7"/>
  <c r="F242" i="7" s="1"/>
  <c r="K180" i="7"/>
  <c r="Q180" i="7" s="1"/>
  <c r="J180" i="7"/>
  <c r="P180" i="7" s="1"/>
  <c r="H178" i="7"/>
  <c r="N178" i="7" s="1"/>
  <c r="R176" i="7"/>
  <c r="T367" i="7" s="1"/>
  <c r="L176" i="7"/>
  <c r="M367" i="7" s="1"/>
  <c r="F176" i="7"/>
  <c r="F367" i="7" s="1"/>
  <c r="R175" i="7"/>
  <c r="T346" i="7" s="1"/>
  <c r="L175" i="7"/>
  <c r="M346" i="7" s="1"/>
  <c r="F175" i="7"/>
  <c r="F346" i="7" s="1"/>
  <c r="R174" i="7"/>
  <c r="T325" i="7" s="1"/>
  <c r="L174" i="7"/>
  <c r="M325" i="7" s="1"/>
  <c r="F174" i="7"/>
  <c r="F325" i="7" s="1"/>
  <c r="R173" i="7"/>
  <c r="T304" i="7" s="1"/>
  <c r="L173" i="7"/>
  <c r="M304" i="7" s="1"/>
  <c r="F173" i="7"/>
  <c r="F304" i="7" s="1"/>
  <c r="R172" i="7"/>
  <c r="T283" i="7" s="1"/>
  <c r="L172" i="7"/>
  <c r="M283" i="7" s="1"/>
  <c r="F172" i="7"/>
  <c r="F283" i="7" s="1"/>
  <c r="R171" i="7"/>
  <c r="T262" i="7" s="1"/>
  <c r="L171" i="7"/>
  <c r="M262" i="7" s="1"/>
  <c r="F171" i="7"/>
  <c r="F262" i="7" s="1"/>
  <c r="R170" i="7"/>
  <c r="T241" i="7" s="1"/>
  <c r="L170" i="7"/>
  <c r="M241" i="7" s="1"/>
  <c r="F170" i="7"/>
  <c r="F241" i="7" s="1"/>
  <c r="K169" i="7"/>
  <c r="Q169" i="7" s="1"/>
  <c r="J169" i="7"/>
  <c r="P169" i="7" s="1"/>
  <c r="H167" i="7"/>
  <c r="N167" i="7" s="1"/>
  <c r="R165" i="7"/>
  <c r="T366" i="7" s="1"/>
  <c r="L165" i="7"/>
  <c r="M366" i="7" s="1"/>
  <c r="F165" i="7"/>
  <c r="F366" i="7" s="1"/>
  <c r="R164" i="7"/>
  <c r="T345" i="7" s="1"/>
  <c r="L164" i="7"/>
  <c r="M345" i="7" s="1"/>
  <c r="F164" i="7"/>
  <c r="F345" i="7" s="1"/>
  <c r="R163" i="7"/>
  <c r="T324" i="7" s="1"/>
  <c r="L163" i="7"/>
  <c r="M324" i="7" s="1"/>
  <c r="F163" i="7"/>
  <c r="F324" i="7" s="1"/>
  <c r="R162" i="7"/>
  <c r="T303" i="7" s="1"/>
  <c r="L162" i="7"/>
  <c r="M303" i="7" s="1"/>
  <c r="F162" i="7"/>
  <c r="F303" i="7" s="1"/>
  <c r="R161" i="7"/>
  <c r="T282" i="7" s="1"/>
  <c r="L161" i="7"/>
  <c r="M282" i="7" s="1"/>
  <c r="F161" i="7"/>
  <c r="F282" i="7" s="1"/>
  <c r="R160" i="7"/>
  <c r="T261" i="7" s="1"/>
  <c r="L160" i="7"/>
  <c r="M261" i="7" s="1"/>
  <c r="F160" i="7"/>
  <c r="F261" i="7" s="1"/>
  <c r="R159" i="7"/>
  <c r="T240" i="7" s="1"/>
  <c r="L159" i="7"/>
  <c r="M240" i="7" s="1"/>
  <c r="F159" i="7"/>
  <c r="F240" i="7" s="1"/>
  <c r="K158" i="7"/>
  <c r="Q158" i="7" s="1"/>
  <c r="J158" i="7"/>
  <c r="P158" i="7" s="1"/>
  <c r="H156" i="7"/>
  <c r="N156" i="7" s="1"/>
  <c r="R154" i="7"/>
  <c r="T365" i="7" s="1"/>
  <c r="L154" i="7"/>
  <c r="M365" i="7" s="1"/>
  <c r="F154" i="7"/>
  <c r="F365" i="7" s="1"/>
  <c r="R153" i="7"/>
  <c r="T344" i="7" s="1"/>
  <c r="L153" i="7"/>
  <c r="M344" i="7" s="1"/>
  <c r="F153" i="7"/>
  <c r="F344" i="7" s="1"/>
  <c r="R152" i="7"/>
  <c r="T323" i="7" s="1"/>
  <c r="L152" i="7"/>
  <c r="M323" i="7" s="1"/>
  <c r="F152" i="7"/>
  <c r="F323" i="7" s="1"/>
  <c r="R151" i="7"/>
  <c r="T302" i="7" s="1"/>
  <c r="L151" i="7"/>
  <c r="M281" i="7" s="1"/>
  <c r="F151" i="7"/>
  <c r="R150" i="7"/>
  <c r="T281" i="7" s="1"/>
  <c r="L150" i="7"/>
  <c r="F150" i="7"/>
  <c r="F281" i="7" s="1"/>
  <c r="R149" i="7"/>
  <c r="T260" i="7" s="1"/>
  <c r="L149" i="7"/>
  <c r="M260" i="7" s="1"/>
  <c r="F149" i="7"/>
  <c r="F260" i="7" s="1"/>
  <c r="R148" i="7"/>
  <c r="T239" i="7" s="1"/>
  <c r="L148" i="7"/>
  <c r="M239" i="7" s="1"/>
  <c r="F148" i="7"/>
  <c r="F239" i="7" s="1"/>
  <c r="K147" i="7"/>
  <c r="Q147" i="7" s="1"/>
  <c r="J147" i="7"/>
  <c r="P147" i="7" s="1"/>
  <c r="H145" i="7"/>
  <c r="N145" i="7" s="1"/>
  <c r="R143" i="7"/>
  <c r="T364" i="7" s="1"/>
  <c r="L143" i="7"/>
  <c r="M364" i="7" s="1"/>
  <c r="F143" i="7"/>
  <c r="F364" i="7" s="1"/>
  <c r="R142" i="7"/>
  <c r="T343" i="7" s="1"/>
  <c r="L142" i="7"/>
  <c r="M343" i="7" s="1"/>
  <c r="F142" i="7"/>
  <c r="F343" i="7" s="1"/>
  <c r="R141" i="7"/>
  <c r="T322" i="7" s="1"/>
  <c r="L141" i="7"/>
  <c r="M322" i="7" s="1"/>
  <c r="F141" i="7"/>
  <c r="F322" i="7" s="1"/>
  <c r="R140" i="7"/>
  <c r="T301" i="7" s="1"/>
  <c r="L140" i="7"/>
  <c r="M301" i="7" s="1"/>
  <c r="F140" i="7"/>
  <c r="R139" i="7"/>
  <c r="T280" i="7" s="1"/>
  <c r="L139" i="7"/>
  <c r="M280" i="7" s="1"/>
  <c r="F139" i="7"/>
  <c r="F280" i="7" s="1"/>
  <c r="R138" i="7"/>
  <c r="T259" i="7" s="1"/>
  <c r="L138" i="7"/>
  <c r="M259" i="7" s="1"/>
  <c r="F138" i="7"/>
  <c r="F259" i="7" s="1"/>
  <c r="R137" i="7"/>
  <c r="T238" i="7" s="1"/>
  <c r="L137" i="7"/>
  <c r="M238" i="7" s="1"/>
  <c r="F137" i="7"/>
  <c r="F238" i="7" s="1"/>
  <c r="K136" i="7"/>
  <c r="Q136" i="7" s="1"/>
  <c r="J136" i="7"/>
  <c r="P136" i="7" s="1"/>
  <c r="H134" i="7"/>
  <c r="N134" i="7" s="1"/>
  <c r="R132" i="7"/>
  <c r="T363" i="7" s="1"/>
  <c r="L132" i="7"/>
  <c r="M363" i="7" s="1"/>
  <c r="F132" i="7"/>
  <c r="F363" i="7" s="1"/>
  <c r="R131" i="7"/>
  <c r="T342" i="7" s="1"/>
  <c r="L131" i="7"/>
  <c r="M342" i="7" s="1"/>
  <c r="F131" i="7"/>
  <c r="F342" i="7" s="1"/>
  <c r="R130" i="7"/>
  <c r="T321" i="7" s="1"/>
  <c r="L130" i="7"/>
  <c r="M321" i="7" s="1"/>
  <c r="F130" i="7"/>
  <c r="F321" i="7" s="1"/>
  <c r="R129" i="7"/>
  <c r="T300" i="7" s="1"/>
  <c r="L129" i="7"/>
  <c r="M300" i="7" s="1"/>
  <c r="F129" i="7"/>
  <c r="F300" i="7" s="1"/>
  <c r="R128" i="7"/>
  <c r="T279" i="7" s="1"/>
  <c r="L128" i="7"/>
  <c r="M279" i="7" s="1"/>
  <c r="F128" i="7"/>
  <c r="F279" i="7" s="1"/>
  <c r="R127" i="7"/>
  <c r="T258" i="7" s="1"/>
  <c r="L127" i="7"/>
  <c r="M258" i="7" s="1"/>
  <c r="F127" i="7"/>
  <c r="F258" i="7" s="1"/>
  <c r="R126" i="7"/>
  <c r="T237" i="7" s="1"/>
  <c r="L126" i="7"/>
  <c r="M237" i="7" s="1"/>
  <c r="F126" i="7"/>
  <c r="F237" i="7" s="1"/>
  <c r="K125" i="7"/>
  <c r="Q125" i="7" s="1"/>
  <c r="J125" i="7"/>
  <c r="P125" i="7" s="1"/>
  <c r="H123" i="7"/>
  <c r="N123" i="7" s="1"/>
  <c r="R121" i="7"/>
  <c r="T362" i="7" s="1"/>
  <c r="L121" i="7"/>
  <c r="M362" i="7" s="1"/>
  <c r="F121" i="7"/>
  <c r="F362" i="7" s="1"/>
  <c r="R120" i="7"/>
  <c r="T341" i="7" s="1"/>
  <c r="L120" i="7"/>
  <c r="M341" i="7" s="1"/>
  <c r="F120" i="7"/>
  <c r="F341" i="7" s="1"/>
  <c r="R119" i="7"/>
  <c r="T320" i="7" s="1"/>
  <c r="L119" i="7"/>
  <c r="M320" i="7" s="1"/>
  <c r="F119" i="7"/>
  <c r="F320" i="7" s="1"/>
  <c r="R118" i="7"/>
  <c r="T299" i="7" s="1"/>
  <c r="L118" i="7"/>
  <c r="M299" i="7" s="1"/>
  <c r="F118" i="7"/>
  <c r="F299" i="7" s="1"/>
  <c r="R117" i="7"/>
  <c r="T278" i="7" s="1"/>
  <c r="L117" i="7"/>
  <c r="M278" i="7" s="1"/>
  <c r="F117" i="7"/>
  <c r="F278" i="7" s="1"/>
  <c r="R116" i="7"/>
  <c r="T257" i="7" s="1"/>
  <c r="L116" i="7"/>
  <c r="M257" i="7" s="1"/>
  <c r="F116" i="7"/>
  <c r="F257" i="7" s="1"/>
  <c r="R115" i="7"/>
  <c r="T236" i="7" s="1"/>
  <c r="L115" i="7"/>
  <c r="M236" i="7" s="1"/>
  <c r="F115" i="7"/>
  <c r="F236" i="7" s="1"/>
  <c r="K114" i="7"/>
  <c r="Q114" i="7" s="1"/>
  <c r="J114" i="7"/>
  <c r="P114" i="7" s="1"/>
  <c r="H112" i="7"/>
  <c r="N112" i="7" s="1"/>
  <c r="R110" i="7"/>
  <c r="T361" i="7" s="1"/>
  <c r="L110" i="7"/>
  <c r="M361" i="7" s="1"/>
  <c r="F110" i="7"/>
  <c r="F361" i="7" s="1"/>
  <c r="R109" i="7"/>
  <c r="T340" i="7" s="1"/>
  <c r="L109" i="7"/>
  <c r="M340" i="7" s="1"/>
  <c r="F109" i="7"/>
  <c r="F340" i="7" s="1"/>
  <c r="R108" i="7"/>
  <c r="T319" i="7" s="1"/>
  <c r="L108" i="7"/>
  <c r="M319" i="7" s="1"/>
  <c r="F108" i="7"/>
  <c r="F319" i="7" s="1"/>
  <c r="R107" i="7"/>
  <c r="T298" i="7" s="1"/>
  <c r="L107" i="7"/>
  <c r="M298" i="7" s="1"/>
  <c r="F107" i="7"/>
  <c r="F298" i="7" s="1"/>
  <c r="R106" i="7"/>
  <c r="T277" i="7" s="1"/>
  <c r="L106" i="7"/>
  <c r="M277" i="7" s="1"/>
  <c r="F106" i="7"/>
  <c r="F277" i="7" s="1"/>
  <c r="R105" i="7"/>
  <c r="T256" i="7" s="1"/>
  <c r="L105" i="7"/>
  <c r="M256" i="7" s="1"/>
  <c r="F105" i="7"/>
  <c r="F256" i="7" s="1"/>
  <c r="R104" i="7"/>
  <c r="T235" i="7" s="1"/>
  <c r="L104" i="7"/>
  <c r="M235" i="7" s="1"/>
  <c r="F104" i="7"/>
  <c r="F235" i="7" s="1"/>
  <c r="K103" i="7"/>
  <c r="Q103" i="7" s="1"/>
  <c r="J103" i="7"/>
  <c r="P103" i="7" s="1"/>
  <c r="H101" i="7"/>
  <c r="N101" i="7" s="1"/>
  <c r="R99" i="7"/>
  <c r="T360" i="7" s="1"/>
  <c r="L99" i="7"/>
  <c r="M360" i="7" s="1"/>
  <c r="F99" i="7"/>
  <c r="F360" i="7" s="1"/>
  <c r="R98" i="7"/>
  <c r="T339" i="7" s="1"/>
  <c r="L98" i="7"/>
  <c r="M339" i="7" s="1"/>
  <c r="F98" i="7"/>
  <c r="F339" i="7" s="1"/>
  <c r="R97" i="7"/>
  <c r="T318" i="7" s="1"/>
  <c r="L97" i="7"/>
  <c r="M318" i="7" s="1"/>
  <c r="F97" i="7"/>
  <c r="F318" i="7" s="1"/>
  <c r="R96" i="7"/>
  <c r="T297" i="7" s="1"/>
  <c r="L96" i="7"/>
  <c r="M297" i="7" s="1"/>
  <c r="F96" i="7"/>
  <c r="F297" i="7" s="1"/>
  <c r="R95" i="7"/>
  <c r="T276" i="7" s="1"/>
  <c r="L95" i="7"/>
  <c r="M276" i="7" s="1"/>
  <c r="F95" i="7"/>
  <c r="F276" i="7" s="1"/>
  <c r="R94" i="7"/>
  <c r="T255" i="7" s="1"/>
  <c r="L94" i="7"/>
  <c r="M255" i="7" s="1"/>
  <c r="F94" i="7"/>
  <c r="F255" i="7" s="1"/>
  <c r="R93" i="7"/>
  <c r="T234" i="7" s="1"/>
  <c r="L93" i="7"/>
  <c r="M234" i="7" s="1"/>
  <c r="F93" i="7"/>
  <c r="F234" i="7" s="1"/>
  <c r="K92" i="7"/>
  <c r="Q92" i="7" s="1"/>
  <c r="J92" i="7"/>
  <c r="P92" i="7" s="1"/>
  <c r="H90" i="7"/>
  <c r="N90" i="7" s="1"/>
  <c r="R88" i="7"/>
  <c r="T359" i="7" s="1"/>
  <c r="L88" i="7"/>
  <c r="M359" i="7" s="1"/>
  <c r="F88" i="7"/>
  <c r="F359" i="7" s="1"/>
  <c r="R87" i="7"/>
  <c r="T338" i="7" s="1"/>
  <c r="L87" i="7"/>
  <c r="M338" i="7" s="1"/>
  <c r="F87" i="7"/>
  <c r="F338" i="7" s="1"/>
  <c r="R86" i="7"/>
  <c r="T317" i="7" s="1"/>
  <c r="L86" i="7"/>
  <c r="M317" i="7" s="1"/>
  <c r="F86" i="7"/>
  <c r="F317" i="7" s="1"/>
  <c r="R85" i="7"/>
  <c r="T296" i="7" s="1"/>
  <c r="L85" i="7"/>
  <c r="M296" i="7" s="1"/>
  <c r="F85" i="7"/>
  <c r="F296" i="7" s="1"/>
  <c r="R84" i="7"/>
  <c r="T275" i="7" s="1"/>
  <c r="L84" i="7"/>
  <c r="M275" i="7" s="1"/>
  <c r="F84" i="7"/>
  <c r="F275" i="7" s="1"/>
  <c r="R83" i="7"/>
  <c r="T254" i="7" s="1"/>
  <c r="L83" i="7"/>
  <c r="M254" i="7" s="1"/>
  <c r="F83" i="7"/>
  <c r="F254" i="7" s="1"/>
  <c r="R82" i="7"/>
  <c r="T233" i="7" s="1"/>
  <c r="L82" i="7"/>
  <c r="M233" i="7" s="1"/>
  <c r="F82" i="7"/>
  <c r="F233" i="7" s="1"/>
  <c r="K81" i="7"/>
  <c r="Q81" i="7" s="1"/>
  <c r="J81" i="7"/>
  <c r="P81" i="7" s="1"/>
  <c r="H79" i="7"/>
  <c r="N79" i="7" s="1"/>
  <c r="R77" i="7"/>
  <c r="T358" i="7" s="1"/>
  <c r="L77" i="7"/>
  <c r="M358" i="7" s="1"/>
  <c r="F77" i="7"/>
  <c r="F358" i="7" s="1"/>
  <c r="R76" i="7"/>
  <c r="T337" i="7" s="1"/>
  <c r="L76" i="7"/>
  <c r="M337" i="7" s="1"/>
  <c r="F76" i="7"/>
  <c r="F337" i="7" s="1"/>
  <c r="R75" i="7"/>
  <c r="T316" i="7" s="1"/>
  <c r="L75" i="7"/>
  <c r="M316" i="7" s="1"/>
  <c r="F75" i="7"/>
  <c r="F316" i="7" s="1"/>
  <c r="R74" i="7"/>
  <c r="T295" i="7" s="1"/>
  <c r="L74" i="7"/>
  <c r="M295" i="7" s="1"/>
  <c r="F74" i="7"/>
  <c r="F295" i="7" s="1"/>
  <c r="R73" i="7"/>
  <c r="T274" i="7" s="1"/>
  <c r="L73" i="7"/>
  <c r="M274" i="7" s="1"/>
  <c r="F73" i="7"/>
  <c r="F274" i="7" s="1"/>
  <c r="R72" i="7"/>
  <c r="T253" i="7" s="1"/>
  <c r="L72" i="7"/>
  <c r="M253" i="7" s="1"/>
  <c r="F72" i="7"/>
  <c r="F253" i="7" s="1"/>
  <c r="R71" i="7"/>
  <c r="T232" i="7" s="1"/>
  <c r="L71" i="7"/>
  <c r="M232" i="7" s="1"/>
  <c r="F71" i="7"/>
  <c r="F232" i="7" s="1"/>
  <c r="K70" i="7"/>
  <c r="Q70" i="7" s="1"/>
  <c r="J70" i="7"/>
  <c r="P70" i="7" s="1"/>
  <c r="H68" i="7"/>
  <c r="N68" i="7" s="1"/>
  <c r="R66" i="7"/>
  <c r="T357" i="7" s="1"/>
  <c r="L66" i="7"/>
  <c r="M357" i="7" s="1"/>
  <c r="F66" i="7"/>
  <c r="F357" i="7" s="1"/>
  <c r="R65" i="7"/>
  <c r="T336" i="7" s="1"/>
  <c r="L65" i="7"/>
  <c r="M336" i="7" s="1"/>
  <c r="F65" i="7"/>
  <c r="F336" i="7" s="1"/>
  <c r="R64" i="7"/>
  <c r="T315" i="7" s="1"/>
  <c r="L64" i="7"/>
  <c r="M315" i="7" s="1"/>
  <c r="F64" i="7"/>
  <c r="F315" i="7" s="1"/>
  <c r="R63" i="7"/>
  <c r="T294" i="7" s="1"/>
  <c r="L63" i="7"/>
  <c r="M294" i="7" s="1"/>
  <c r="F63" i="7"/>
  <c r="F294" i="7" s="1"/>
  <c r="R62" i="7"/>
  <c r="T273" i="7" s="1"/>
  <c r="L62" i="7"/>
  <c r="M273" i="7" s="1"/>
  <c r="F62" i="7"/>
  <c r="F273" i="7" s="1"/>
  <c r="R61" i="7"/>
  <c r="T252" i="7" s="1"/>
  <c r="L61" i="7"/>
  <c r="M252" i="7" s="1"/>
  <c r="F61" i="7"/>
  <c r="F252" i="7" s="1"/>
  <c r="R60" i="7"/>
  <c r="T231" i="7" s="1"/>
  <c r="L60" i="7"/>
  <c r="M231" i="7" s="1"/>
  <c r="F60" i="7"/>
  <c r="F231" i="7" s="1"/>
  <c r="K59" i="7"/>
  <c r="Q59" i="7" s="1"/>
  <c r="J59" i="7"/>
  <c r="P59" i="7" s="1"/>
  <c r="H57" i="7"/>
  <c r="N57" i="7" s="1"/>
  <c r="R55" i="7"/>
  <c r="T356" i="7" s="1"/>
  <c r="L55" i="7"/>
  <c r="M356" i="7" s="1"/>
  <c r="F55" i="7"/>
  <c r="F356" i="7" s="1"/>
  <c r="R54" i="7"/>
  <c r="T335" i="7" s="1"/>
  <c r="L54" i="7"/>
  <c r="M335" i="7" s="1"/>
  <c r="F54" i="7"/>
  <c r="F335" i="7" s="1"/>
  <c r="R53" i="7"/>
  <c r="T314" i="7" s="1"/>
  <c r="L53" i="7"/>
  <c r="M314" i="7" s="1"/>
  <c r="F53" i="7"/>
  <c r="F314" i="7" s="1"/>
  <c r="R52" i="7"/>
  <c r="T293" i="7" s="1"/>
  <c r="L52" i="7"/>
  <c r="M293" i="7" s="1"/>
  <c r="F52" i="7"/>
  <c r="F293" i="7" s="1"/>
  <c r="R51" i="7"/>
  <c r="T272" i="7" s="1"/>
  <c r="L51" i="7"/>
  <c r="M272" i="7" s="1"/>
  <c r="F51" i="7"/>
  <c r="F272" i="7" s="1"/>
  <c r="R50" i="7"/>
  <c r="T251" i="7" s="1"/>
  <c r="L50" i="7"/>
  <c r="M251" i="7" s="1"/>
  <c r="F50" i="7"/>
  <c r="F251" i="7" s="1"/>
  <c r="R49" i="7"/>
  <c r="T230" i="7" s="1"/>
  <c r="L49" i="7"/>
  <c r="M230" i="7" s="1"/>
  <c r="F49" i="7"/>
  <c r="F230" i="7" s="1"/>
  <c r="K48" i="7"/>
  <c r="Q48" i="7" s="1"/>
  <c r="J48" i="7"/>
  <c r="P48" i="7" s="1"/>
  <c r="H46" i="7"/>
  <c r="N46" i="7" s="1"/>
  <c r="R44" i="7"/>
  <c r="T355" i="7" s="1"/>
  <c r="L44" i="7"/>
  <c r="M355" i="7" s="1"/>
  <c r="F44" i="7"/>
  <c r="F355" i="7" s="1"/>
  <c r="R43" i="7"/>
  <c r="T334" i="7" s="1"/>
  <c r="L43" i="7"/>
  <c r="M334" i="7" s="1"/>
  <c r="F43" i="7"/>
  <c r="F334" i="7" s="1"/>
  <c r="R42" i="7"/>
  <c r="T313" i="7" s="1"/>
  <c r="L42" i="7"/>
  <c r="M313" i="7" s="1"/>
  <c r="F42" i="7"/>
  <c r="F313" i="7" s="1"/>
  <c r="R41" i="7"/>
  <c r="T292" i="7" s="1"/>
  <c r="L41" i="7"/>
  <c r="M292" i="7" s="1"/>
  <c r="F41" i="7"/>
  <c r="F292" i="7" s="1"/>
  <c r="R40" i="7"/>
  <c r="T271" i="7" s="1"/>
  <c r="L40" i="7"/>
  <c r="M271" i="7" s="1"/>
  <c r="F40" i="7"/>
  <c r="F271" i="7" s="1"/>
  <c r="R39" i="7"/>
  <c r="T250" i="7" s="1"/>
  <c r="L39" i="7"/>
  <c r="M250" i="7" s="1"/>
  <c r="F39" i="7"/>
  <c r="F250" i="7" s="1"/>
  <c r="R38" i="7"/>
  <c r="T229" i="7" s="1"/>
  <c r="L38" i="7"/>
  <c r="M229" i="7" s="1"/>
  <c r="F38" i="7"/>
  <c r="F229" i="7" s="1"/>
  <c r="K37" i="7"/>
  <c r="Q37" i="7" s="1"/>
  <c r="J37" i="7"/>
  <c r="P37" i="7" s="1"/>
  <c r="H35" i="7"/>
  <c r="N35" i="7" s="1"/>
  <c r="R33" i="7"/>
  <c r="T354" i="7" s="1"/>
  <c r="L33" i="7"/>
  <c r="M354" i="7" s="1"/>
  <c r="F33" i="7"/>
  <c r="F354" i="7" s="1"/>
  <c r="R32" i="7"/>
  <c r="T333" i="7" s="1"/>
  <c r="L32" i="7"/>
  <c r="M333" i="7" s="1"/>
  <c r="F32" i="7"/>
  <c r="F333" i="7" s="1"/>
  <c r="R31" i="7"/>
  <c r="T312" i="7" s="1"/>
  <c r="L31" i="7"/>
  <c r="M312" i="7" s="1"/>
  <c r="F31" i="7"/>
  <c r="F312" i="7" s="1"/>
  <c r="R30" i="7"/>
  <c r="T291" i="7" s="1"/>
  <c r="L30" i="7"/>
  <c r="M291" i="7" s="1"/>
  <c r="F30" i="7"/>
  <c r="F291" i="7" s="1"/>
  <c r="R29" i="7"/>
  <c r="T270" i="7" s="1"/>
  <c r="L29" i="7"/>
  <c r="M270" i="7" s="1"/>
  <c r="F29" i="7"/>
  <c r="F270" i="7" s="1"/>
  <c r="R28" i="7"/>
  <c r="T249" i="7" s="1"/>
  <c r="L28" i="7"/>
  <c r="M249" i="7" s="1"/>
  <c r="F28" i="7"/>
  <c r="F249" i="7" s="1"/>
  <c r="R27" i="7"/>
  <c r="T228" i="7" s="1"/>
  <c r="L27" i="7"/>
  <c r="M228" i="7" s="1"/>
  <c r="F27" i="7"/>
  <c r="F228" i="7" s="1"/>
  <c r="K26" i="7"/>
  <c r="Q26" i="7" s="1"/>
  <c r="J26" i="7"/>
  <c r="P26" i="7" s="1"/>
  <c r="H24" i="7"/>
  <c r="N24" i="7" s="1"/>
  <c r="R22" i="7"/>
  <c r="T353" i="7" s="1"/>
  <c r="L22" i="7"/>
  <c r="M353" i="7" s="1"/>
  <c r="F22" i="7"/>
  <c r="F353" i="7" s="1"/>
  <c r="R21" i="7"/>
  <c r="T332" i="7" s="1"/>
  <c r="L21" i="7"/>
  <c r="M332" i="7" s="1"/>
  <c r="F21" i="7"/>
  <c r="F332" i="7" s="1"/>
  <c r="R20" i="7"/>
  <c r="T311" i="7" s="1"/>
  <c r="L20" i="7"/>
  <c r="F20" i="7"/>
  <c r="F311" i="7" s="1"/>
  <c r="R19" i="7"/>
  <c r="T290" i="7" s="1"/>
  <c r="L19" i="7"/>
  <c r="M290" i="7" s="1"/>
  <c r="F19" i="7"/>
  <c r="F290" i="7" s="1"/>
  <c r="R18" i="7"/>
  <c r="T269" i="7" s="1"/>
  <c r="L18" i="7"/>
  <c r="M269" i="7" s="1"/>
  <c r="F18" i="7"/>
  <c r="F269" i="7" s="1"/>
  <c r="R17" i="7"/>
  <c r="T248" i="7" s="1"/>
  <c r="L17" i="7"/>
  <c r="M248" i="7" s="1"/>
  <c r="F17" i="7"/>
  <c r="F248" i="7" s="1"/>
  <c r="R16" i="7"/>
  <c r="T227" i="7" s="1"/>
  <c r="L16" i="7"/>
  <c r="M227" i="7" s="1"/>
  <c r="F16" i="7"/>
  <c r="F227" i="7" s="1"/>
  <c r="K15" i="7"/>
  <c r="Q15" i="7" s="1"/>
  <c r="J15" i="7"/>
  <c r="P15" i="7" s="1"/>
  <c r="H13" i="7"/>
  <c r="N13" i="7" s="1"/>
  <c r="R11" i="7"/>
  <c r="T352" i="7" s="1"/>
  <c r="L11" i="7"/>
  <c r="M352" i="7" s="1"/>
  <c r="F11" i="7"/>
  <c r="F352" i="7" s="1"/>
  <c r="R10" i="7"/>
  <c r="T331" i="7" s="1"/>
  <c r="L10" i="7"/>
  <c r="M331" i="7" s="1"/>
  <c r="F10" i="7"/>
  <c r="F331" i="7" s="1"/>
  <c r="R9" i="7"/>
  <c r="T310" i="7" s="1"/>
  <c r="L9" i="7"/>
  <c r="F9" i="7"/>
  <c r="F310" i="7" s="1"/>
  <c r="R8" i="7"/>
  <c r="T289" i="7" s="1"/>
  <c r="L8" i="7"/>
  <c r="M289" i="7" s="1"/>
  <c r="F8" i="7"/>
  <c r="F289" i="7" s="1"/>
  <c r="R7" i="7"/>
  <c r="T268" i="7" s="1"/>
  <c r="L7" i="7"/>
  <c r="M268" i="7" s="1"/>
  <c r="F7" i="7"/>
  <c r="F268" i="7" s="1"/>
  <c r="R6" i="7"/>
  <c r="T247" i="7" s="1"/>
  <c r="L6" i="7"/>
  <c r="M247" i="7" s="1"/>
  <c r="F6" i="7"/>
  <c r="F247" i="7" s="1"/>
  <c r="R5" i="7"/>
  <c r="T226" i="7" s="1"/>
  <c r="L5" i="7"/>
  <c r="M226" i="7" s="1"/>
  <c r="F5" i="7"/>
  <c r="F226" i="7" s="1"/>
  <c r="K4" i="7"/>
  <c r="Q4" i="7" s="1"/>
  <c r="J4" i="7"/>
  <c r="P4" i="7" s="1"/>
  <c r="H2" i="7"/>
  <c r="N2" i="7" s="1"/>
  <c r="AA198" i="1" l="1"/>
  <c r="Z198" i="1"/>
  <c r="Z200" i="1"/>
  <c r="AA200" i="1"/>
  <c r="AA202" i="1"/>
  <c r="Z202" i="1"/>
  <c r="I134" i="9"/>
  <c r="Z199" i="1"/>
  <c r="AA199" i="1"/>
  <c r="AA201" i="1"/>
  <c r="Z201" i="1"/>
  <c r="AD60" i="6"/>
  <c r="AE60" i="6" s="1"/>
  <c r="AJ60" i="6" s="1"/>
  <c r="M311" i="7"/>
  <c r="M310" i="7"/>
  <c r="F302" i="7"/>
  <c r="F301" i="7"/>
  <c r="F286" i="7"/>
  <c r="F285" i="7"/>
  <c r="AC443" i="8"/>
  <c r="AF443" i="8" s="1"/>
  <c r="AH443" i="8" s="1"/>
  <c r="AI443" i="8" s="1"/>
  <c r="AC445" i="8"/>
  <c r="AF445" i="8" s="1"/>
  <c r="AH445" i="8" s="1"/>
  <c r="AI445" i="8" s="1"/>
  <c r="AJ445" i="8" s="1"/>
  <c r="W304" i="8"/>
  <c r="X305" i="8" s="1"/>
  <c r="W256" i="8"/>
  <c r="X257" i="8" s="1"/>
  <c r="AI254" i="8"/>
  <c r="AI255" i="8" s="1"/>
  <c r="AI256" i="8" s="1"/>
  <c r="AI257" i="8" s="1"/>
  <c r="AI258" i="8" s="1"/>
  <c r="AB149" i="1" s="1"/>
  <c r="K82" i="9" s="1"/>
  <c r="I47" i="9"/>
  <c r="I47" i="10" s="1"/>
  <c r="I46" i="9"/>
  <c r="I46" i="10" s="1"/>
  <c r="I48" i="9"/>
  <c r="I48" i="10" s="1"/>
  <c r="I49" i="9"/>
  <c r="I49" i="10" s="1"/>
  <c r="AD64" i="6"/>
  <c r="AE64" i="6" s="1"/>
  <c r="AJ64" i="6" s="1"/>
  <c r="AI302" i="8"/>
  <c r="AI303" i="8" s="1"/>
  <c r="AI304" i="8" s="1"/>
  <c r="AJ305" i="8" s="1"/>
  <c r="V214" i="1"/>
  <c r="G147" i="9"/>
  <c r="K357" i="8"/>
  <c r="L358" i="8" s="1"/>
  <c r="I137" i="9"/>
  <c r="I137" i="10" s="1"/>
  <c r="I133" i="9"/>
  <c r="I133" i="10" s="1"/>
  <c r="I136" i="9"/>
  <c r="I136" i="10" s="1"/>
  <c r="I135" i="9"/>
  <c r="I135" i="10" s="1"/>
  <c r="I132" i="9"/>
  <c r="I132" i="10" s="1"/>
  <c r="AI280" i="8"/>
  <c r="AJ281" i="8" s="1"/>
  <c r="J111" i="9"/>
  <c r="J111" i="10" s="1"/>
  <c r="J107" i="9"/>
  <c r="J107" i="10" s="1"/>
  <c r="J109" i="9"/>
  <c r="J109" i="10" s="1"/>
  <c r="K304" i="8"/>
  <c r="L305" i="8" s="1"/>
  <c r="J108" i="9"/>
  <c r="J108" i="10" s="1"/>
  <c r="J106" i="9"/>
  <c r="J106" i="10" s="1"/>
  <c r="J100" i="9"/>
  <c r="J100" i="10" s="1"/>
  <c r="J98" i="9"/>
  <c r="J98" i="10" s="1"/>
  <c r="J96" i="9"/>
  <c r="J96" i="10" s="1"/>
  <c r="J97" i="9"/>
  <c r="J97" i="10" s="1"/>
  <c r="J99" i="9"/>
  <c r="J99" i="10" s="1"/>
  <c r="J95" i="9"/>
  <c r="J95" i="10" s="1"/>
  <c r="J89" i="9"/>
  <c r="J89" i="10" s="1"/>
  <c r="J93" i="9"/>
  <c r="J93" i="10" s="1"/>
  <c r="J92" i="9"/>
  <c r="J92" i="10" s="1"/>
  <c r="J91" i="9"/>
  <c r="J91" i="10" s="1"/>
  <c r="J88" i="9"/>
  <c r="J88" i="10" s="1"/>
  <c r="J82" i="9"/>
  <c r="J82" i="10" s="1"/>
  <c r="J86" i="9"/>
  <c r="J86" i="10" s="1"/>
  <c r="J85" i="9"/>
  <c r="J85" i="10" s="1"/>
  <c r="J84" i="9"/>
  <c r="J84" i="10" s="1"/>
  <c r="J81" i="9"/>
  <c r="J81" i="10" s="1"/>
  <c r="J78" i="9"/>
  <c r="J78" i="10" s="1"/>
  <c r="J76" i="9"/>
  <c r="J76" i="10" s="1"/>
  <c r="J79" i="9"/>
  <c r="J79" i="10" s="1"/>
  <c r="J75" i="9"/>
  <c r="J75" i="10" s="1"/>
  <c r="J77" i="9"/>
  <c r="J77" i="10" s="1"/>
  <c r="J72" i="9"/>
  <c r="J72" i="10" s="1"/>
  <c r="J58" i="10"/>
  <c r="W244" i="8"/>
  <c r="W245" i="8" s="1"/>
  <c r="W246" i="8" s="1"/>
  <c r="BG280" i="8"/>
  <c r="BH281" i="8" s="1"/>
  <c r="BG292" i="8"/>
  <c r="BH293" i="8" s="1"/>
  <c r="AC421" i="8"/>
  <c r="AF421" i="8" s="1"/>
  <c r="AH421" i="8" s="1"/>
  <c r="AI421" i="8" s="1"/>
  <c r="AJ421" i="8" s="1"/>
  <c r="I134" i="10"/>
  <c r="AU244" i="8"/>
  <c r="AU245" i="8" s="1"/>
  <c r="AU246" i="8" s="1"/>
  <c r="AB156" i="1" s="1"/>
  <c r="AU266" i="8"/>
  <c r="AU267" i="8" s="1"/>
  <c r="AU268" i="8" s="1"/>
  <c r="AV269" i="8" s="1"/>
  <c r="K321" i="8"/>
  <c r="L322" i="8" s="1"/>
  <c r="AI244" i="8"/>
  <c r="AJ245" i="8" s="1"/>
  <c r="BG244" i="8"/>
  <c r="BH245" i="8" s="1"/>
  <c r="K268" i="8"/>
  <c r="L269" i="8" s="1"/>
  <c r="K256" i="8"/>
  <c r="L257" i="8" s="1"/>
  <c r="K210" i="8"/>
  <c r="K211" i="8" s="1"/>
  <c r="K212" i="8" s="1"/>
  <c r="AB127" i="1" s="1"/>
  <c r="K59" i="9" s="1"/>
  <c r="K222" i="8"/>
  <c r="K223" i="8" s="1"/>
  <c r="K224" i="8" s="1"/>
  <c r="K225" i="8" s="1"/>
  <c r="J70" i="10"/>
  <c r="J69" i="10"/>
  <c r="J71" i="10"/>
  <c r="J68" i="10"/>
  <c r="K292" i="8"/>
  <c r="L293" i="8" s="1"/>
  <c r="K184" i="8"/>
  <c r="K185" i="8" s="1"/>
  <c r="K186" i="8" s="1"/>
  <c r="K187" i="8" s="1"/>
  <c r="K188" i="8" s="1"/>
  <c r="AB125" i="1" s="1"/>
  <c r="K57" i="9" s="1"/>
  <c r="K172" i="8"/>
  <c r="K173" i="8" s="1"/>
  <c r="K174" i="8" s="1"/>
  <c r="L175" i="8" s="1"/>
  <c r="J60" i="10"/>
  <c r="J59" i="10"/>
  <c r="K198" i="8"/>
  <c r="K199" i="8" s="1"/>
  <c r="K200" i="8" s="1"/>
  <c r="K201" i="8" s="1"/>
  <c r="AU280" i="8"/>
  <c r="AV281" i="8" s="1"/>
  <c r="K345" i="8"/>
  <c r="L346" i="8" s="1"/>
  <c r="AU292" i="8"/>
  <c r="AV293" i="8" s="1"/>
  <c r="W280" i="8"/>
  <c r="W281" i="8" s="1"/>
  <c r="W282" i="8" s="1"/>
  <c r="W292" i="8"/>
  <c r="W293" i="8" s="1"/>
  <c r="W294" i="8" s="1"/>
  <c r="K367" i="8"/>
  <c r="K368" i="8" s="1"/>
  <c r="K369" i="8" s="1"/>
  <c r="K370" i="8" s="1"/>
  <c r="K371" i="8" s="1"/>
  <c r="K381" i="8"/>
  <c r="K382" i="8" s="1"/>
  <c r="K383" i="8" s="1"/>
  <c r="AB177" i="1" s="1"/>
  <c r="K111" i="9" s="1"/>
  <c r="AI292" i="8"/>
  <c r="AJ293" i="8" s="1"/>
  <c r="W189" i="1"/>
  <c r="W191" i="1"/>
  <c r="W193" i="1"/>
  <c r="W190" i="1"/>
  <c r="W192" i="1"/>
  <c r="W194" i="1"/>
  <c r="AC431" i="8"/>
  <c r="AF431" i="8" s="1"/>
  <c r="AH431" i="8" s="1"/>
  <c r="AI431" i="8" s="1"/>
  <c r="AC433" i="8"/>
  <c r="AF433" i="8" s="1"/>
  <c r="AH433" i="8" s="1"/>
  <c r="AI433" i="8" s="1"/>
  <c r="AJ433" i="8" s="1"/>
  <c r="AC395" i="8"/>
  <c r="AF395" i="8" s="1"/>
  <c r="AH395" i="8" s="1"/>
  <c r="AI395" i="8" s="1"/>
  <c r="AC397" i="8"/>
  <c r="AF397" i="8" s="1"/>
  <c r="AH397" i="8" s="1"/>
  <c r="AI397" i="8" s="1"/>
  <c r="AJ397" i="8" s="1"/>
  <c r="AR298" i="8"/>
  <c r="AT298" i="8" s="1"/>
  <c r="AU298" i="8" s="1"/>
  <c r="AV298" i="8" s="1"/>
  <c r="AV302" i="8" s="1"/>
  <c r="AC455" i="8"/>
  <c r="AF455" i="8" s="1"/>
  <c r="AH455" i="8" s="1"/>
  <c r="AI455" i="8" s="1"/>
  <c r="AC457" i="8"/>
  <c r="AF457" i="8" s="1"/>
  <c r="AH457" i="8" s="1"/>
  <c r="AI457" i="8" s="1"/>
  <c r="AJ457" i="8" s="1"/>
  <c r="AC419" i="8"/>
  <c r="AF419" i="8" s="1"/>
  <c r="AH419" i="8" s="1"/>
  <c r="AI419" i="8" s="1"/>
  <c r="AR250" i="8"/>
  <c r="AT250" i="8" s="1"/>
  <c r="AU250" i="8" s="1"/>
  <c r="AV250" i="8" s="1"/>
  <c r="AV254" i="8" s="1"/>
  <c r="AC407" i="8"/>
  <c r="AF407" i="8" s="1"/>
  <c r="AH407" i="8" s="1"/>
  <c r="AI407" i="8" s="1"/>
  <c r="AC409" i="8"/>
  <c r="AF409" i="8" s="1"/>
  <c r="AH409" i="8" s="1"/>
  <c r="AI409" i="8" s="1"/>
  <c r="AJ409" i="8" s="1"/>
  <c r="X395" i="8"/>
  <c r="X398" i="8" s="1"/>
  <c r="W398" i="8"/>
  <c r="W399" i="8" s="1"/>
  <c r="X431" i="8"/>
  <c r="X434" i="8" s="1"/>
  <c r="W434" i="8"/>
  <c r="W435" i="8" s="1"/>
  <c r="W446" i="8"/>
  <c r="W447" i="8" s="1"/>
  <c r="X443" i="8"/>
  <c r="X446" i="8" s="1"/>
  <c r="X419" i="8"/>
  <c r="X422" i="8" s="1"/>
  <c r="W422" i="8"/>
  <c r="W423" i="8" s="1"/>
  <c r="W458" i="8"/>
  <c r="W459" i="8" s="1"/>
  <c r="X455" i="8"/>
  <c r="X458" i="8" s="1"/>
  <c r="W410" i="8"/>
  <c r="W411" i="8" s="1"/>
  <c r="X407" i="8"/>
  <c r="X410" i="8" s="1"/>
  <c r="L397" i="8"/>
  <c r="L398" i="8" s="1"/>
  <c r="K398" i="8"/>
  <c r="K399" i="8" s="1"/>
  <c r="K458" i="8"/>
  <c r="K459" i="8" s="1"/>
  <c r="L457" i="8"/>
  <c r="L458" i="8" s="1"/>
  <c r="L421" i="8"/>
  <c r="L422" i="8" s="1"/>
  <c r="K422" i="8"/>
  <c r="K423" i="8" s="1"/>
  <c r="L445" i="8"/>
  <c r="L446" i="8" s="1"/>
  <c r="K446" i="8"/>
  <c r="K447" i="8" s="1"/>
  <c r="L433" i="8"/>
  <c r="L434" i="8" s="1"/>
  <c r="K434" i="8"/>
  <c r="K435" i="8" s="1"/>
  <c r="K410" i="8"/>
  <c r="K411" i="8" s="1"/>
  <c r="L409" i="8"/>
  <c r="L410" i="8" s="1"/>
  <c r="L84" i="8"/>
  <c r="AI268" i="8"/>
  <c r="AI269" i="8" s="1"/>
  <c r="AI270" i="8" s="1"/>
  <c r="AI271" i="8" s="1"/>
  <c r="W268" i="8"/>
  <c r="W269" i="8" s="1"/>
  <c r="W270" i="8" s="1"/>
  <c r="W271" i="8" s="1"/>
  <c r="K280" i="8"/>
  <c r="K281" i="8" s="1"/>
  <c r="K282" i="8" s="1"/>
  <c r="K283" i="8" s="1"/>
  <c r="AE50" i="6"/>
  <c r="AB63" i="6"/>
  <c r="AB61" i="6"/>
  <c r="AB64" i="6"/>
  <c r="AB62" i="6"/>
  <c r="K67" i="10"/>
  <c r="K49" i="8"/>
  <c r="L50" i="8" s="1"/>
  <c r="L57" i="8"/>
  <c r="L59" i="8" s="1"/>
  <c r="K59" i="8"/>
  <c r="K60" i="8" s="1"/>
  <c r="I45" i="10"/>
  <c r="G135" i="10"/>
  <c r="G133" i="10"/>
  <c r="G134" i="10"/>
  <c r="G136" i="10"/>
  <c r="G137" i="10"/>
  <c r="G132" i="10"/>
  <c r="L245" i="8"/>
  <c r="K163" i="8"/>
  <c r="K164" i="8" s="1"/>
  <c r="AB123" i="1" s="1"/>
  <c r="K55" i="9" s="1"/>
  <c r="L163" i="8"/>
  <c r="S215" i="1"/>
  <c r="V215" i="1"/>
  <c r="S208" i="1"/>
  <c r="V208" i="1"/>
  <c r="S205" i="1"/>
  <c r="V205" i="1"/>
  <c r="S216" i="1"/>
  <c r="V216" i="1"/>
  <c r="S214" i="1"/>
  <c r="S213" i="1"/>
  <c r="V213" i="1"/>
  <c r="S210" i="1"/>
  <c r="V210" i="1"/>
  <c r="S217" i="1"/>
  <c r="V217" i="1"/>
  <c r="S206" i="1"/>
  <c r="V206" i="1"/>
  <c r="S207" i="1"/>
  <c r="V207" i="1"/>
  <c r="S209" i="1"/>
  <c r="V209" i="1"/>
  <c r="S218" i="1"/>
  <c r="V218" i="1"/>
  <c r="K333" i="8"/>
  <c r="K334" i="8" s="1"/>
  <c r="K335" i="8" s="1"/>
  <c r="AD61" i="6"/>
  <c r="AE61" i="6" s="1"/>
  <c r="AD62" i="6"/>
  <c r="AE62" i="6" s="1"/>
  <c r="AD63" i="6"/>
  <c r="AE63" i="6" s="1"/>
  <c r="AE51" i="6"/>
  <c r="I43" i="9" s="1"/>
  <c r="I43" i="10" s="1"/>
  <c r="AE48" i="6"/>
  <c r="AE49" i="6"/>
  <c r="A413" i="7"/>
  <c r="A373" i="7" s="1"/>
  <c r="B373" i="7"/>
  <c r="M302" i="7"/>
  <c r="Z216" i="1" l="1"/>
  <c r="AA216" i="1"/>
  <c r="Z215" i="1"/>
  <c r="AA215" i="1"/>
  <c r="I147" i="9"/>
  <c r="I147" i="10" s="1"/>
  <c r="Z214" i="1"/>
  <c r="AA214" i="1"/>
  <c r="Z218" i="1"/>
  <c r="AA218" i="1"/>
  <c r="AA217" i="1"/>
  <c r="Z217" i="1"/>
  <c r="Z205" i="1"/>
  <c r="AA205" i="1"/>
  <c r="Z207" i="1"/>
  <c r="AA207" i="1"/>
  <c r="AO419" i="8" s="1"/>
  <c r="AR419" i="8" s="1"/>
  <c r="AT419" i="8" s="1"/>
  <c r="AU419" i="8" s="1"/>
  <c r="Z208" i="1"/>
  <c r="AO433" i="8" s="1"/>
  <c r="AR433" i="8" s="1"/>
  <c r="AT433" i="8" s="1"/>
  <c r="AU433" i="8" s="1"/>
  <c r="AV433" i="8" s="1"/>
  <c r="AA208" i="1"/>
  <c r="Z206" i="1"/>
  <c r="AA206" i="1"/>
  <c r="AO407" i="8" s="1"/>
  <c r="AR407" i="8" s="1"/>
  <c r="AT407" i="8" s="1"/>
  <c r="AU407" i="8" s="1"/>
  <c r="Z209" i="1"/>
  <c r="AO445" i="8" s="1"/>
  <c r="AR445" i="8" s="1"/>
  <c r="AT445" i="8" s="1"/>
  <c r="AU445" i="8" s="1"/>
  <c r="AV445" i="8" s="1"/>
  <c r="AA209" i="1"/>
  <c r="AO443" i="8" s="1"/>
  <c r="AR443" i="8" s="1"/>
  <c r="AT443" i="8" s="1"/>
  <c r="AU443" i="8" s="1"/>
  <c r="AA210" i="1"/>
  <c r="Z210" i="1"/>
  <c r="AO457" i="8" s="1"/>
  <c r="AR457" i="8" s="1"/>
  <c r="AT457" i="8" s="1"/>
  <c r="AU457" i="8" s="1"/>
  <c r="AV457" i="8" s="1"/>
  <c r="AI49" i="6"/>
  <c r="AJ49" i="6"/>
  <c r="E111" i="8" s="1"/>
  <c r="H111" i="8" s="1"/>
  <c r="J111" i="8" s="1"/>
  <c r="K111" i="8" s="1"/>
  <c r="AJ61" i="6"/>
  <c r="Q98" i="8" s="1"/>
  <c r="T98" i="8" s="1"/>
  <c r="V98" i="8" s="1"/>
  <c r="W98" i="8" s="1"/>
  <c r="AI61" i="6"/>
  <c r="AJ63" i="6"/>
  <c r="Q124" i="8" s="1"/>
  <c r="T124" i="8" s="1"/>
  <c r="V124" i="8" s="1"/>
  <c r="W124" i="8" s="1"/>
  <c r="AI63" i="6"/>
  <c r="AI62" i="6"/>
  <c r="AJ62" i="6"/>
  <c r="Q111" i="8" s="1"/>
  <c r="T111" i="8" s="1"/>
  <c r="V111" i="8" s="1"/>
  <c r="W111" i="8" s="1"/>
  <c r="AI64" i="6"/>
  <c r="Q137" i="8"/>
  <c r="T137" i="8" s="1"/>
  <c r="V137" i="8" s="1"/>
  <c r="W137" i="8" s="1"/>
  <c r="AI60" i="6"/>
  <c r="I40" i="9"/>
  <c r="I40" i="10" s="1"/>
  <c r="E98" i="8"/>
  <c r="H98" i="8" s="1"/>
  <c r="J98" i="8" s="1"/>
  <c r="K98" i="8" s="1"/>
  <c r="W305" i="8"/>
  <c r="W306" i="8" s="1"/>
  <c r="AB145" i="1" s="1"/>
  <c r="K79" i="9" s="1"/>
  <c r="K79" i="10" s="1"/>
  <c r="W257" i="8"/>
  <c r="W258" i="8" s="1"/>
  <c r="W259" i="8" s="1"/>
  <c r="BA419" i="8"/>
  <c r="BD419" i="8" s="1"/>
  <c r="BF419" i="8" s="1"/>
  <c r="BG419" i="8" s="1"/>
  <c r="BH419" i="8" s="1"/>
  <c r="BA421" i="8"/>
  <c r="BD421" i="8" s="1"/>
  <c r="BF421" i="8" s="1"/>
  <c r="BG421" i="8" s="1"/>
  <c r="AO409" i="8"/>
  <c r="AR409" i="8" s="1"/>
  <c r="AT409" i="8" s="1"/>
  <c r="AU409" i="8" s="1"/>
  <c r="AV409" i="8" s="1"/>
  <c r="I41" i="9"/>
  <c r="I41" i="10" s="1"/>
  <c r="K358" i="8"/>
  <c r="K359" i="8" s="1"/>
  <c r="AB175" i="1" s="1"/>
  <c r="K109" i="9" s="1"/>
  <c r="K109" i="10" s="1"/>
  <c r="AU302" i="8"/>
  <c r="AU303" i="8" s="1"/>
  <c r="AU304" i="8" s="1"/>
  <c r="AU254" i="8"/>
  <c r="AU255" i="8" s="1"/>
  <c r="AU256" i="8" s="1"/>
  <c r="I141" i="9"/>
  <c r="I141" i="10" s="1"/>
  <c r="I144" i="9"/>
  <c r="I144" i="10" s="1"/>
  <c r="I143" i="9"/>
  <c r="I143" i="10" s="1"/>
  <c r="I140" i="9"/>
  <c r="I140" i="10" s="1"/>
  <c r="I142" i="9"/>
  <c r="I142" i="10" s="1"/>
  <c r="I139" i="9"/>
  <c r="I139" i="10" s="1"/>
  <c r="AI281" i="8"/>
  <c r="AI282" i="8" s="1"/>
  <c r="AI283" i="8" s="1"/>
  <c r="I150" i="9"/>
  <c r="I150" i="10" s="1"/>
  <c r="I151" i="9"/>
  <c r="I151" i="10" s="1"/>
  <c r="I149" i="9"/>
  <c r="I149" i="10" s="1"/>
  <c r="I148" i="9"/>
  <c r="I148" i="10" s="1"/>
  <c r="I146" i="9"/>
  <c r="I146" i="10" s="1"/>
  <c r="J130" i="9"/>
  <c r="J130" i="10" s="1"/>
  <c r="J127" i="9"/>
  <c r="J127" i="10" s="1"/>
  <c r="J128" i="9"/>
  <c r="J128" i="10" s="1"/>
  <c r="J126" i="9"/>
  <c r="J126" i="10" s="1"/>
  <c r="J129" i="9"/>
  <c r="J129" i="10" s="1"/>
  <c r="J125" i="9"/>
  <c r="J125" i="10" s="1"/>
  <c r="K305" i="8"/>
  <c r="K306" i="8" s="1"/>
  <c r="AB137" i="1" s="1"/>
  <c r="K72" i="9" s="1"/>
  <c r="K88" i="9"/>
  <c r="K88" i="10" s="1"/>
  <c r="I42" i="9"/>
  <c r="I42" i="10" s="1"/>
  <c r="X245" i="8"/>
  <c r="BG281" i="8"/>
  <c r="BG282" i="8" s="1"/>
  <c r="AB167" i="1" s="1"/>
  <c r="K98" i="9" s="1"/>
  <c r="K98" i="10" s="1"/>
  <c r="BG293" i="8"/>
  <c r="BG294" i="8" s="1"/>
  <c r="AB168" i="1" s="1"/>
  <c r="BG245" i="8"/>
  <c r="BG246" i="8" s="1"/>
  <c r="AB164" i="1" s="1"/>
  <c r="K322" i="8"/>
  <c r="K323" i="8" s="1"/>
  <c r="AB172" i="1" s="1"/>
  <c r="K269" i="8"/>
  <c r="K270" i="8" s="1"/>
  <c r="K271" i="8" s="1"/>
  <c r="AV245" i="8"/>
  <c r="K293" i="8"/>
  <c r="K294" i="8" s="1"/>
  <c r="K295" i="8" s="1"/>
  <c r="K257" i="8"/>
  <c r="K258" i="8" s="1"/>
  <c r="AB133" i="1" s="1"/>
  <c r="K68" i="9" s="1"/>
  <c r="AI245" i="8"/>
  <c r="AI246" i="8" s="1"/>
  <c r="L211" i="8"/>
  <c r="K213" i="8"/>
  <c r="L223" i="8"/>
  <c r="AB128" i="1"/>
  <c r="K60" i="9" s="1"/>
  <c r="L199" i="8"/>
  <c r="AB126" i="1"/>
  <c r="K58" i="9" s="1"/>
  <c r="K58" i="10" s="1"/>
  <c r="K57" i="10"/>
  <c r="Q85" i="8"/>
  <c r="T85" i="8" s="1"/>
  <c r="V85" i="8" s="1"/>
  <c r="W85" i="8" s="1"/>
  <c r="AE47" i="6"/>
  <c r="AF47" i="6" s="1"/>
  <c r="E124" i="8"/>
  <c r="H124" i="8" s="1"/>
  <c r="J124" i="8" s="1"/>
  <c r="K124" i="8" s="1"/>
  <c r="E137" i="8"/>
  <c r="H137" i="8" s="1"/>
  <c r="J137" i="8" s="1"/>
  <c r="K137" i="8" s="1"/>
  <c r="K346" i="8"/>
  <c r="K347" i="8" s="1"/>
  <c r="AB174" i="1" s="1"/>
  <c r="AU293" i="8"/>
  <c r="AU294" i="8" s="1"/>
  <c r="AB160" i="1" s="1"/>
  <c r="K92" i="9" s="1"/>
  <c r="AU281" i="8"/>
  <c r="AU282" i="8" s="1"/>
  <c r="AU283" i="8" s="1"/>
  <c r="X293" i="8"/>
  <c r="AK47" i="11"/>
  <c r="X281" i="8"/>
  <c r="L382" i="8"/>
  <c r="K372" i="8"/>
  <c r="AB176" i="1"/>
  <c r="L187" i="8"/>
  <c r="K189" i="8"/>
  <c r="K384" i="8"/>
  <c r="AI293" i="8"/>
  <c r="AI294" i="8" s="1"/>
  <c r="AB152" i="1" s="1"/>
  <c r="K175" i="8"/>
  <c r="K176" i="8" s="1"/>
  <c r="AB124" i="1" s="1"/>
  <c r="K56" i="9" s="1"/>
  <c r="L370" i="8"/>
  <c r="W216" i="1"/>
  <c r="J149" i="9" s="1"/>
  <c r="AI305" i="8"/>
  <c r="AI306" i="8" s="1"/>
  <c r="AB153" i="1" s="1"/>
  <c r="W201" i="1"/>
  <c r="W197" i="1"/>
  <c r="W198" i="1"/>
  <c r="W200" i="1"/>
  <c r="W202" i="1"/>
  <c r="W199" i="1"/>
  <c r="W400" i="8"/>
  <c r="X401" i="8" s="1"/>
  <c r="AI398" i="8"/>
  <c r="AI399" i="8" s="1"/>
  <c r="K448" i="8"/>
  <c r="L449" i="8" s="1"/>
  <c r="BA455" i="8"/>
  <c r="BD455" i="8" s="1"/>
  <c r="BF455" i="8" s="1"/>
  <c r="BG455" i="8" s="1"/>
  <c r="BA457" i="8"/>
  <c r="BD457" i="8" s="1"/>
  <c r="BF457" i="8" s="1"/>
  <c r="BG457" i="8" s="1"/>
  <c r="BH457" i="8" s="1"/>
  <c r="BA443" i="8"/>
  <c r="BD443" i="8" s="1"/>
  <c r="BF443" i="8" s="1"/>
  <c r="BG443" i="8" s="1"/>
  <c r="BA445" i="8"/>
  <c r="BD445" i="8" s="1"/>
  <c r="BF445" i="8" s="1"/>
  <c r="BG445" i="8" s="1"/>
  <c r="BH445" i="8" s="1"/>
  <c r="BA395" i="8"/>
  <c r="BD395" i="8" s="1"/>
  <c r="BF395" i="8" s="1"/>
  <c r="BG395" i="8" s="1"/>
  <c r="BA397" i="8"/>
  <c r="BD397" i="8" s="1"/>
  <c r="BF397" i="8" s="1"/>
  <c r="BG397" i="8" s="1"/>
  <c r="BH397" i="8" s="1"/>
  <c r="BA431" i="8"/>
  <c r="BD431" i="8" s="1"/>
  <c r="BF431" i="8" s="1"/>
  <c r="BG431" i="8" s="1"/>
  <c r="BA407" i="8"/>
  <c r="BD407" i="8" s="1"/>
  <c r="BF407" i="8" s="1"/>
  <c r="BG407" i="8" s="1"/>
  <c r="BA409" i="8"/>
  <c r="BD409" i="8" s="1"/>
  <c r="BF409" i="8" s="1"/>
  <c r="BG409" i="8" s="1"/>
  <c r="BH409" i="8" s="1"/>
  <c r="BD262" i="8"/>
  <c r="BF262" i="8" s="1"/>
  <c r="BG262" i="8" s="1"/>
  <c r="BH262" i="8" s="1"/>
  <c r="BH266" i="8" s="1"/>
  <c r="AO421" i="8"/>
  <c r="AR421" i="8" s="1"/>
  <c r="AT421" i="8" s="1"/>
  <c r="AU421" i="8" s="1"/>
  <c r="AV421" i="8" s="1"/>
  <c r="AO397" i="8"/>
  <c r="AR397" i="8" s="1"/>
  <c r="AT397" i="8" s="1"/>
  <c r="AU397" i="8" s="1"/>
  <c r="AV397" i="8" s="1"/>
  <c r="AO395" i="8"/>
  <c r="AR395" i="8" s="1"/>
  <c r="AT395" i="8" s="1"/>
  <c r="AU395" i="8" s="1"/>
  <c r="AI259" i="8"/>
  <c r="BD250" i="8"/>
  <c r="BF250" i="8" s="1"/>
  <c r="BG250" i="8" s="1"/>
  <c r="BH250" i="8" s="1"/>
  <c r="BH254" i="8" s="1"/>
  <c r="BD298" i="8"/>
  <c r="BF298" i="8" s="1"/>
  <c r="BG298" i="8" s="1"/>
  <c r="BH298" i="8" s="1"/>
  <c r="BH302" i="8" s="1"/>
  <c r="AO455" i="8"/>
  <c r="AR455" i="8" s="1"/>
  <c r="AT455" i="8" s="1"/>
  <c r="AU455" i="8" s="1"/>
  <c r="AO431" i="8"/>
  <c r="AR431" i="8" s="1"/>
  <c r="AT431" i="8" s="1"/>
  <c r="AU431" i="8" s="1"/>
  <c r="AJ395" i="8"/>
  <c r="AJ398" i="8" s="1"/>
  <c r="W460" i="8"/>
  <c r="W448" i="8"/>
  <c r="AJ419" i="8"/>
  <c r="AJ422" i="8" s="1"/>
  <c r="AI422" i="8"/>
  <c r="AI423" i="8" s="1"/>
  <c r="AJ443" i="8"/>
  <c r="AJ446" i="8" s="1"/>
  <c r="AI446" i="8"/>
  <c r="AI447" i="8" s="1"/>
  <c r="AI410" i="8"/>
  <c r="AI411" i="8" s="1"/>
  <c r="AJ407" i="8"/>
  <c r="AJ410" i="8" s="1"/>
  <c r="AJ257" i="8"/>
  <c r="AI458" i="8"/>
  <c r="AI459" i="8" s="1"/>
  <c r="AJ455" i="8"/>
  <c r="AJ458" i="8" s="1"/>
  <c r="AJ431" i="8"/>
  <c r="AJ434" i="8" s="1"/>
  <c r="AI434" i="8"/>
  <c r="AI435" i="8" s="1"/>
  <c r="K436" i="8"/>
  <c r="K424" i="8"/>
  <c r="K400" i="8"/>
  <c r="W436" i="8"/>
  <c r="W412" i="8"/>
  <c r="W424" i="8"/>
  <c r="K412" i="8"/>
  <c r="K460" i="8"/>
  <c r="AB150" i="1"/>
  <c r="AJ269" i="8"/>
  <c r="AU269" i="8"/>
  <c r="AU270" i="8" s="1"/>
  <c r="AB142" i="1"/>
  <c r="X269" i="8"/>
  <c r="AB135" i="1"/>
  <c r="K70" i="9" s="1"/>
  <c r="L281" i="8"/>
  <c r="G47" i="10"/>
  <c r="G46" i="10"/>
  <c r="G41" i="10"/>
  <c r="G40" i="10"/>
  <c r="G39" i="10"/>
  <c r="G49" i="10"/>
  <c r="G42" i="10"/>
  <c r="G45" i="10"/>
  <c r="G43" i="10"/>
  <c r="G48" i="10"/>
  <c r="AB173" i="1"/>
  <c r="K336" i="8"/>
  <c r="K50" i="8"/>
  <c r="K51" i="8" s="1"/>
  <c r="K52" i="8" s="1"/>
  <c r="K82" i="10"/>
  <c r="K59" i="10"/>
  <c r="K111" i="10"/>
  <c r="K61" i="8"/>
  <c r="K62" i="8" s="1"/>
  <c r="K63" i="8" s="1"/>
  <c r="G147" i="10"/>
  <c r="G151" i="10"/>
  <c r="G150" i="10"/>
  <c r="G149" i="10"/>
  <c r="G148" i="10"/>
  <c r="G146" i="10"/>
  <c r="G143" i="10"/>
  <c r="G140" i="10"/>
  <c r="G144" i="10"/>
  <c r="G142" i="10"/>
  <c r="G141" i="10"/>
  <c r="G139" i="10"/>
  <c r="AB140" i="1"/>
  <c r="K74" i="9" s="1"/>
  <c r="W295" i="8"/>
  <c r="AB144" i="1"/>
  <c r="K78" i="9" s="1"/>
  <c r="W283" i="8"/>
  <c r="AB143" i="1"/>
  <c r="K77" i="9" s="1"/>
  <c r="L334" i="8"/>
  <c r="C375" i="7"/>
  <c r="H375" i="7" s="1"/>
  <c r="M375" i="7" s="1"/>
  <c r="B375" i="7"/>
  <c r="G375" i="7" s="1"/>
  <c r="L375" i="7" s="1"/>
  <c r="G373" i="7"/>
  <c r="D382" i="7"/>
  <c r="A381" i="7"/>
  <c r="A380" i="7"/>
  <c r="A379" i="7"/>
  <c r="A378" i="7"/>
  <c r="A377" i="7"/>
  <c r="A376" i="7"/>
  <c r="P373" i="7"/>
  <c r="F373" i="7"/>
  <c r="C382" i="7"/>
  <c r="D381" i="7"/>
  <c r="D380" i="7"/>
  <c r="D379" i="7"/>
  <c r="D378" i="7"/>
  <c r="D377" i="7"/>
  <c r="D376" i="7"/>
  <c r="B382" i="7"/>
  <c r="C381" i="7"/>
  <c r="C380" i="7"/>
  <c r="C379" i="7"/>
  <c r="C378" i="7"/>
  <c r="C377" i="7"/>
  <c r="C376" i="7"/>
  <c r="A382" i="7"/>
  <c r="B379" i="7"/>
  <c r="B377" i="7"/>
  <c r="B380" i="7"/>
  <c r="B378" i="7"/>
  <c r="B381" i="7"/>
  <c r="B376" i="7"/>
  <c r="AB141" i="1" l="1"/>
  <c r="K75" i="9" s="1"/>
  <c r="K75" i="10" s="1"/>
  <c r="W307" i="8"/>
  <c r="K360" i="8"/>
  <c r="BG302" i="8"/>
  <c r="BG303" i="8" s="1"/>
  <c r="BG304" i="8" s="1"/>
  <c r="BG305" i="8" s="1"/>
  <c r="BG306" i="8" s="1"/>
  <c r="BG266" i="8"/>
  <c r="BG267" i="8" s="1"/>
  <c r="BG268" i="8" s="1"/>
  <c r="BH269" i="8" s="1"/>
  <c r="BG254" i="8"/>
  <c r="BG255" i="8" s="1"/>
  <c r="BG256" i="8" s="1"/>
  <c r="BH257" i="8" s="1"/>
  <c r="AB151" i="1"/>
  <c r="K84" i="9" s="1"/>
  <c r="K84" i="10" s="1"/>
  <c r="J134" i="9"/>
  <c r="J134" i="10" s="1"/>
  <c r="J137" i="9"/>
  <c r="J137" i="10" s="1"/>
  <c r="J136" i="9"/>
  <c r="J136" i="10" s="1"/>
  <c r="J135" i="9"/>
  <c r="J135" i="10" s="1"/>
  <c r="J133" i="9"/>
  <c r="J133" i="10" s="1"/>
  <c r="J132" i="9"/>
  <c r="J132" i="10" s="1"/>
  <c r="K307" i="8"/>
  <c r="K107" i="9"/>
  <c r="K107" i="10" s="1"/>
  <c r="K110" i="9"/>
  <c r="K110" i="10" s="1"/>
  <c r="K108" i="9"/>
  <c r="K108" i="10" s="1"/>
  <c r="K106" i="9"/>
  <c r="K106" i="10" s="1"/>
  <c r="K99" i="9"/>
  <c r="K99" i="10" s="1"/>
  <c r="K95" i="9"/>
  <c r="K95" i="10" s="1"/>
  <c r="K86" i="9"/>
  <c r="K86" i="10" s="1"/>
  <c r="K85" i="9"/>
  <c r="K85" i="10" s="1"/>
  <c r="K83" i="9"/>
  <c r="K83" i="10" s="1"/>
  <c r="K76" i="9"/>
  <c r="K76" i="10" s="1"/>
  <c r="K60" i="10"/>
  <c r="E85" i="8"/>
  <c r="H85" i="8" s="1"/>
  <c r="J85" i="8" s="1"/>
  <c r="K85" i="8" s="1"/>
  <c r="L85" i="8" s="1"/>
  <c r="I39" i="9"/>
  <c r="I39" i="10" s="1"/>
  <c r="BG283" i="8"/>
  <c r="BA433" i="8"/>
  <c r="BD433" i="8" s="1"/>
  <c r="BF433" i="8" s="1"/>
  <c r="BG433" i="8" s="1"/>
  <c r="BH433" i="8" s="1"/>
  <c r="BG295" i="8"/>
  <c r="AB134" i="1"/>
  <c r="AB148" i="1"/>
  <c r="AB136" i="1"/>
  <c r="K259" i="8"/>
  <c r="K70" i="10"/>
  <c r="K348" i="8"/>
  <c r="AU295" i="8"/>
  <c r="AB159" i="1"/>
  <c r="K177" i="8"/>
  <c r="AI295" i="8"/>
  <c r="W401" i="8"/>
  <c r="W402" i="8" s="1"/>
  <c r="AI307" i="8"/>
  <c r="W207" i="1"/>
  <c r="K449" i="8"/>
  <c r="K450" i="8" s="1"/>
  <c r="K451" i="8" s="1"/>
  <c r="AI400" i="8"/>
  <c r="AJ401" i="8" s="1"/>
  <c r="W213" i="1"/>
  <c r="W217" i="1"/>
  <c r="W215" i="1"/>
  <c r="W218" i="1"/>
  <c r="J149" i="10"/>
  <c r="W214" i="1"/>
  <c r="W206" i="1"/>
  <c r="W209" i="1"/>
  <c r="W208" i="1"/>
  <c r="W205" i="1"/>
  <c r="W210" i="1"/>
  <c r="BH443" i="8"/>
  <c r="BH446" i="8" s="1"/>
  <c r="BG446" i="8"/>
  <c r="BG447" i="8" s="1"/>
  <c r="BH421" i="8"/>
  <c r="BH422" i="8" s="1"/>
  <c r="BG422" i="8"/>
  <c r="BG423" i="8" s="1"/>
  <c r="AU398" i="8"/>
  <c r="AU399" i="8" s="1"/>
  <c r="AV395" i="8"/>
  <c r="AV398" i="8" s="1"/>
  <c r="BH431" i="8"/>
  <c r="AI448" i="8"/>
  <c r="AI449" i="8" s="1"/>
  <c r="AI450" i="8" s="1"/>
  <c r="BH395" i="8"/>
  <c r="BH398" i="8" s="1"/>
  <c r="BG398" i="8"/>
  <c r="BG399" i="8" s="1"/>
  <c r="BH407" i="8"/>
  <c r="BH410" i="8" s="1"/>
  <c r="BG410" i="8"/>
  <c r="BG411" i="8" s="1"/>
  <c r="BG458" i="8"/>
  <c r="BG459" i="8" s="1"/>
  <c r="BH455" i="8"/>
  <c r="BH458" i="8" s="1"/>
  <c r="W461" i="8"/>
  <c r="W462" i="8" s="1"/>
  <c r="X461" i="8"/>
  <c r="AU410" i="8"/>
  <c r="AU411" i="8" s="1"/>
  <c r="AV407" i="8"/>
  <c r="AV410" i="8" s="1"/>
  <c r="W449" i="8"/>
  <c r="W450" i="8" s="1"/>
  <c r="X449" i="8"/>
  <c r="AU458" i="8"/>
  <c r="AU459" i="8" s="1"/>
  <c r="AV455" i="8"/>
  <c r="AV458" i="8" s="1"/>
  <c r="AV419" i="8"/>
  <c r="AV422" i="8" s="1"/>
  <c r="AU422" i="8"/>
  <c r="AU423" i="8" s="1"/>
  <c r="AV431" i="8"/>
  <c r="AV434" i="8" s="1"/>
  <c r="AU434" i="8"/>
  <c r="AU435" i="8" s="1"/>
  <c r="AV443" i="8"/>
  <c r="AV446" i="8" s="1"/>
  <c r="AU446" i="8"/>
  <c r="AU447" i="8" s="1"/>
  <c r="AI436" i="8"/>
  <c r="AI460" i="8"/>
  <c r="AI424" i="8"/>
  <c r="AI412" i="8"/>
  <c r="X437" i="8"/>
  <c r="W437" i="8"/>
  <c r="W438" i="8" s="1"/>
  <c r="L401" i="8"/>
  <c r="K401" i="8"/>
  <c r="K402" i="8" s="1"/>
  <c r="X425" i="8"/>
  <c r="W425" i="8"/>
  <c r="W426" i="8" s="1"/>
  <c r="L425" i="8"/>
  <c r="K425" i="8"/>
  <c r="K426" i="8" s="1"/>
  <c r="W413" i="8"/>
  <c r="W414" i="8" s="1"/>
  <c r="X413" i="8"/>
  <c r="L437" i="8"/>
  <c r="K437" i="8"/>
  <c r="K438" i="8" s="1"/>
  <c r="K461" i="8"/>
  <c r="K462" i="8" s="1"/>
  <c r="L461" i="8"/>
  <c r="K413" i="8"/>
  <c r="K414" i="8" s="1"/>
  <c r="L413" i="8"/>
  <c r="AU271" i="8"/>
  <c r="AB158" i="1"/>
  <c r="N126" i="1"/>
  <c r="K56" i="10"/>
  <c r="K78" i="10"/>
  <c r="K68" i="10"/>
  <c r="K72" i="10"/>
  <c r="K74" i="10"/>
  <c r="K55" i="10"/>
  <c r="K77" i="10"/>
  <c r="K92" i="10"/>
  <c r="L62" i="8"/>
  <c r="K64" i="8"/>
  <c r="N127" i="1"/>
  <c r="K31" i="9" s="1"/>
  <c r="AV257" i="8"/>
  <c r="AU257" i="8"/>
  <c r="AU258" i="8" s="1"/>
  <c r="AU305" i="8"/>
  <c r="AU306" i="8" s="1"/>
  <c r="AV305" i="8"/>
  <c r="X137" i="8"/>
  <c r="X124" i="8"/>
  <c r="X111" i="8"/>
  <c r="X98" i="8"/>
  <c r="X85" i="8"/>
  <c r="L137" i="8"/>
  <c r="L124" i="8"/>
  <c r="L111" i="8"/>
  <c r="L98" i="8"/>
  <c r="T378" i="7"/>
  <c r="N394" i="7" s="1"/>
  <c r="T377" i="7"/>
  <c r="N393" i="7" s="1"/>
  <c r="L373" i="7"/>
  <c r="Q373" i="7"/>
  <c r="I382" i="7"/>
  <c r="F381" i="7"/>
  <c r="F380" i="7"/>
  <c r="F379" i="7"/>
  <c r="F378" i="7"/>
  <c r="F377" i="7"/>
  <c r="F376" i="7"/>
  <c r="H382" i="7"/>
  <c r="I381" i="7"/>
  <c r="I380" i="7"/>
  <c r="I379" i="7"/>
  <c r="I378" i="7"/>
  <c r="I377" i="7"/>
  <c r="I376" i="7"/>
  <c r="G382" i="7"/>
  <c r="H381" i="7"/>
  <c r="H380" i="7"/>
  <c r="H379" i="7"/>
  <c r="H378" i="7"/>
  <c r="H377" i="7"/>
  <c r="H376" i="7"/>
  <c r="K373" i="7"/>
  <c r="G380" i="7"/>
  <c r="G378" i="7"/>
  <c r="G381" i="7"/>
  <c r="G376" i="7"/>
  <c r="F382" i="7"/>
  <c r="G379" i="7"/>
  <c r="G377" i="7"/>
  <c r="B385" i="7"/>
  <c r="D387" i="7"/>
  <c r="D385" i="7"/>
  <c r="B387" i="7"/>
  <c r="J147" i="9" l="1"/>
  <c r="J147" i="10" s="1"/>
  <c r="J150" i="9"/>
  <c r="J150" i="10" s="1"/>
  <c r="J151" i="9"/>
  <c r="J151" i="10" s="1"/>
  <c r="J148" i="9"/>
  <c r="J148" i="10" s="1"/>
  <c r="J146" i="9"/>
  <c r="J146" i="10" s="1"/>
  <c r="J141" i="9"/>
  <c r="J141" i="10" s="1"/>
  <c r="J143" i="9"/>
  <c r="J143" i="10" s="1"/>
  <c r="J142" i="9"/>
  <c r="J142" i="10" s="1"/>
  <c r="J144" i="9"/>
  <c r="J144" i="10" s="1"/>
  <c r="J140" i="9"/>
  <c r="J140" i="10" s="1"/>
  <c r="J139" i="9"/>
  <c r="J139" i="10" s="1"/>
  <c r="K90" i="9"/>
  <c r="K90" i="10" s="1"/>
  <c r="K91" i="9"/>
  <c r="K91" i="10" s="1"/>
  <c r="K81" i="9"/>
  <c r="K81" i="10" s="1"/>
  <c r="K71" i="9"/>
  <c r="K71" i="10" s="1"/>
  <c r="K69" i="9"/>
  <c r="K69" i="10" s="1"/>
  <c r="BH434" i="8"/>
  <c r="K30" i="9"/>
  <c r="K30" i="10" s="1"/>
  <c r="BG434" i="8"/>
  <c r="BG435" i="8" s="1"/>
  <c r="AB189" i="1"/>
  <c r="AB185" i="1"/>
  <c r="AI401" i="8"/>
  <c r="AI402" i="8" s="1"/>
  <c r="BG448" i="8"/>
  <c r="BG449" i="8" s="1"/>
  <c r="BG450" i="8" s="1"/>
  <c r="BG451" i="8" s="1"/>
  <c r="AU400" i="8"/>
  <c r="AV401" i="8" s="1"/>
  <c r="AJ449" i="8"/>
  <c r="AU460" i="8"/>
  <c r="AU461" i="8" s="1"/>
  <c r="AU462" i="8" s="1"/>
  <c r="BG424" i="8"/>
  <c r="BG425" i="8" s="1"/>
  <c r="BG426" i="8" s="1"/>
  <c r="BG400" i="8"/>
  <c r="BG401" i="8" s="1"/>
  <c r="BG402" i="8" s="1"/>
  <c r="BG460" i="8"/>
  <c r="BG412" i="8"/>
  <c r="AU424" i="8"/>
  <c r="AU412" i="8"/>
  <c r="AU448" i="8"/>
  <c r="AU436" i="8"/>
  <c r="AB193" i="1"/>
  <c r="W451" i="8"/>
  <c r="W463" i="8"/>
  <c r="AB194" i="1"/>
  <c r="AJ425" i="8"/>
  <c r="AI425" i="8"/>
  <c r="AI426" i="8" s="1"/>
  <c r="AJ413" i="8"/>
  <c r="AI413" i="8"/>
  <c r="AI414" i="8" s="1"/>
  <c r="AJ461" i="8"/>
  <c r="AI461" i="8"/>
  <c r="AI462" i="8" s="1"/>
  <c r="AI451" i="8"/>
  <c r="AB201" i="1"/>
  <c r="AJ437" i="8"/>
  <c r="AI437" i="8"/>
  <c r="AI438" i="8" s="1"/>
  <c r="K439" i="8"/>
  <c r="AB184" i="1"/>
  <c r="K427" i="8"/>
  <c r="AB183" i="1"/>
  <c r="AB181" i="1"/>
  <c r="AB191" i="1"/>
  <c r="W427" i="8"/>
  <c r="W439" i="8"/>
  <c r="AB192" i="1"/>
  <c r="W415" i="8"/>
  <c r="AB190" i="1"/>
  <c r="K415" i="8"/>
  <c r="AB182" i="1"/>
  <c r="K463" i="8"/>
  <c r="AB186" i="1"/>
  <c r="K31" i="10"/>
  <c r="BG269" i="8"/>
  <c r="BG270" i="8" s="1"/>
  <c r="BG271" i="8" s="1"/>
  <c r="BH305" i="8"/>
  <c r="BG257" i="8"/>
  <c r="BG258" i="8" s="1"/>
  <c r="BG259" i="8" s="1"/>
  <c r="AB161" i="1"/>
  <c r="K93" i="9" s="1"/>
  <c r="AU307" i="8"/>
  <c r="AB157" i="1"/>
  <c r="K89" i="9" s="1"/>
  <c r="AU259" i="8"/>
  <c r="AB169" i="1"/>
  <c r="K100" i="9" s="1"/>
  <c r="BG307" i="8"/>
  <c r="C386" i="7"/>
  <c r="M393" i="7" s="1"/>
  <c r="Q381" i="7" s="1"/>
  <c r="H15" i="9" s="1"/>
  <c r="N382" i="7"/>
  <c r="K381" i="7"/>
  <c r="K380" i="7"/>
  <c r="K379" i="7"/>
  <c r="K378" i="7"/>
  <c r="K377" i="7"/>
  <c r="K376" i="7"/>
  <c r="M382" i="7"/>
  <c r="N381" i="7"/>
  <c r="N380" i="7"/>
  <c r="N379" i="7"/>
  <c r="N378" i="7"/>
  <c r="N377" i="7"/>
  <c r="N376" i="7"/>
  <c r="L382" i="7"/>
  <c r="M381" i="7"/>
  <c r="M380" i="7"/>
  <c r="M379" i="7"/>
  <c r="M378" i="7"/>
  <c r="M377" i="7"/>
  <c r="M376" i="7"/>
  <c r="L381" i="7"/>
  <c r="L376" i="7"/>
  <c r="L380" i="7"/>
  <c r="L378" i="7"/>
  <c r="K382" i="7"/>
  <c r="L379" i="7"/>
  <c r="L377" i="7"/>
  <c r="G385" i="7"/>
  <c r="I385" i="7"/>
  <c r="I387" i="7"/>
  <c r="G387" i="7"/>
  <c r="K136" i="9" l="1"/>
  <c r="K136" i="10" s="1"/>
  <c r="K129" i="9"/>
  <c r="K129" i="10" s="1"/>
  <c r="K128" i="9"/>
  <c r="K128" i="10" s="1"/>
  <c r="K130" i="9"/>
  <c r="K130" i="10" s="1"/>
  <c r="K127" i="9"/>
  <c r="K127" i="10" s="1"/>
  <c r="K126" i="9"/>
  <c r="K126" i="10" s="1"/>
  <c r="K125" i="9"/>
  <c r="K125" i="10" s="1"/>
  <c r="K119" i="9"/>
  <c r="K119" i="10" s="1"/>
  <c r="K121" i="9"/>
  <c r="K121" i="10" s="1"/>
  <c r="K122" i="9"/>
  <c r="K122" i="10" s="1"/>
  <c r="K123" i="9"/>
  <c r="K123" i="10" s="1"/>
  <c r="K120" i="9"/>
  <c r="K120" i="10" s="1"/>
  <c r="K118" i="9"/>
  <c r="K118" i="10" s="1"/>
  <c r="BG436" i="8"/>
  <c r="BG437" i="8" s="1"/>
  <c r="BG438" i="8" s="1"/>
  <c r="BG439" i="8" s="1"/>
  <c r="BH449" i="8"/>
  <c r="AB217" i="1"/>
  <c r="AB197" i="1"/>
  <c r="AU401" i="8"/>
  <c r="AU402" i="8" s="1"/>
  <c r="AB205" i="1" s="1"/>
  <c r="AV461" i="8"/>
  <c r="BH425" i="8"/>
  <c r="BH401" i="8"/>
  <c r="BG413" i="8"/>
  <c r="BG414" i="8" s="1"/>
  <c r="BH413" i="8"/>
  <c r="BG461" i="8"/>
  <c r="BG462" i="8" s="1"/>
  <c r="BH461" i="8"/>
  <c r="AB213" i="1"/>
  <c r="AV425" i="8"/>
  <c r="AU425" i="8"/>
  <c r="AU426" i="8" s="1"/>
  <c r="AU413" i="8"/>
  <c r="AU414" i="8" s="1"/>
  <c r="AV413" i="8"/>
  <c r="AU437" i="8"/>
  <c r="AU438" i="8" s="1"/>
  <c r="AV437" i="8"/>
  <c r="AV449" i="8"/>
  <c r="AU449" i="8"/>
  <c r="AU450" i="8" s="1"/>
  <c r="AU463" i="8"/>
  <c r="AB210" i="1"/>
  <c r="AI415" i="8"/>
  <c r="AB198" i="1"/>
  <c r="AB200" i="1"/>
  <c r="AI439" i="8"/>
  <c r="AB202" i="1"/>
  <c r="AI463" i="8"/>
  <c r="AI427" i="8"/>
  <c r="AB199" i="1"/>
  <c r="K100" i="10"/>
  <c r="K89" i="10"/>
  <c r="K93" i="10"/>
  <c r="AB166" i="1"/>
  <c r="K97" i="9" s="1"/>
  <c r="AB165" i="1"/>
  <c r="K96" i="9" s="1"/>
  <c r="AB215" i="1"/>
  <c r="K148" i="9" s="1"/>
  <c r="BG427" i="8"/>
  <c r="H386" i="7"/>
  <c r="R378" i="7" s="1"/>
  <c r="M394" i="7" s="1"/>
  <c r="Q382" i="7" s="1"/>
  <c r="H16" i="9" s="1"/>
  <c r="AB216" i="1" l="1"/>
  <c r="K149" i="9" s="1"/>
  <c r="K149" i="10" s="1"/>
  <c r="K150" i="9"/>
  <c r="K150" i="10" s="1"/>
  <c r="K146" i="9"/>
  <c r="K146" i="10" s="1"/>
  <c r="K144" i="9"/>
  <c r="K144" i="10" s="1"/>
  <c r="K139" i="9"/>
  <c r="K139" i="10" s="1"/>
  <c r="K134" i="9"/>
  <c r="K134" i="10" s="1"/>
  <c r="K135" i="9"/>
  <c r="K135" i="10" s="1"/>
  <c r="K137" i="9"/>
  <c r="K137" i="10" s="1"/>
  <c r="K133" i="9"/>
  <c r="K133" i="10" s="1"/>
  <c r="K132" i="9"/>
  <c r="K132" i="10" s="1"/>
  <c r="BH437" i="8"/>
  <c r="BG415" i="8"/>
  <c r="AB214" i="1"/>
  <c r="AB218" i="1"/>
  <c r="BG463" i="8"/>
  <c r="AU415" i="8"/>
  <c r="AB206" i="1"/>
  <c r="AU427" i="8"/>
  <c r="AB207" i="1"/>
  <c r="AU451" i="8"/>
  <c r="AB209" i="1"/>
  <c r="AU439" i="8"/>
  <c r="AB208" i="1"/>
  <c r="K148" i="10"/>
  <c r="K96" i="10"/>
  <c r="K97" i="10"/>
  <c r="K151" i="9" l="1"/>
  <c r="K151" i="10" s="1"/>
  <c r="K147" i="9"/>
  <c r="K147" i="10" s="1"/>
  <c r="K141" i="9"/>
  <c r="K141" i="10" s="1"/>
  <c r="K143" i="9"/>
  <c r="K143" i="10" s="1"/>
  <c r="K140" i="9"/>
  <c r="K140" i="10" s="1"/>
  <c r="K142" i="9"/>
  <c r="K142" i="10" s="1"/>
  <c r="Q383" i="7"/>
  <c r="N67" i="6"/>
  <c r="M67" i="6"/>
  <c r="L67" i="6"/>
  <c r="N66" i="6"/>
  <c r="M66" i="6"/>
  <c r="L66" i="6"/>
  <c r="N65" i="6"/>
  <c r="M65" i="6"/>
  <c r="L65" i="6"/>
  <c r="N64" i="6"/>
  <c r="M64" i="6"/>
  <c r="L64" i="6"/>
  <c r="N63" i="6"/>
  <c r="M63" i="6"/>
  <c r="L63" i="6"/>
  <c r="N62" i="6"/>
  <c r="M62" i="6"/>
  <c r="L62" i="6"/>
  <c r="L37" i="6"/>
  <c r="C37" i="6"/>
  <c r="K17" i="6"/>
  <c r="O34" i="6" s="1"/>
  <c r="W14" i="6"/>
  <c r="O14" i="6" l="1"/>
  <c r="O15" i="6"/>
  <c r="O35" i="6"/>
  <c r="A46" i="6"/>
  <c r="O61" i="6"/>
  <c r="K60" i="6" s="1"/>
  <c r="B48" i="6"/>
  <c r="B46" i="6"/>
  <c r="G47" i="6"/>
  <c r="W15" i="6"/>
  <c r="G35" i="6"/>
  <c r="B47" i="6"/>
  <c r="B49" i="6"/>
  <c r="F47" i="6"/>
  <c r="F51" i="6" l="1"/>
  <c r="F55" i="6"/>
  <c r="F50" i="6"/>
  <c r="F52" i="6"/>
  <c r="F56" i="6"/>
  <c r="F53" i="6"/>
  <c r="F57" i="6"/>
  <c r="F54" i="6"/>
  <c r="B68" i="6"/>
  <c r="K117" i="1"/>
  <c r="J117" i="1"/>
  <c r="J111" i="1"/>
  <c r="L111" i="1" s="1"/>
  <c r="J104" i="1"/>
  <c r="L104" i="1" s="1"/>
  <c r="J99" i="1"/>
  <c r="J98" i="1"/>
  <c r="J97" i="1"/>
  <c r="J96" i="1"/>
  <c r="J93" i="1"/>
  <c r="J90" i="1"/>
  <c r="J86" i="1"/>
  <c r="L77" i="1"/>
  <c r="K77" i="1"/>
  <c r="L74" i="1"/>
  <c r="K74" i="1"/>
  <c r="L69" i="1"/>
  <c r="K69" i="1"/>
  <c r="L66" i="1"/>
  <c r="L65" i="1"/>
  <c r="L62" i="1"/>
  <c r="K62" i="1"/>
  <c r="L63" i="1"/>
  <c r="K66" i="1"/>
  <c r="K65" i="1"/>
  <c r="K63" i="1"/>
  <c r="L58" i="1"/>
  <c r="L54" i="1"/>
  <c r="K54" i="1"/>
  <c r="K58" i="1"/>
  <c r="L52" i="1"/>
  <c r="K52" i="1"/>
  <c r="L51" i="1"/>
  <c r="K51" i="1"/>
  <c r="J64" i="1"/>
  <c r="J63" i="1"/>
  <c r="J62" i="1"/>
  <c r="J43" i="1"/>
  <c r="L43" i="1" s="1"/>
  <c r="J42" i="1"/>
  <c r="L42" i="1" s="1"/>
  <c r="J41" i="1"/>
  <c r="L41" i="1" s="1"/>
  <c r="J44" i="1"/>
  <c r="L44" i="1" s="1"/>
  <c r="J40" i="1"/>
  <c r="L40" i="1" s="1"/>
  <c r="J39" i="1"/>
  <c r="L39" i="1" s="1"/>
  <c r="M23" i="1"/>
  <c r="M24" i="1"/>
  <c r="L35" i="1"/>
  <c r="L34" i="1"/>
  <c r="L33" i="1"/>
  <c r="L32" i="1"/>
  <c r="M31" i="1"/>
  <c r="M30" i="1"/>
  <c r="M29" i="1"/>
  <c r="M28" i="1"/>
  <c r="M27" i="1"/>
  <c r="M26" i="1"/>
  <c r="K26" i="1"/>
  <c r="L26" i="1" s="1"/>
  <c r="M25" i="1"/>
  <c r="J25" i="1"/>
  <c r="L25" i="1" s="1"/>
  <c r="J17" i="1"/>
  <c r="L17" i="1" s="1"/>
  <c r="J16" i="1"/>
  <c r="L16" i="1" s="1"/>
  <c r="J14" i="1"/>
  <c r="L15" i="1" s="1"/>
  <c r="M51" i="1" l="1"/>
  <c r="AF48" i="6"/>
  <c r="Q100" i="8"/>
  <c r="Q113" i="8"/>
  <c r="E126" i="8"/>
  <c r="Q126" i="8"/>
  <c r="Q139" i="8"/>
  <c r="E139" i="8"/>
  <c r="E87" i="8"/>
  <c r="J39" i="9"/>
  <c r="J39" i="10" s="1"/>
  <c r="M54" i="1"/>
  <c r="Q87" i="8"/>
  <c r="B165" i="5"/>
  <c r="C160" i="9" s="1"/>
  <c r="C160" i="10" s="1"/>
  <c r="M69" i="1"/>
  <c r="M52" i="1"/>
  <c r="L117" i="1"/>
  <c r="M63" i="1"/>
  <c r="M65" i="1"/>
  <c r="M58" i="1"/>
  <c r="L24" i="1"/>
  <c r="M77" i="1"/>
  <c r="M74" i="1"/>
  <c r="M62" i="1"/>
  <c r="M66" i="1"/>
  <c r="L14" i="1"/>
  <c r="E100" i="8" l="1"/>
  <c r="H100" i="8" s="1"/>
  <c r="J100" i="8" s="1"/>
  <c r="K100" i="8" s="1"/>
  <c r="AF64" i="6"/>
  <c r="J49" i="9" s="1"/>
  <c r="AF63" i="6"/>
  <c r="J48" i="9" s="1"/>
  <c r="AF62" i="6"/>
  <c r="J47" i="9" s="1"/>
  <c r="T113" i="8"/>
  <c r="V113" i="8" s="1"/>
  <c r="W113" i="8" s="1"/>
  <c r="AF61" i="6"/>
  <c r="J46" i="9" s="1"/>
  <c r="T100" i="8"/>
  <c r="V100" i="8" s="1"/>
  <c r="W100" i="8" s="1"/>
  <c r="AF60" i="6"/>
  <c r="T87" i="8"/>
  <c r="V87" i="8" s="1"/>
  <c r="W87" i="8" s="1"/>
  <c r="AF51" i="6"/>
  <c r="H139" i="8"/>
  <c r="J139" i="8" s="1"/>
  <c r="K139" i="8" s="1"/>
  <c r="AF50" i="6"/>
  <c r="H126" i="8"/>
  <c r="J126" i="8" s="1"/>
  <c r="K126" i="8" s="1"/>
  <c r="T126" i="8"/>
  <c r="V126" i="8" s="1"/>
  <c r="W126" i="8" s="1"/>
  <c r="T139" i="8"/>
  <c r="V139" i="8" s="1"/>
  <c r="W139" i="8" s="1"/>
  <c r="H87" i="8"/>
  <c r="J87" i="8" s="1"/>
  <c r="K87" i="8" s="1"/>
  <c r="J47" i="10" l="1"/>
  <c r="J48" i="10"/>
  <c r="J46" i="10"/>
  <c r="J49" i="10"/>
  <c r="J45" i="9"/>
  <c r="J45" i="10" s="1"/>
  <c r="J40" i="9"/>
  <c r="J40" i="10" s="1"/>
  <c r="J42" i="9"/>
  <c r="J42" i="10" s="1"/>
  <c r="J43" i="9"/>
  <c r="J43" i="10" s="1"/>
  <c r="L87" i="8"/>
  <c r="L88" i="8" s="1"/>
  <c r="K88" i="8"/>
  <c r="K89" i="8" s="1"/>
  <c r="X139" i="8"/>
  <c r="X140" i="8" s="1"/>
  <c r="W140" i="8"/>
  <c r="W141" i="8" s="1"/>
  <c r="L100" i="8"/>
  <c r="L101" i="8" s="1"/>
  <c r="K101" i="8"/>
  <c r="K102" i="8" s="1"/>
  <c r="L139" i="8"/>
  <c r="L140" i="8" s="1"/>
  <c r="K140" i="8"/>
  <c r="K141" i="8" s="1"/>
  <c r="X87" i="8"/>
  <c r="X88" i="8" s="1"/>
  <c r="W88" i="8"/>
  <c r="W89" i="8" s="1"/>
  <c r="X113" i="8"/>
  <c r="X114" i="8" s="1"/>
  <c r="W114" i="8"/>
  <c r="W115" i="8" s="1"/>
  <c r="X100" i="8"/>
  <c r="X101" i="8" s="1"/>
  <c r="W101" i="8"/>
  <c r="W102" i="8" s="1"/>
  <c r="X126" i="8"/>
  <c r="X127" i="8" s="1"/>
  <c r="W127" i="8"/>
  <c r="W128" i="8" s="1"/>
  <c r="L126" i="8"/>
  <c r="L127" i="8" s="1"/>
  <c r="K127" i="8"/>
  <c r="K128" i="8" s="1"/>
  <c r="K129" i="8" l="1"/>
  <c r="W103" i="8"/>
  <c r="W90" i="8"/>
  <c r="K103" i="8"/>
  <c r="W142" i="8"/>
  <c r="W129" i="8"/>
  <c r="W116" i="8"/>
  <c r="K142" i="8"/>
  <c r="K90" i="8"/>
  <c r="X143" i="8" l="1"/>
  <c r="W143" i="8"/>
  <c r="W144" i="8" s="1"/>
  <c r="L130" i="8"/>
  <c r="K130" i="8"/>
  <c r="K131" i="8" s="1"/>
  <c r="K143" i="8"/>
  <c r="K144" i="8" s="1"/>
  <c r="L143" i="8"/>
  <c r="L104" i="8"/>
  <c r="K104" i="8"/>
  <c r="K105" i="8" s="1"/>
  <c r="W117" i="8"/>
  <c r="W118" i="8" s="1"/>
  <c r="X117" i="8"/>
  <c r="X91" i="8"/>
  <c r="W91" i="8"/>
  <c r="W92" i="8" s="1"/>
  <c r="K91" i="8"/>
  <c r="K92" i="8" s="1"/>
  <c r="L91" i="8"/>
  <c r="W130" i="8"/>
  <c r="W131" i="8" s="1"/>
  <c r="X130" i="8"/>
  <c r="X104" i="8"/>
  <c r="W104" i="8"/>
  <c r="W105" i="8" s="1"/>
  <c r="AK47" i="6" l="1"/>
  <c r="K39" i="9" s="1"/>
  <c r="AK64" i="6"/>
  <c r="K49" i="9" s="1"/>
  <c r="K49" i="10" s="1"/>
  <c r="W145" i="8"/>
  <c r="K93" i="8"/>
  <c r="W119" i="8"/>
  <c r="AK62" i="6"/>
  <c r="K47" i="9" s="1"/>
  <c r="K145" i="8"/>
  <c r="AK51" i="6"/>
  <c r="AK63" i="6"/>
  <c r="K48" i="9" s="1"/>
  <c r="W132" i="8"/>
  <c r="W106" i="8"/>
  <c r="AK61" i="6"/>
  <c r="K46" i="9" s="1"/>
  <c r="W93" i="8"/>
  <c r="AK60" i="6"/>
  <c r="K106" i="8"/>
  <c r="AK48" i="6"/>
  <c r="AK50" i="6"/>
  <c r="K132" i="8"/>
  <c r="K47" i="10" l="1"/>
  <c r="K46" i="10"/>
  <c r="K48" i="10"/>
  <c r="K45" i="9"/>
  <c r="K45" i="10" s="1"/>
  <c r="K40" i="9"/>
  <c r="K40" i="10" s="1"/>
  <c r="K43" i="9"/>
  <c r="K43" i="10" s="1"/>
  <c r="K42" i="9"/>
  <c r="K42" i="10" s="1"/>
  <c r="K39" i="10"/>
  <c r="L124" i="1"/>
  <c r="E22" i="8" s="1"/>
  <c r="H22" i="8" s="1"/>
  <c r="J22" i="8" s="1"/>
  <c r="K22" i="8" s="1"/>
  <c r="AF49" i="6"/>
  <c r="J41" i="9" s="1"/>
  <c r="J41" i="10" s="1"/>
  <c r="L22" i="8" l="1"/>
  <c r="L23" i="8" s="1"/>
  <c r="K23" i="8"/>
  <c r="K24" i="8" s="1"/>
  <c r="E113" i="8"/>
  <c r="H113" i="8" s="1"/>
  <c r="J113" i="8" s="1"/>
  <c r="K113" i="8" s="1"/>
  <c r="I124" i="1"/>
  <c r="J28" i="9" s="1"/>
  <c r="J28" i="10" s="1"/>
  <c r="K25" i="8" l="1"/>
  <c r="L26" i="8" s="1"/>
  <c r="K114" i="8"/>
  <c r="K115" i="8" s="1"/>
  <c r="L113" i="8"/>
  <c r="L114" i="8" s="1"/>
  <c r="K26" i="8" l="1"/>
  <c r="K27" i="8" s="1"/>
  <c r="K28" i="8" s="1"/>
  <c r="K116" i="8"/>
  <c r="N124" i="1" l="1"/>
  <c r="K28" i="9" s="1"/>
  <c r="K28" i="10" s="1"/>
  <c r="L117" i="8"/>
  <c r="K117" i="8"/>
  <c r="K118" i="8" s="1"/>
  <c r="AK49" i="6" s="1"/>
  <c r="K41" i="9" l="1"/>
  <c r="K41" i="10" s="1"/>
  <c r="K11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PC-Sapras</author>
  </authors>
  <commentList>
    <comment ref="H2" authorId="0" shapeId="0" xr:uid="{7C291D69-D1DF-4F47-884B-D8E231FE4BDB}">
      <text>
        <r>
          <rPr>
            <b/>
            <sz val="14"/>
            <color indexed="81"/>
            <rFont val="Calibri"/>
            <family val="2"/>
            <scheme val="minor"/>
          </rPr>
          <t xml:space="preserve">sisipkan </t>
        </r>
        <r>
          <rPr>
            <b/>
            <u/>
            <sz val="14"/>
            <color indexed="81"/>
            <rFont val="Calibri"/>
            <family val="2"/>
            <scheme val="minor"/>
          </rPr>
          <t xml:space="preserve">" </t>
        </r>
        <r>
          <rPr>
            <b/>
            <u/>
            <sz val="16"/>
            <color indexed="81"/>
            <rFont val="Calibri"/>
            <family val="2"/>
            <scheme val="minor"/>
          </rPr>
          <t>spasi "</t>
        </r>
        <r>
          <rPr>
            <b/>
            <sz val="14"/>
            <color indexed="81"/>
            <rFont val="Calibri"/>
            <family val="2"/>
            <scheme val="minor"/>
          </rPr>
          <t xml:space="preserve"> untuk memberi jeda antara "no sertifikat dengan kode unik"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PC-Sapras</author>
  </authors>
  <commentList>
    <comment ref="I2" authorId="0" shapeId="0" xr:uid="{1A1664BD-DDDA-41CF-978E-825A46663949}">
      <text>
        <r>
          <rPr>
            <b/>
            <sz val="14"/>
            <color indexed="81"/>
            <rFont val="Calibri"/>
            <family val="2"/>
            <scheme val="minor"/>
          </rPr>
          <t xml:space="preserve">sisipkan </t>
        </r>
        <r>
          <rPr>
            <b/>
            <u/>
            <sz val="14"/>
            <color indexed="81"/>
            <rFont val="Calibri"/>
            <family val="2"/>
            <scheme val="minor"/>
          </rPr>
          <t xml:space="preserve">" </t>
        </r>
        <r>
          <rPr>
            <b/>
            <u/>
            <sz val="16"/>
            <color indexed="81"/>
            <rFont val="Calibri"/>
            <family val="2"/>
            <scheme val="minor"/>
          </rPr>
          <t>spasi "</t>
        </r>
        <r>
          <rPr>
            <b/>
            <sz val="14"/>
            <color indexed="81"/>
            <rFont val="Calibri"/>
            <family val="2"/>
            <scheme val="minor"/>
          </rPr>
          <t xml:space="preserve"> untuk memberi jeda antara "no sertifikat dengan kode unik"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73" authorId="0" shapeId="0" xr:uid="{3471D114-76A7-4A95-B0F5-3DD80CC46ACC}">
      <text>
        <r>
          <rPr>
            <b/>
            <sz val="20"/>
            <color indexed="81"/>
            <rFont val="Tahoma"/>
            <family val="2"/>
          </rPr>
          <t>INSULATION RESISTANCE</t>
        </r>
      </text>
    </comment>
    <comment ref="B174" authorId="0" shapeId="0" xr:uid="{1F364C0F-958B-49CF-BDB5-12A1C7163954}">
      <text>
        <r>
          <rPr>
            <b/>
            <sz val="20"/>
            <color indexed="81"/>
            <rFont val="Tahoma"/>
            <family val="2"/>
          </rPr>
          <t>EARTH RESISTANCE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MyBook PRO K5</author>
  </authors>
  <commentList>
    <comment ref="AG49" authorId="0" shapeId="0" xr:uid="{08040D85-45DA-4012-A853-BF66E2A82A95}">
      <text>
        <r>
          <rPr>
            <sz val="9"/>
            <color indexed="81"/>
            <rFont val="Tahoma"/>
            <family val="2"/>
          </rPr>
          <t xml:space="preserve">dibuat beda, evaluasi di tahap 2
</t>
        </r>
      </text>
    </comment>
  </commentList>
</comments>
</file>

<file path=xl/sharedStrings.xml><?xml version="1.0" encoding="utf-8"?>
<sst xmlns="http://schemas.openxmlformats.org/spreadsheetml/2006/main" count="4768" uniqueCount="309">
  <si>
    <t>INPUT SERTIFIKAT THERMOHYGROMETER</t>
  </si>
  <si>
    <t>KOREKSI KIMO THERMOHYGROMETER 15062873</t>
  </si>
  <si>
    <t>Suhu</t>
  </si>
  <si>
    <t>Tahun</t>
  </si>
  <si>
    <t>DRIFT</t>
  </si>
  <si>
    <t>Kelembaban</t>
  </si>
  <si>
    <t>Tekanan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</si>
  <si>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</si>
  <si>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%RH</t>
  </si>
  <si>
    <t>hPa</t>
  </si>
  <si>
    <t>-</t>
  </si>
  <si>
    <t>KOREKSI KIMO THERMOHYGROMETER 15062874</t>
  </si>
  <si>
    <t>U95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</si>
  <si>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</si>
  <si>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</si>
  <si>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</si>
  <si>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</si>
  <si>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</si>
  <si>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</si>
  <si>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</si>
  <si>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</si>
  <si>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</si>
  <si>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</si>
  <si>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</si>
  <si>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</si>
  <si>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</si>
  <si>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</si>
  <si>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</si>
  <si>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</si>
  <si>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</si>
  <si>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No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</si>
  <si>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</si>
  <si>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</si>
  <si>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</si>
  <si>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Rata-rata standar</t>
  </si>
  <si>
    <t>Rata-rata Terkoreksi</t>
  </si>
  <si>
    <t>STDEV</t>
  </si>
  <si>
    <t>HASIL</t>
  </si>
  <si>
    <t>INTERPOLASI KOREKSI SUHU</t>
  </si>
  <si>
    <t>INTERPOLASI KOREKSI KELEMBABAN</t>
  </si>
  <si>
    <t>Konversi TEXT</t>
  </si>
  <si>
    <t xml:space="preserve">Thermohygrolight, Merek : KIMO, Model : KH-210-AO, SN : 15062873 </t>
  </si>
  <si>
    <t xml:space="preserve"> °C</t>
  </si>
  <si>
    <t xml:space="preserve">Thermohygrolight, Merek : KIMO, Model : KH-210-AO, SN : 15062874 </t>
  </si>
  <si>
    <t xml:space="preserve"> %RH</t>
  </si>
  <si>
    <t>Thermohygrolight, Merek : KIMO, Model : KH-210-AO, SN : 14082463</t>
  </si>
  <si>
    <t xml:space="preserve">Thermohygrolight, Merek : KIMO, Model : KH-210-AO, SN : 15062872 </t>
  </si>
  <si>
    <t xml:space="preserve">( </t>
  </si>
  <si>
    <t xml:space="preserve"> ± </t>
  </si>
  <si>
    <t xml:space="preserve"> )</t>
  </si>
  <si>
    <t xml:space="preserve">Thermohygrolight, Merek : KIMO, Model : KH-210-AO, SN : 15062875 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</si>
  <si>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</si>
  <si>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</si>
  <si>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</si>
  <si>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</si>
  <si>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</si>
  <si>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</si>
  <si>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Thermohygrolight, Merek : EXTECH, Model : SD700, SN : A.100586</t>
  </si>
  <si>
    <t>Thermohygrolight, Merek : EXTECH, Model : SD700, SN : A.100605</t>
  </si>
  <si>
    <t>Thermohygrolight, Merek : EXTECH, Model : SD700, SN : A.100609</t>
  </si>
  <si>
    <t>Thermohygrolight, Merek : EXTECH, Model : SD700, SN : A.100611</t>
  </si>
  <si>
    <t>Thermohygrolight, Merek : EXTECH, Model : SD700, SN : A.100616</t>
  </si>
  <si>
    <t>Thermohygrolight, Merek : EXTECH, Model : SD700, SN : A.100617</t>
  </si>
  <si>
    <t>Thermohygrolight, Merek : EXTECH, Model : SD700, SN : A.100618</t>
  </si>
  <si>
    <t>Thermohygrolight, Merek : EXTECH, Model : SD700, SN : A.100615</t>
  </si>
  <si>
    <r>
      <t xml:space="preserve">TEMP 20 </t>
    </r>
    <r>
      <rPr>
        <sz val="10"/>
        <rFont val="Calibri"/>
        <family val="2"/>
      </rPr>
      <t>±</t>
    </r>
    <r>
      <rPr>
        <sz val="9.6"/>
        <rFont val="Arial"/>
        <family val="2"/>
      </rPr>
      <t xml:space="preserve"> 1 HUMIDITY 50 ± 10 %RH</t>
    </r>
  </si>
  <si>
    <t>KOREKSI RESISTANCE BOX</t>
  </si>
  <si>
    <t>U 95</t>
  </si>
  <si>
    <t>Resistance</t>
  </si>
  <si>
    <r>
      <t>( M</t>
    </r>
    <r>
      <rPr>
        <b/>
        <sz val="8"/>
        <rFont val="Calibri"/>
        <family val="2"/>
      </rPr>
      <t>Ω</t>
    </r>
    <r>
      <rPr>
        <b/>
        <i/>
        <sz val="8"/>
        <rFont val="Times New Roman"/>
        <family val="1"/>
      </rPr>
      <t xml:space="preserve"> )</t>
    </r>
  </si>
  <si>
    <t>(20 ppm + 0.5 mΩ)</t>
  </si>
  <si>
    <t>Rekal</t>
  </si>
  <si>
    <t>Satuan</t>
  </si>
  <si>
    <t>Setting Standar</t>
  </si>
  <si>
    <t>Penunjukan Std Terkoreksi</t>
  </si>
  <si>
    <t>Rata-rata Pembacaan Alat</t>
  </si>
  <si>
    <t>Interpolasi Koreksi</t>
  </si>
  <si>
    <t>Pembacaan Alat Terkoreksi</t>
  </si>
  <si>
    <t xml:space="preserve">Koreksi
</t>
  </si>
  <si>
    <t>Resolusi</t>
  </si>
  <si>
    <t>Interpolasi Drift</t>
  </si>
  <si>
    <t>Interpolasi U95</t>
  </si>
  <si>
    <t>&gt; 2</t>
  </si>
  <si>
    <t>Rekalibrasi</t>
  </si>
  <si>
    <t>Tahun Kalibrasi</t>
  </si>
  <si>
    <t>A</t>
  </si>
  <si>
    <t>Hasil Kalibrasi Earth Resistance tertelusur ke Satuan Internasional ( SI ) melalui LIPI</t>
  </si>
  <si>
    <t>B</t>
  </si>
  <si>
    <t>Hasil Kalibrasi Earth Resistance tertelusur ke Satuan Internasional ( SI ) melalui UKAS</t>
  </si>
  <si>
    <t>C</t>
  </si>
  <si>
    <t>D</t>
  </si>
  <si>
    <t>E</t>
  </si>
  <si>
    <t>F</t>
  </si>
  <si>
    <t>Ketidakpastian Kalibrasi Earth Resistance dilaporkan pada tingkat kepercayaan 95 % dengan faktor cakupan k = 2</t>
  </si>
  <si>
    <t>LEMBAR KERJA KALIBRASI ELECTRICAL SAFETY ANALYZER ( ESA )</t>
  </si>
  <si>
    <t>Nomor Sertifikat : 87 /</t>
  </si>
  <si>
    <t>Merek</t>
  </si>
  <si>
    <t>:</t>
  </si>
  <si>
    <t>Model/Type</t>
  </si>
  <si>
    <t>No. Seri</t>
  </si>
  <si>
    <t>Tanggal Penerimaan Alat</t>
  </si>
  <si>
    <t>Tanggal Kalibrasi</t>
  </si>
  <si>
    <t>Nama Ruang</t>
  </si>
  <si>
    <t>Tempat Kalibrasi</t>
  </si>
  <si>
    <t>Metode Kerja</t>
  </si>
  <si>
    <t>MK.093-19</t>
  </si>
  <si>
    <t xml:space="preserve">I.     </t>
  </si>
  <si>
    <t>Kondisi Ruang</t>
  </si>
  <si>
    <t>Awal</t>
  </si>
  <si>
    <t>Akhir</t>
  </si>
  <si>
    <t xml:space="preserve">1. Suhu </t>
  </si>
  <si>
    <t>°C</t>
  </si>
  <si>
    <t xml:space="preserve">2. Kelembaban </t>
  </si>
  <si>
    <t xml:space="preserve">II.     </t>
  </si>
  <si>
    <t>Hasil Pemeriksaan Kondisi Fisik dan Fungsi alat</t>
  </si>
  <si>
    <t>1. Fisik</t>
  </si>
  <si>
    <t>2. Fungsi</t>
  </si>
  <si>
    <t>III.</t>
  </si>
  <si>
    <t xml:space="preserve">Pengujian Kinerja </t>
  </si>
  <si>
    <t>1.</t>
  </si>
  <si>
    <t>Kalibrasi Dual Lead Voltage</t>
  </si>
  <si>
    <t>Penunjukan Standar</t>
  </si>
  <si>
    <t>Pembacaan Alat</t>
  </si>
  <si>
    <t>I</t>
  </si>
  <si>
    <t>II</t>
  </si>
  <si>
    <t>III</t>
  </si>
  <si>
    <t>IV</t>
  </si>
  <si>
    <t>V</t>
  </si>
  <si>
    <t>( Volt )</t>
  </si>
  <si>
    <t>2.</t>
  </si>
  <si>
    <t>Kalibrasi Earth  Resistance</t>
  </si>
  <si>
    <t>( Ω )</t>
  </si>
  <si>
    <t xml:space="preserve">Resistansi Kabel </t>
  </si>
  <si>
    <t xml:space="preserve">Tampilan Awal : </t>
  </si>
  <si>
    <t>Ω</t>
  </si>
  <si>
    <t>Point to Point</t>
  </si>
  <si>
    <t>3.</t>
  </si>
  <si>
    <t>Kalibrasi Enclosure (Chassis) Leakage Current</t>
  </si>
  <si>
    <r>
      <t xml:space="preserve">Range ( </t>
    </r>
    <r>
      <rPr>
        <sz val="11"/>
        <color indexed="8"/>
        <rFont val="Calibri"/>
        <family val="2"/>
      </rPr>
      <t>µA</t>
    </r>
    <r>
      <rPr>
        <sz val="10"/>
        <color indexed="8"/>
        <rFont val="Arial"/>
        <family val="2"/>
      </rPr>
      <t xml:space="preserve"> )</t>
    </r>
  </si>
  <si>
    <t>4.</t>
  </si>
  <si>
    <t>Kalibrasi Patient / Electroda Leakage Current</t>
  </si>
  <si>
    <t>R Terhadap Pembumian</t>
  </si>
  <si>
    <t>F Terhadap Pembumian</t>
  </si>
  <si>
    <t>L Terhadap Pembumian</t>
  </si>
  <si>
    <t>N Terhadap Pembumian</t>
  </si>
  <si>
    <t>V1 - V6 Terhadap Pembumian</t>
  </si>
  <si>
    <t>5.</t>
  </si>
  <si>
    <t xml:space="preserve">Kalibrasi Dual Lead Leakage Current </t>
  </si>
  <si>
    <r>
      <t xml:space="preserve">Range ( </t>
    </r>
    <r>
      <rPr>
        <sz val="11"/>
        <color indexed="8"/>
        <rFont val="Calibri"/>
        <family val="2"/>
      </rPr>
      <t>µA - AC</t>
    </r>
    <r>
      <rPr>
        <sz val="10"/>
        <color indexed="8"/>
        <rFont val="Arial"/>
        <family val="2"/>
      </rPr>
      <t xml:space="preserve"> )</t>
    </r>
  </si>
  <si>
    <t>6.</t>
  </si>
  <si>
    <t>Kalibrasi Patient Auxillary Leakage Current</t>
  </si>
  <si>
    <t>R Terhadap Semua Elektroda</t>
  </si>
  <si>
    <t>F Terhadap Semua Elektroda</t>
  </si>
  <si>
    <t>L Terhadap Semua Elektroda</t>
  </si>
  <si>
    <t>N Terhadap Semua Elektroda</t>
  </si>
  <si>
    <t>V1 - V6 Terhadap Semua Elektroda</t>
  </si>
  <si>
    <t>IV.</t>
  </si>
  <si>
    <t xml:space="preserve">Keterangan </t>
  </si>
  <si>
    <t>V.</t>
  </si>
  <si>
    <t xml:space="preserve">Alat Yang Digunakan </t>
  </si>
  <si>
    <t>Multifunction Calibration System, Merek : Time Electronics, Model : 5051, SN: 1188D21</t>
  </si>
  <si>
    <t>Precision resistance Box, Merek : Time Electronics, Model : 1067, SN : 1968F15, 2258J20</t>
  </si>
  <si>
    <t>2255J20, 2257J20, 2256J20</t>
  </si>
  <si>
    <t>Thermohygrolightmeter, Merek : KIMO, KH-210-AO No Seri :14082463, 15062872, 15062873, 15062874, 15062875</t>
  </si>
  <si>
    <t>Thermohygrobarometer, Merek : Greisinger, Model : GFTB 200, SN : 34903046, 34903053, 34903051, 34904091</t>
  </si>
  <si>
    <t>Thermohygrobarometer, Merek : EXTECH, Model : SD700, SN : A.100586, A.100605, A.100609, A.100611, A.100616</t>
  </si>
  <si>
    <t>Thermohygrobarometer, Merek : EXTECH, Model : SD700, SN : A.100617, A.100618, A.100615</t>
  </si>
  <si>
    <t>VI.</t>
  </si>
  <si>
    <t>Petugas Kalibrasi</t>
  </si>
  <si>
    <t>VII.</t>
  </si>
  <si>
    <t>Tanggal Pembuatan laporan</t>
  </si>
  <si>
    <t>INPUT DATA KALIBRASI ELECTRICAL SAFETY ANALYZER ( ESA )</t>
  </si>
  <si>
    <t xml:space="preserve"> 1 / VIII - 22 / E - 099 Dt</t>
  </si>
  <si>
    <t>Fluke</t>
  </si>
  <si>
    <t>ESA 615</t>
  </si>
  <si>
    <t>4669058</t>
  </si>
  <si>
    <t>3 Agustus 2022</t>
  </si>
  <si>
    <t>Laboratorium Kalibrasi LPFK Banjarbaru</t>
  </si>
  <si>
    <t>Baik</t>
  </si>
  <si>
    <t>Volt</t>
  </si>
  <si>
    <t>Kalibrasi Earth Resistance</t>
  </si>
  <si>
    <t>Pembacan Alat</t>
  </si>
  <si>
    <t>dengan faktor cakupan k = 2</t>
  </si>
  <si>
    <t>Ketidakpastian Kalibrasi Enclosure (Chassis) Leakage Current, Patient / Electroda Leakage Current, Dual Lead, Leakage</t>
  </si>
  <si>
    <t>Current, Patient Auxillary Leakage Current dilaporkan pada tingkat kepercayaan 95 % dengan faktor cakupan k = 2</t>
  </si>
  <si>
    <t>Hasil Kalibrasi Dual Lead Voltage tertelusur ke Satuan Internasional ( SI ) melalui UKAS</t>
  </si>
  <si>
    <t>Leakage Current, Patient Auxillary Leakage Current tertelusur ke Satuan Internasional ( SI ) melalui UKAS</t>
  </si>
  <si>
    <t>Metode Kalibrasi yang digunakan mengacu pada Keputusan Direktur Jenderal Pelayanan Kesehatan</t>
  </si>
  <si>
    <t>Nomor : HK.02.02/V/0412/2020 Nomor MK : 093-19</t>
  </si>
  <si>
    <t>Precision resistance Box, Merek : Time Electronics, Model : 1067, SN : 1968F15</t>
  </si>
  <si>
    <t>Hary Ernanto</t>
  </si>
  <si>
    <t>10 Agustus 2022</t>
  </si>
  <si>
    <t>UNCERTAINTY BUDGET</t>
  </si>
  <si>
    <t>Setting Std</t>
  </si>
  <si>
    <t>Komponen</t>
  </si>
  <si>
    <t>Distribusi</t>
  </si>
  <si>
    <t>U</t>
  </si>
  <si>
    <t>Pembagi</t>
  </si>
  <si>
    <t>v</t>
  </si>
  <si>
    <t>u</t>
  </si>
  <si>
    <t>c</t>
  </si>
  <si>
    <t>(u.c)</t>
  </si>
  <si>
    <t>(u.c)²</t>
  </si>
  <si>
    <t>(u.c)⁴/v</t>
  </si>
  <si>
    <t>Pembacaan berulang tegangan UUT dengan Std</t>
  </si>
  <si>
    <t>normal</t>
  </si>
  <si>
    <t xml:space="preserve">Sertifikat Standar </t>
  </si>
  <si>
    <t>resolusi UUT</t>
  </si>
  <si>
    <t>Segi 4</t>
  </si>
  <si>
    <t>Drift alat standar</t>
  </si>
  <si>
    <t>Jumlah</t>
  </si>
  <si>
    <t>Ketidakpastian baku gabungan, Uc</t>
  </si>
  <si>
    <r>
      <t>Uc</t>
    </r>
    <r>
      <rPr>
        <sz val="10"/>
        <rFont val="Times New Roman"/>
        <family val="1"/>
      </rPr>
      <t xml:space="preserve"> = </t>
    </r>
    <r>
      <rPr>
        <sz val="10"/>
        <rFont val="Symbol"/>
        <family val="1"/>
        <charset val="2"/>
      </rPr>
      <t>Ö</t>
    </r>
    <r>
      <rPr>
        <sz val="10"/>
        <rFont val="Times New Roman"/>
        <family val="1"/>
      </rPr>
      <t xml:space="preserve"> [</t>
    </r>
    <r>
      <rPr>
        <sz val="10"/>
        <rFont val="Symbol"/>
        <family val="1"/>
        <charset val="2"/>
      </rPr>
      <t>S</t>
    </r>
    <r>
      <rPr>
        <sz val="10"/>
        <rFont val="Times New Roman"/>
        <family val="1"/>
      </rPr>
      <t>(u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 xml:space="preserve"> c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)²]</t>
    </r>
  </si>
  <si>
    <t>Derajat kebebasan efektif, V eff</t>
  </si>
  <si>
    <r>
      <t>n</t>
    </r>
    <r>
      <rPr>
        <vertAlign val="subscript"/>
        <sz val="10"/>
        <rFont val="Times New Roman"/>
        <family val="1"/>
      </rPr>
      <t>eff</t>
    </r>
    <r>
      <rPr>
        <sz val="10"/>
        <rFont val="Times New Roman"/>
        <family val="1"/>
      </rPr>
      <t xml:space="preserve"> = u</t>
    </r>
    <r>
      <rPr>
        <vertAlign val="subscript"/>
        <sz val="10"/>
        <rFont val="Times New Roman"/>
        <family val="1"/>
      </rPr>
      <t>c</t>
    </r>
    <r>
      <rPr>
        <vertAlign val="superscript"/>
        <sz val="10"/>
        <rFont val="Times New Roman"/>
        <family val="1"/>
      </rPr>
      <t>4</t>
    </r>
    <r>
      <rPr>
        <sz val="10"/>
        <rFont val="Times New Roman"/>
        <family val="1"/>
      </rPr>
      <t xml:space="preserve"> / [</t>
    </r>
    <r>
      <rPr>
        <sz val="10"/>
        <rFont val="Symbol"/>
        <family val="1"/>
        <charset val="2"/>
      </rPr>
      <t>S</t>
    </r>
    <r>
      <rPr>
        <sz val="10"/>
        <rFont val="Times New Roman"/>
        <family val="1"/>
      </rPr>
      <t>(u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 xml:space="preserve"> c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r>
      <rPr>
        <vertAlign val="superscript"/>
        <sz val="10"/>
        <rFont val="Times New Roman"/>
        <family val="1"/>
      </rPr>
      <t xml:space="preserve"> 4</t>
    </r>
    <r>
      <rPr>
        <sz val="10"/>
        <rFont val="Times New Roman"/>
        <family val="1"/>
      </rPr>
      <t>/</t>
    </r>
    <r>
      <rPr>
        <sz val="10"/>
        <rFont val="Symbol"/>
        <family val="1"/>
        <charset val="2"/>
      </rPr>
      <t>n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]</t>
    </r>
  </si>
  <si>
    <t>Faktor cakupan, k-student untuk Veff dan CL 95%</t>
  </si>
  <si>
    <t>k</t>
  </si>
  <si>
    <t>Ketidakpastian bentangan, U=k.Uc</t>
  </si>
  <si>
    <t>U = k. Uc</t>
  </si>
  <si>
    <t>%</t>
  </si>
  <si>
    <t>Pembacaan berulang resistansi kabel probe</t>
  </si>
  <si>
    <t>Pembacaan berulang resistansi UUT dengan Std</t>
  </si>
  <si>
    <t>µA</t>
  </si>
  <si>
    <t>Pembacaan berulang nilai arus UUT dengan Std</t>
  </si>
  <si>
    <t>Precision resistance Box, Merek : Time Electronics, Model : 1067, SN : 2258J20</t>
  </si>
  <si>
    <t>Precision resistance Box, Merek : Time Electronics, Model : 1067, SN : 2255J20</t>
  </si>
  <si>
    <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</si>
  <si>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Precision resistance Box, Merek : Time Electronics, Model : 1067, SN : 2257J20</t>
  </si>
  <si>
    <t>Precision resistance Box, Merek : Time Electronics, Model : 1067, SN : 2256J20</t>
  </si>
  <si>
    <t>Precision resistance Box, Merek : Time Electronics, Model : 1067,SN : 2256J20</t>
  </si>
  <si>
    <t>Precision resistance Box, Merek : Time Electronics, Model : 1067, SN : 2272B21</t>
  </si>
  <si>
    <t>HASIL KALIBRASI ELECTRICAL SAFETY ANALYZER ( ESA )</t>
  </si>
  <si>
    <t>Setting</t>
  </si>
  <si>
    <t>Koreksi</t>
  </si>
  <si>
    <t>Ketidakpastian</t>
  </si>
  <si>
    <t>Pengukuran</t>
  </si>
  <si>
    <t>( V )</t>
  </si>
  <si>
    <t>( µA )</t>
  </si>
  <si>
    <t>Muhammad Zaenuri Sugiasmoro</t>
  </si>
  <si>
    <t>Nama</t>
  </si>
  <si>
    <t xml:space="preserve">Tanggal </t>
  </si>
  <si>
    <t>Paraf</t>
  </si>
  <si>
    <t>Dibuat</t>
  </si>
  <si>
    <t>Diperiksa</t>
  </si>
  <si>
    <t>Menyetujui,</t>
  </si>
  <si>
    <t>Kepala Instalasi Laboratorium</t>
  </si>
  <si>
    <t>Pengujian dan Kalibrasi</t>
  </si>
  <si>
    <t>Choirul Huda, S.Tr.Kes</t>
  </si>
  <si>
    <t xml:space="preserve">Farid Wajidi, SKM </t>
  </si>
  <si>
    <t>NIP 196712101990031012</t>
  </si>
  <si>
    <t>NIP 198008062010121001</t>
  </si>
  <si>
    <t>KOREKSI TEGANGAN (AC)</t>
  </si>
  <si>
    <t>Drift</t>
  </si>
  <si>
    <t>Input Sertifikat</t>
  </si>
  <si>
    <t>Voltage (50 Hz)</t>
  </si>
  <si>
    <t>Set Value (uA)</t>
  </si>
  <si>
    <t>Measured(uA)</t>
  </si>
  <si>
    <t>Koreksi(uA)</t>
  </si>
  <si>
    <t>U95 (uA)</t>
  </si>
  <si>
    <t>uA</t>
  </si>
  <si>
    <t>( mVolt )</t>
  </si>
  <si>
    <t>uV</t>
  </si>
  <si>
    <t>mV</t>
  </si>
  <si>
    <t>KOREKSI TEGANGAN (DC)</t>
  </si>
  <si>
    <t xml:space="preserve">Voltage </t>
  </si>
  <si>
    <t>KOREKSI RESISTANCE</t>
  </si>
  <si>
    <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</si>
  <si>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r>
      <t>( K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</si>
  <si>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</si>
  <si>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KOREKSI CURRENT (DC)</t>
  </si>
  <si>
    <t>Arus</t>
  </si>
  <si>
    <t>( mA )</t>
  </si>
  <si>
    <t>( A )</t>
  </si>
  <si>
    <t>KOREKSI CURRENT (AC)</t>
  </si>
  <si>
    <t>Arus (50 Hz)</t>
  </si>
  <si>
    <t>nA</t>
  </si>
  <si>
    <t>MA</t>
  </si>
  <si>
    <t>mA</t>
  </si>
  <si>
    <t>Setting Alat</t>
  </si>
  <si>
    <t>Penunjukan Alat</t>
  </si>
  <si>
    <t>Tidak Baik</t>
  </si>
  <si>
    <t>Pembacaan Standar</t>
  </si>
  <si>
    <t>Azhar Alamsyah</t>
  </si>
  <si>
    <t>Choirul Huda</t>
  </si>
  <si>
    <t>Dewi Nofitasari</t>
  </si>
  <si>
    <t>Donny Martha</t>
  </si>
  <si>
    <t>Fatimah Novrianisa</t>
  </si>
  <si>
    <t>Gusti Arya Dinata</t>
  </si>
  <si>
    <t>Hamdan Syarif</t>
  </si>
  <si>
    <t>Isra Mahensa</t>
  </si>
  <si>
    <t>Muhammad Alpian Hadi</t>
  </si>
  <si>
    <t>Muhammad Arrizal Septiawan</t>
  </si>
  <si>
    <t>Muhammad Ihsan Ilyas</t>
  </si>
  <si>
    <t>Muhammad Iqbal Saiful Rahman</t>
  </si>
  <si>
    <t>Muhammad Irfan Husnuzhzhan</t>
  </si>
  <si>
    <t>Rangga Setya Hantoko</t>
  </si>
  <si>
    <t>Ryan Rama Chaesar R</t>
  </si>
  <si>
    <t>Septia Khairunnisa</t>
  </si>
  <si>
    <t>Sholihatussa'diah</t>
  </si>
  <si>
    <t>Siti Fathul Jannah</t>
  </si>
  <si>
    <t>Taufik Priawan</t>
  </si>
  <si>
    <t>Venna Filosofia</t>
  </si>
  <si>
    <t>Vikki Akhsanudin Nurkholis</t>
  </si>
  <si>
    <t>Wardimanul Abrar</t>
  </si>
  <si>
    <t>Yurdha Algifari</t>
  </si>
  <si>
    <r>
      <t xml:space="preserve">Range ( </t>
    </r>
    <r>
      <rPr>
        <sz val="11"/>
        <color theme="1"/>
        <rFont val="Calibri"/>
        <family val="2"/>
      </rPr>
      <t>µA</t>
    </r>
    <r>
      <rPr>
        <sz val="10"/>
        <color theme="1"/>
        <rFont val="Arial"/>
        <family val="2"/>
      </rPr>
      <t xml:space="preserve"> )</t>
    </r>
  </si>
  <si>
    <r>
      <t xml:space="preserve">Range ( </t>
    </r>
    <r>
      <rPr>
        <sz val="11"/>
        <color theme="1"/>
        <rFont val="Calibri"/>
        <family val="2"/>
      </rPr>
      <t>µA - AC</t>
    </r>
    <r>
      <rPr>
        <sz val="10"/>
        <color theme="1"/>
        <rFont val="Arial"/>
        <family val="2"/>
      </rPr>
      <t xml:space="preserve"> )</t>
    </r>
  </si>
  <si>
    <t>Ketidakpastian Kalibrasi Dual Lead Voltage dilaporkan pada tingkat kepercayaan 95 %</t>
  </si>
  <si>
    <t>Hasil Kalibrasi Enclosure (Chassis) Leakage Current, Patient / Electroda Leakage Current, Dual Lead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</si>
</sst>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0.0"/>
    <numFmt numFmtId="165" formatCode="0.000000"/>
    <numFmt numFmtId="166" formatCode="0.000"/>
    <numFmt numFmtId="167" formatCode="0.0000"/>
    <numFmt numFmtId="168" formatCode="0.00000"/>
    <numFmt numFmtId="169" formatCode="0.0000000"/>
    <numFmt numFmtId="170" formatCode="0.0E+00"/>
    <numFmt numFmtId="171" formatCode="0.00000000"/>
    <numFmt numFmtId="172" formatCode="\2.\ &quot; &quot;"/>
    <numFmt numFmtId="173" formatCode="0.000000000"/>
    <numFmt numFmtId="174" formatCode="@\ * &quot; : &quot;"/>
    <numFmt numFmtId="175" formatCode="\±\ 0.00"/>
    <numFmt numFmtId="176" formatCode="\±\ 0.000"/>
    <numFmt numFmtId="177" formatCode="\±\ 0.00000"/>
    <numFmt numFmtId="178" formatCode="0E+00"/>
  </numFmts>
  <fonts count="8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name val="Times New Roman"/>
      <family val="1"/>
    </font>
    <font>
      <b/>
      <i/>
      <sz val="10"/>
      <name val="Arial"/>
      <family val="2"/>
    </font>
    <font>
      <i/>
      <sz val="10"/>
      <name val="Arial"/>
      <family val="2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Arial"/>
      <family val="2"/>
    </font>
    <font>
      <sz val="12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indexed="8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color indexed="8"/>
      <name val="Arial"/>
      <family val="2"/>
    </font>
    <font>
      <sz val="11"/>
      <color rgb="FFFF0000"/>
      <name val="Arial"/>
      <family val="2"/>
    </font>
    <font>
      <b/>
      <sz val="14"/>
      <color indexed="81"/>
      <name val="Calibri"/>
      <family val="2"/>
      <scheme val="minor"/>
    </font>
    <font>
      <b/>
      <u/>
      <sz val="14"/>
      <color indexed="81"/>
      <name val="Calibri"/>
      <family val="2"/>
      <scheme val="minor"/>
    </font>
    <font>
      <b/>
      <u/>
      <sz val="16"/>
      <color indexed="81"/>
      <name val="Calibri"/>
      <family val="2"/>
      <scheme val="minor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8"/>
      <name val="Calibri"/>
      <family val="2"/>
      <scheme val="minor"/>
    </font>
    <font>
      <sz val="11"/>
      <name val="Times New Roman"/>
      <family val="1"/>
    </font>
    <font>
      <b/>
      <sz val="11"/>
      <name val="Calibri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b/>
      <sz val="10"/>
      <name val="Times New Roman"/>
      <family val="1"/>
    </font>
    <font>
      <b/>
      <sz val="8"/>
      <name val="Times New Roman"/>
      <family val="1"/>
    </font>
    <font>
      <sz val="8"/>
      <name val="Arial"/>
      <family val="2"/>
    </font>
    <font>
      <sz val="11"/>
      <color rgb="FFFF0000"/>
      <name val="Calibri"/>
      <family val="2"/>
      <scheme val="minor"/>
    </font>
    <font>
      <sz val="8"/>
      <color indexed="8"/>
      <name val="Arial"/>
      <family val="2"/>
    </font>
    <font>
      <sz val="8"/>
      <color rgb="FFFF0000"/>
      <name val="Arial"/>
      <family val="2"/>
    </font>
    <font>
      <sz val="8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2"/>
      <name val="Times New Roman"/>
      <family val="1"/>
    </font>
    <font>
      <b/>
      <sz val="8"/>
      <name val="Arial"/>
      <family val="2"/>
    </font>
    <font>
      <sz val="8"/>
      <name val="Times New Roman"/>
      <family val="1"/>
    </font>
    <font>
      <b/>
      <sz val="8"/>
      <name val="Calibri"/>
      <family val="2"/>
      <scheme val="minor"/>
    </font>
    <font>
      <b/>
      <sz val="14"/>
      <name val="Times New Roman"/>
      <family val="1"/>
    </font>
    <font>
      <sz val="10"/>
      <name val="Times New Roman"/>
      <family val="1"/>
    </font>
    <font>
      <b/>
      <i/>
      <sz val="10"/>
      <name val="Times New Roman"/>
      <family val="1"/>
    </font>
    <font>
      <b/>
      <sz val="11"/>
      <name val="Times New Roman"/>
      <family val="1"/>
    </font>
    <font>
      <b/>
      <sz val="9"/>
      <name val="Arial"/>
      <family val="2"/>
    </font>
    <font>
      <sz val="12"/>
      <name val="Calibri"/>
      <family val="2"/>
      <scheme val="minor"/>
    </font>
    <font>
      <sz val="12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rgb="FFFF0000"/>
      <name val="Times New Roman"/>
      <family val="1"/>
    </font>
    <font>
      <sz val="10"/>
      <name val="Calibri"/>
      <family val="2"/>
    </font>
    <font>
      <sz val="9.6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vertAlign val="subscript"/>
      <sz val="10"/>
      <name val="Times New Roman"/>
      <family val="1"/>
    </font>
    <font>
      <sz val="10"/>
      <name val="Symbol"/>
      <family val="1"/>
      <charset val="2"/>
    </font>
    <font>
      <vertAlign val="subscript"/>
      <sz val="10"/>
      <name val="Calibri"/>
      <family val="2"/>
      <scheme val="minor"/>
    </font>
    <font>
      <vertAlign val="superscript"/>
      <sz val="10"/>
      <name val="Times New Roman"/>
      <family val="1"/>
    </font>
    <font>
      <sz val="10"/>
      <color theme="0"/>
      <name val="Calibri"/>
      <family val="2"/>
      <scheme val="minor"/>
    </font>
    <font>
      <sz val="10"/>
      <color theme="1"/>
      <name val="Calibri"/>
      <family val="2"/>
    </font>
    <font>
      <sz val="8"/>
      <color theme="0"/>
      <name val="Calibri"/>
      <family val="2"/>
      <scheme val="minor"/>
    </font>
    <font>
      <sz val="11"/>
      <color theme="1"/>
      <name val="Calibri"/>
      <family val="2"/>
    </font>
    <font>
      <b/>
      <u/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9"/>
      <name val="Arial"/>
      <family val="2"/>
    </font>
    <font>
      <b/>
      <sz val="8"/>
      <color indexed="8"/>
      <name val="Times New Roman"/>
      <family val="1"/>
    </font>
    <font>
      <b/>
      <i/>
      <sz val="8"/>
      <name val="Times New Roman"/>
      <family val="1"/>
    </font>
    <font>
      <b/>
      <i/>
      <sz val="8"/>
      <name val="Arial"/>
      <family val="2"/>
    </font>
    <font>
      <b/>
      <sz val="8"/>
      <name val="Calibri"/>
      <family val="2"/>
    </font>
    <font>
      <b/>
      <sz val="8"/>
      <color theme="0"/>
      <name val="Arial"/>
      <family val="2"/>
    </font>
    <font>
      <b/>
      <sz val="20"/>
      <color indexed="81"/>
      <name val="Tahoma"/>
      <family val="2"/>
    </font>
    <font>
      <sz val="8"/>
      <color theme="2" tint="-0.249977111117893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9"/>
      <color theme="1"/>
      <name val="Arial"/>
      <family val="2"/>
    </font>
    <font>
      <b/>
      <sz val="8"/>
      <color rgb="FFFF0000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945">
    <xf numFmtId="0" fontId="0" fillId="0" borderId="0" xfId="0"/>
    <xf numFmtId="164" fontId="2" fillId="2" borderId="1" xfId="1" applyNumberFormat="1" applyFill="1" applyBorder="1" applyAlignment="1" applyProtection="1">
      <alignment horizontal="center" vertical="center"/>
      <protection locked="0"/>
    </xf>
    <xf numFmtId="2" fontId="5" fillId="2" borderId="1" xfId="1" quotePrefix="1" applyNumberFormat="1" applyFont="1" applyFill="1" applyBorder="1" applyAlignment="1" applyProtection="1">
      <alignment horizontal="center" vertical="center"/>
      <protection locked="0"/>
    </xf>
    <xf numFmtId="1" fontId="5" fillId="2" borderId="1" xfId="1" quotePrefix="1" applyNumberFormat="1" applyFont="1" applyFill="1" applyBorder="1" applyAlignment="1" applyProtection="1">
      <alignment horizontal="center" vertical="center"/>
      <protection locked="0"/>
    </xf>
    <xf numFmtId="2" fontId="2" fillId="2" borderId="1" xfId="1" applyNumberFormat="1" applyFill="1" applyBorder="1" applyAlignment="1" applyProtection="1">
      <alignment horizontal="center"/>
      <protection locked="0"/>
    </xf>
    <xf numFmtId="165" fontId="5" fillId="2" borderId="1" xfId="1" applyNumberFormat="1" applyFont="1" applyFill="1" applyBorder="1" applyAlignment="1" applyProtection="1">
      <alignment horizontal="center" vertical="center"/>
      <protection locked="0"/>
    </xf>
    <xf numFmtId="1" fontId="2" fillId="2" borderId="1" xfId="1" applyNumberFormat="1" applyFill="1" applyBorder="1" applyAlignment="1" applyProtection="1">
      <alignment horizontal="center" vertical="center"/>
      <protection locked="0"/>
    </xf>
    <xf numFmtId="2" fontId="2" fillId="2" borderId="1" xfId="1" applyNumberFormat="1" applyFill="1" applyBorder="1" applyAlignment="1" applyProtection="1">
      <alignment horizontal="center" vertical="center"/>
      <protection locked="0"/>
    </xf>
    <xf numFmtId="166" fontId="5" fillId="2" borderId="1" xfId="1" quotePrefix="1" applyNumberFormat="1" applyFont="1" applyFill="1" applyBorder="1" applyAlignment="1" applyProtection="1">
      <alignment horizontal="center" vertical="center"/>
      <protection locked="0"/>
    </xf>
    <xf numFmtId="167" fontId="5" fillId="2" borderId="1" xfId="1" quotePrefix="1" applyNumberFormat="1" applyFont="1" applyFill="1" applyBorder="1" applyAlignment="1" applyProtection="1">
      <alignment horizontal="center" vertical="center"/>
      <protection locked="0"/>
    </xf>
    <xf numFmtId="168" fontId="5" fillId="2" borderId="1" xfId="1" quotePrefix="1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/>
    <xf numFmtId="167" fontId="2" fillId="2" borderId="1" xfId="1" applyNumberFormat="1" applyFill="1" applyBorder="1" applyAlignment="1" applyProtection="1">
      <alignment horizontal="center" vertical="center"/>
      <protection locked="0"/>
    </xf>
    <xf numFmtId="165" fontId="5" fillId="2" borderId="1" xfId="1" quotePrefix="1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/>
    <xf numFmtId="0" fontId="9" fillId="0" borderId="0" xfId="0" applyFont="1"/>
    <xf numFmtId="0" fontId="7" fillId="0" borderId="0" xfId="0" applyFont="1" applyAlignment="1">
      <alignment horizontal="right"/>
    </xf>
    <xf numFmtId="0" fontId="10" fillId="0" borderId="0" xfId="2" applyFont="1"/>
    <xf numFmtId="0" fontId="11" fillId="0" borderId="0" xfId="0" applyFont="1"/>
    <xf numFmtId="0" fontId="12" fillId="0" borderId="1" xfId="0" applyFont="1" applyBorder="1" applyAlignment="1">
      <alignment horizontal="center"/>
    </xf>
    <xf numFmtId="0" fontId="11" fillId="0" borderId="0" xfId="0" quotePrefix="1" applyFont="1"/>
    <xf numFmtId="168" fontId="0" fillId="0" borderId="0" xfId="0" applyNumberFormat="1"/>
    <xf numFmtId="0" fontId="15" fillId="3" borderId="0" xfId="0" applyFont="1" applyFill="1" applyProtection="1">
      <protection locked="0"/>
    </xf>
    <xf numFmtId="0" fontId="16" fillId="3" borderId="0" xfId="0" applyFont="1" applyFill="1" applyProtection="1">
      <protection locked="0"/>
    </xf>
    <xf numFmtId="0" fontId="17" fillId="0" borderId="1" xfId="3" applyFont="1" applyBorder="1" applyAlignment="1" applyProtection="1">
      <alignment horizontal="center" vertical="center"/>
      <protection locked="0"/>
    </xf>
    <xf numFmtId="0" fontId="18" fillId="3" borderId="0" xfId="0" applyFont="1" applyFill="1" applyProtection="1">
      <protection locked="0"/>
    </xf>
    <xf numFmtId="164" fontId="19" fillId="4" borderId="1" xfId="3" applyNumberFormat="1" applyFont="1" applyFill="1" applyBorder="1" applyAlignment="1" applyProtection="1">
      <alignment horizontal="center" vertical="center"/>
      <protection locked="0"/>
    </xf>
    <xf numFmtId="0" fontId="10" fillId="0" borderId="0" xfId="3" applyFont="1" applyProtection="1">
      <protection locked="0"/>
    </xf>
    <xf numFmtId="2" fontId="10" fillId="0" borderId="0" xfId="3" applyNumberFormat="1" applyFont="1" applyAlignment="1" applyProtection="1">
      <alignment horizontal="center" vertical="center"/>
      <protection locked="0"/>
    </xf>
    <xf numFmtId="0" fontId="18" fillId="4" borderId="0" xfId="0" applyFont="1" applyFill="1" applyProtection="1">
      <protection locked="0"/>
    </xf>
    <xf numFmtId="0" fontId="18" fillId="3" borderId="0" xfId="0" applyFont="1" applyFill="1" applyAlignment="1" applyProtection="1">
      <alignment horizontal="right"/>
      <protection locked="0"/>
    </xf>
    <xf numFmtId="0" fontId="18" fillId="3" borderId="1" xfId="0" applyFont="1" applyFill="1" applyBorder="1" applyAlignment="1" applyProtection="1">
      <alignment horizontal="center"/>
      <protection locked="0"/>
    </xf>
    <xf numFmtId="0" fontId="19" fillId="0" borderId="1" xfId="0" applyFont="1" applyBorder="1" applyAlignment="1">
      <alignment horizontal="center"/>
    </xf>
    <xf numFmtId="164" fontId="19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0" xfId="3" applyFont="1" applyAlignment="1" applyProtection="1">
      <alignment horizontal="left"/>
      <protection locked="0"/>
    </xf>
    <xf numFmtId="0" fontId="17" fillId="0" borderId="0" xfId="3" applyFont="1"/>
    <xf numFmtId="0" fontId="17" fillId="0" borderId="0" xfId="3" applyFont="1" applyAlignment="1">
      <alignment horizontal="left"/>
    </xf>
    <xf numFmtId="0" fontId="18" fillId="3" borderId="0" xfId="0" applyFont="1" applyFill="1" applyAlignment="1" applyProtection="1">
      <alignment horizontal="center"/>
      <protection locked="0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/>
    </xf>
    <xf numFmtId="1" fontId="11" fillId="0" borderId="0" xfId="0" applyNumberFormat="1" applyFont="1" applyAlignment="1">
      <alignment horizontal="center"/>
    </xf>
    <xf numFmtId="0" fontId="18" fillId="3" borderId="9" xfId="0" applyFont="1" applyFill="1" applyBorder="1" applyAlignment="1" applyProtection="1">
      <alignment vertical="top" wrapText="1"/>
      <protection locked="0"/>
    </xf>
    <xf numFmtId="166" fontId="19" fillId="0" borderId="1" xfId="0" applyNumberFormat="1" applyFont="1" applyBorder="1" applyAlignment="1">
      <alignment horizontal="center"/>
    </xf>
    <xf numFmtId="0" fontId="18" fillId="3" borderId="1" xfId="0" applyFont="1" applyFill="1" applyBorder="1" applyAlignment="1" applyProtection="1">
      <alignment horizontal="center" vertical="top" wrapText="1"/>
      <protection locked="0"/>
    </xf>
    <xf numFmtId="0" fontId="11" fillId="0" borderId="1" xfId="0" applyFont="1" applyBorder="1" applyAlignment="1">
      <alignment horizontal="center" vertical="top"/>
    </xf>
    <xf numFmtId="0" fontId="5" fillId="2" borderId="1" xfId="1" applyFont="1" applyFill="1" applyBorder="1" applyAlignment="1" applyProtection="1">
      <alignment horizontal="center" vertical="center"/>
      <protection locked="0"/>
    </xf>
    <xf numFmtId="169" fontId="5" fillId="2" borderId="1" xfId="1" applyNumberFormat="1" applyFont="1" applyFill="1" applyBorder="1" applyAlignment="1" applyProtection="1">
      <alignment horizontal="center" vertical="center"/>
      <protection locked="0"/>
    </xf>
    <xf numFmtId="168" fontId="5" fillId="2" borderId="1" xfId="1" applyNumberFormat="1" applyFont="1" applyFill="1" applyBorder="1" applyAlignment="1" applyProtection="1">
      <alignment horizontal="center" vertical="center"/>
      <protection locked="0"/>
    </xf>
    <xf numFmtId="167" fontId="5" fillId="2" borderId="1" xfId="1" applyNumberFormat="1" applyFont="1" applyFill="1" applyBorder="1" applyAlignment="1" applyProtection="1">
      <alignment horizontal="center" vertical="center"/>
      <protection locked="0"/>
    </xf>
    <xf numFmtId="0" fontId="27" fillId="2" borderId="1" xfId="1" applyFont="1" applyFill="1" applyBorder="1" applyAlignment="1" applyProtection="1">
      <alignment horizontal="center" vertical="center"/>
      <protection locked="0"/>
    </xf>
    <xf numFmtId="0" fontId="2" fillId="2" borderId="1" xfId="1" applyFill="1" applyBorder="1" applyAlignment="1" applyProtection="1">
      <alignment horizontal="center" vertical="center"/>
      <protection locked="0"/>
    </xf>
    <xf numFmtId="171" fontId="5" fillId="2" borderId="1" xfId="1" applyNumberFormat="1" applyFont="1" applyFill="1" applyBorder="1" applyAlignment="1" applyProtection="1">
      <alignment horizontal="center" vertical="center"/>
      <protection locked="0"/>
    </xf>
    <xf numFmtId="2" fontId="2" fillId="2" borderId="1" xfId="1" quotePrefix="1" applyNumberFormat="1" applyFill="1" applyBorder="1" applyAlignment="1" applyProtection="1">
      <alignment horizontal="center" vertical="center"/>
      <protection locked="0"/>
    </xf>
    <xf numFmtId="166" fontId="2" fillId="2" borderId="1" xfId="1" quotePrefix="1" applyNumberFormat="1" applyFill="1" applyBorder="1" applyAlignment="1" applyProtection="1">
      <alignment horizontal="center" vertical="center"/>
      <protection locked="0"/>
    </xf>
    <xf numFmtId="0" fontId="2" fillId="2" borderId="2" xfId="1" applyFill="1" applyBorder="1" applyAlignment="1" applyProtection="1">
      <alignment horizontal="center" vertical="center"/>
      <protection locked="0"/>
    </xf>
    <xf numFmtId="169" fontId="5" fillId="2" borderId="1" xfId="1" quotePrefix="1" applyNumberFormat="1" applyFont="1" applyFill="1" applyBorder="1" applyAlignment="1" applyProtection="1">
      <alignment horizontal="center" vertical="center"/>
      <protection locked="0"/>
    </xf>
    <xf numFmtId="1" fontId="29" fillId="2" borderId="1" xfId="1" applyNumberFormat="1" applyFont="1" applyFill="1" applyBorder="1" applyAlignment="1" applyProtection="1">
      <alignment horizontal="center" vertical="center"/>
      <protection locked="0"/>
    </xf>
    <xf numFmtId="2" fontId="30" fillId="2" borderId="1" xfId="1" quotePrefix="1" applyNumberFormat="1" applyFont="1" applyFill="1" applyBorder="1" applyAlignment="1" applyProtection="1">
      <alignment horizontal="center" vertical="center"/>
      <protection locked="0"/>
    </xf>
    <xf numFmtId="165" fontId="30" fillId="2" borderId="1" xfId="1" quotePrefix="1" applyNumberFormat="1" applyFont="1" applyFill="1" applyBorder="1" applyAlignment="1" applyProtection="1">
      <alignment horizontal="center" vertical="center"/>
      <protection locked="0"/>
    </xf>
    <xf numFmtId="167" fontId="30" fillId="2" borderId="1" xfId="1" applyNumberFormat="1" applyFont="1" applyFill="1" applyBorder="1" applyAlignment="1" applyProtection="1">
      <alignment horizontal="center" vertical="center"/>
      <protection locked="0"/>
    </xf>
    <xf numFmtId="0" fontId="19" fillId="0" borderId="9" xfId="0" applyFont="1" applyBorder="1" applyAlignment="1">
      <alignment horizontal="center"/>
    </xf>
    <xf numFmtId="0" fontId="11" fillId="0" borderId="1" xfId="0" applyFont="1" applyBorder="1" applyAlignment="1">
      <alignment horizontal="center" vertical="top" wrapText="1"/>
    </xf>
    <xf numFmtId="0" fontId="0" fillId="5" borderId="1" xfId="0" applyFill="1" applyBorder="1"/>
    <xf numFmtId="0" fontId="18" fillId="5" borderId="1" xfId="0" applyFont="1" applyFill="1" applyBorder="1" applyAlignment="1" applyProtection="1">
      <alignment horizontal="center"/>
      <protection locked="0"/>
    </xf>
    <xf numFmtId="164" fontId="19" fillId="5" borderId="1" xfId="0" applyNumberFormat="1" applyFont="1" applyFill="1" applyBorder="1" applyAlignment="1">
      <alignment horizontal="center"/>
    </xf>
    <xf numFmtId="1" fontId="11" fillId="5" borderId="1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64" fontId="10" fillId="0" borderId="0" xfId="3" applyNumberFormat="1" applyFont="1" applyAlignment="1">
      <alignment horizontal="center" vertical="center"/>
    </xf>
    <xf numFmtId="0" fontId="2" fillId="0" borderId="0" xfId="1"/>
    <xf numFmtId="0" fontId="2" fillId="0" borderId="15" xfId="1" applyBorder="1"/>
    <xf numFmtId="0" fontId="2" fillId="0" borderId="13" xfId="1" applyBorder="1"/>
    <xf numFmtId="0" fontId="2" fillId="0" borderId="9" xfId="1" applyBorder="1"/>
    <xf numFmtId="0" fontId="12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8" fillId="3" borderId="0" xfId="0" applyFont="1" applyFill="1" applyAlignment="1" applyProtection="1">
      <alignment horizontal="right"/>
      <protection locked="0"/>
    </xf>
    <xf numFmtId="0" fontId="39" fillId="0" borderId="0" xfId="0" applyFont="1"/>
    <xf numFmtId="0" fontId="40" fillId="0" borderId="0" xfId="0" applyFont="1"/>
    <xf numFmtId="0" fontId="39" fillId="0" borderId="0" xfId="0" applyFont="1" applyAlignment="1">
      <alignment horizontal="right"/>
    </xf>
    <xf numFmtId="0" fontId="41" fillId="0" borderId="0" xfId="0" applyFont="1" applyAlignment="1">
      <alignment horizontal="right"/>
    </xf>
    <xf numFmtId="0" fontId="17" fillId="0" borderId="0" xfId="3" applyFont="1" applyAlignment="1" applyProtection="1">
      <alignment wrapText="1"/>
      <protection locked="0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10" fillId="0" borderId="0" xfId="2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quotePrefix="1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68" fontId="0" fillId="0" borderId="0" xfId="0" applyNumberFormat="1" applyAlignment="1">
      <alignment vertical="center"/>
    </xf>
    <xf numFmtId="0" fontId="15" fillId="3" borderId="0" xfId="0" applyFont="1" applyFill="1" applyAlignment="1" applyProtection="1">
      <alignment vertical="center"/>
      <protection locked="0"/>
    </xf>
    <xf numFmtId="0" fontId="16" fillId="3" borderId="0" xfId="0" applyFont="1" applyFill="1" applyAlignment="1" applyProtection="1">
      <alignment vertical="center"/>
      <protection locked="0"/>
    </xf>
    <xf numFmtId="0" fontId="0" fillId="0" borderId="0" xfId="0" applyAlignment="1">
      <alignment horizontal="center" vertical="center"/>
    </xf>
    <xf numFmtId="0" fontId="18" fillId="3" borderId="0" xfId="0" applyFont="1" applyFill="1" applyAlignment="1" applyProtection="1">
      <alignment vertical="center"/>
      <protection locked="0"/>
    </xf>
    <xf numFmtId="0" fontId="0" fillId="0" borderId="1" xfId="0" applyBorder="1" applyAlignment="1">
      <alignment vertical="center"/>
    </xf>
    <xf numFmtId="0" fontId="10" fillId="0" borderId="0" xfId="3" applyFont="1" applyAlignment="1" applyProtection="1">
      <alignment vertical="center"/>
      <protection locked="0"/>
    </xf>
    <xf numFmtId="0" fontId="18" fillId="4" borderId="0" xfId="0" applyFont="1" applyFill="1" applyAlignment="1" applyProtection="1">
      <alignment vertical="center"/>
      <protection locked="0"/>
    </xf>
    <xf numFmtId="0" fontId="18" fillId="3" borderId="0" xfId="0" applyFont="1" applyFill="1" applyAlignment="1" applyProtection="1">
      <alignment horizontal="right" vertical="center"/>
      <protection locked="0"/>
    </xf>
    <xf numFmtId="0" fontId="11" fillId="0" borderId="1" xfId="0" applyFont="1" applyBorder="1" applyAlignment="1">
      <alignment horizontal="center" vertical="center"/>
    </xf>
    <xf numFmtId="0" fontId="18" fillId="3" borderId="1" xfId="0" applyFont="1" applyFill="1" applyBorder="1" applyAlignment="1" applyProtection="1">
      <alignment horizontal="center" vertical="center"/>
      <protection locked="0"/>
    </xf>
    <xf numFmtId="166" fontId="19" fillId="0" borderId="1" xfId="0" applyNumberFormat="1" applyFont="1" applyBorder="1" applyAlignment="1">
      <alignment horizontal="center" vertical="center"/>
    </xf>
    <xf numFmtId="0" fontId="18" fillId="3" borderId="3" xfId="0" applyFont="1" applyFill="1" applyBorder="1" applyAlignment="1" applyProtection="1">
      <alignment horizontal="center" vertical="center"/>
      <protection locked="0"/>
    </xf>
    <xf numFmtId="0" fontId="18" fillId="5" borderId="1" xfId="0" applyFont="1" applyFill="1" applyBorder="1" applyAlignment="1" applyProtection="1">
      <alignment horizontal="center" vertical="center"/>
      <protection locked="0"/>
    </xf>
    <xf numFmtId="0" fontId="18" fillId="3" borderId="0" xfId="0" applyFont="1" applyFill="1" applyAlignment="1" applyProtection="1">
      <alignment horizontal="center" vertical="center"/>
      <protection locked="0"/>
    </xf>
    <xf numFmtId="0" fontId="19" fillId="0" borderId="0" xfId="0" applyFont="1" applyAlignment="1">
      <alignment horizontal="center" vertical="center"/>
    </xf>
    <xf numFmtId="164" fontId="19" fillId="0" borderId="1" xfId="0" applyNumberFormat="1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3" applyFont="1" applyAlignment="1" applyProtection="1">
      <alignment horizontal="left" vertical="center"/>
      <protection locked="0"/>
    </xf>
    <xf numFmtId="0" fontId="17" fillId="0" borderId="0" xfId="3" applyFont="1" applyAlignment="1">
      <alignment vertical="center"/>
    </xf>
    <xf numFmtId="0" fontId="17" fillId="0" borderId="0" xfId="3" applyFont="1" applyAlignment="1">
      <alignment horizontal="left" vertical="center"/>
    </xf>
    <xf numFmtId="0" fontId="2" fillId="2" borderId="0" xfId="1" applyFill="1"/>
    <xf numFmtId="0" fontId="32" fillId="2" borderId="1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32" fillId="0" borderId="0" xfId="1" applyFont="1" applyAlignment="1">
      <alignment horizontal="center" vertical="center"/>
    </xf>
    <xf numFmtId="0" fontId="27" fillId="2" borderId="9" xfId="1" applyFont="1" applyFill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7" fillId="2" borderId="1" xfId="1" applyFont="1" applyFill="1" applyBorder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4" borderId="0" xfId="1" applyFill="1"/>
    <xf numFmtId="0" fontId="42" fillId="0" borderId="0" xfId="0" applyFont="1" applyAlignment="1">
      <alignment horizontal="center"/>
    </xf>
    <xf numFmtId="0" fontId="34" fillId="0" borderId="0" xfId="0" applyFont="1" applyAlignment="1">
      <alignment horizontal="center" vertical="center"/>
    </xf>
    <xf numFmtId="0" fontId="43" fillId="6" borderId="1" xfId="1" applyFont="1" applyFill="1" applyBorder="1" applyAlignment="1">
      <alignment horizontal="center" vertical="center" wrapText="1"/>
    </xf>
    <xf numFmtId="2" fontId="34" fillId="0" borderId="0" xfId="0" applyNumberFormat="1" applyFont="1" applyAlignment="1">
      <alignment horizontal="center" vertical="center"/>
    </xf>
    <xf numFmtId="0" fontId="35" fillId="6" borderId="1" xfId="1" applyFont="1" applyFill="1" applyBorder="1" applyAlignment="1">
      <alignment horizontal="center" vertical="center" wrapText="1"/>
    </xf>
    <xf numFmtId="0" fontId="45" fillId="5" borderId="8" xfId="1" applyFont="1" applyFill="1" applyBorder="1" applyAlignment="1">
      <alignment vertical="center"/>
    </xf>
    <xf numFmtId="0" fontId="45" fillId="5" borderId="13" xfId="1" applyFont="1" applyFill="1" applyBorder="1" applyAlignment="1">
      <alignment vertical="center"/>
    </xf>
    <xf numFmtId="0" fontId="2" fillId="5" borderId="13" xfId="1" applyFill="1" applyBorder="1"/>
    <xf numFmtId="0" fontId="45" fillId="5" borderId="9" xfId="1" applyFont="1" applyFill="1" applyBorder="1" applyAlignment="1">
      <alignment vertical="center"/>
    </xf>
    <xf numFmtId="0" fontId="2" fillId="0" borderId="1" xfId="1" applyBorder="1"/>
    <xf numFmtId="0" fontId="45" fillId="4" borderId="1" xfId="1" applyFont="1" applyFill="1" applyBorder="1" applyAlignment="1">
      <alignment horizontal="center" vertical="center"/>
    </xf>
    <xf numFmtId="0" fontId="35" fillId="0" borderId="8" xfId="1" applyFont="1" applyBorder="1"/>
    <xf numFmtId="0" fontId="44" fillId="4" borderId="13" xfId="1" applyFont="1" applyFill="1" applyBorder="1" applyAlignment="1">
      <alignment vertical="center"/>
    </xf>
    <xf numFmtId="0" fontId="44" fillId="4" borderId="9" xfId="1" applyFont="1" applyFill="1" applyBorder="1" applyAlignment="1">
      <alignment vertical="center"/>
    </xf>
    <xf numFmtId="0" fontId="44" fillId="4" borderId="1" xfId="1" applyFont="1" applyFill="1" applyBorder="1" applyAlignment="1">
      <alignment horizontal="center" vertical="center"/>
    </xf>
    <xf numFmtId="1" fontId="44" fillId="4" borderId="1" xfId="1" applyNumberFormat="1" applyFont="1" applyFill="1" applyBorder="1" applyAlignment="1">
      <alignment horizontal="center" vertical="center"/>
    </xf>
    <xf numFmtId="0" fontId="34" fillId="4" borderId="8" xfId="1" applyFont="1" applyFill="1" applyBorder="1" applyAlignment="1">
      <alignment vertical="center"/>
    </xf>
    <xf numFmtId="0" fontId="34" fillId="4" borderId="13" xfId="1" applyFont="1" applyFill="1" applyBorder="1" applyAlignment="1">
      <alignment vertical="center"/>
    </xf>
    <xf numFmtId="0" fontId="34" fillId="4" borderId="13" xfId="1" applyFont="1" applyFill="1" applyBorder="1" applyAlignment="1">
      <alignment horizontal="center" vertical="center"/>
    </xf>
    <xf numFmtId="0" fontId="34" fillId="4" borderId="9" xfId="1" applyFont="1" applyFill="1" applyBorder="1" applyAlignment="1">
      <alignment horizontal="center" vertical="center"/>
    </xf>
    <xf numFmtId="0" fontId="34" fillId="4" borderId="1" xfId="1" applyFont="1" applyFill="1" applyBorder="1" applyAlignment="1">
      <alignment horizontal="center" vertical="center"/>
    </xf>
    <xf numFmtId="0" fontId="2" fillId="0" borderId="35" xfId="1" applyBorder="1"/>
    <xf numFmtId="164" fontId="32" fillId="9" borderId="22" xfId="1" applyNumberFormat="1" applyFont="1" applyFill="1" applyBorder="1" applyAlignment="1">
      <alignment horizontal="center" vertical="center"/>
    </xf>
    <xf numFmtId="0" fontId="4" fillId="9" borderId="1" xfId="1" applyFont="1" applyFill="1" applyBorder="1" applyAlignment="1">
      <alignment horizontal="center" vertical="center"/>
    </xf>
    <xf numFmtId="0" fontId="4" fillId="8" borderId="1" xfId="1" applyFont="1" applyFill="1" applyBorder="1" applyAlignment="1">
      <alignment horizontal="center" vertical="center"/>
    </xf>
    <xf numFmtId="0" fontId="32" fillId="8" borderId="28" xfId="1" applyFont="1" applyFill="1" applyBorder="1" applyAlignment="1">
      <alignment horizontal="center" vertical="center"/>
    </xf>
    <xf numFmtId="0" fontId="32" fillId="0" borderId="28" xfId="1" applyFont="1" applyBorder="1" applyAlignment="1">
      <alignment horizontal="center" vertical="center"/>
    </xf>
    <xf numFmtId="164" fontId="2" fillId="9" borderId="1" xfId="1" applyNumberFormat="1" applyFill="1" applyBorder="1" applyAlignment="1">
      <alignment horizontal="center" vertical="center"/>
    </xf>
    <xf numFmtId="2" fontId="2" fillId="8" borderId="22" xfId="1" applyNumberFormat="1" applyFill="1" applyBorder="1" applyAlignment="1">
      <alignment horizontal="center"/>
    </xf>
    <xf numFmtId="164" fontId="2" fillId="9" borderId="36" xfId="1" applyNumberFormat="1" applyFill="1" applyBorder="1" applyAlignment="1">
      <alignment horizontal="center" vertical="center"/>
    </xf>
    <xf numFmtId="164" fontId="2" fillId="9" borderId="4" xfId="1" quotePrefix="1" applyNumberFormat="1" applyFill="1" applyBorder="1" applyAlignment="1">
      <alignment horizontal="center" vertical="center"/>
    </xf>
    <xf numFmtId="0" fontId="32" fillId="8" borderId="29" xfId="1" applyFont="1" applyFill="1" applyBorder="1" applyAlignment="1">
      <alignment horizontal="center" vertical="center"/>
    </xf>
    <xf numFmtId="164" fontId="32" fillId="9" borderId="25" xfId="1" applyNumberFormat="1" applyFont="1" applyFill="1" applyBorder="1" applyAlignment="1">
      <alignment horizontal="center" vertical="center"/>
    </xf>
    <xf numFmtId="164" fontId="2" fillId="9" borderId="28" xfId="1" applyNumberFormat="1" applyFill="1" applyBorder="1" applyAlignment="1">
      <alignment horizontal="center" vertical="center"/>
    </xf>
    <xf numFmtId="164" fontId="2" fillId="9" borderId="1" xfId="1" quotePrefix="1" applyNumberFormat="1" applyFill="1" applyBorder="1" applyAlignment="1">
      <alignment horizontal="center" vertical="center"/>
    </xf>
    <xf numFmtId="164" fontId="2" fillId="9" borderId="1" xfId="1" applyNumberFormat="1" applyFill="1" applyBorder="1" applyAlignment="1">
      <alignment horizontal="center"/>
    </xf>
    <xf numFmtId="164" fontId="2" fillId="9" borderId="1" xfId="1" quotePrefix="1" applyNumberFormat="1" applyFill="1" applyBorder="1" applyAlignment="1">
      <alignment horizontal="center"/>
    </xf>
    <xf numFmtId="0" fontId="2" fillId="9" borderId="1" xfId="1" quotePrefix="1" applyFill="1" applyBorder="1" applyAlignment="1">
      <alignment horizontal="center"/>
    </xf>
    <xf numFmtId="164" fontId="2" fillId="9" borderId="20" xfId="1" applyNumberFormat="1" applyFill="1" applyBorder="1" applyAlignment="1">
      <alignment horizontal="center"/>
    </xf>
    <xf numFmtId="0" fontId="32" fillId="0" borderId="29" xfId="1" applyFont="1" applyBorder="1" applyAlignment="1">
      <alignment horizontal="center" vertical="center"/>
    </xf>
    <xf numFmtId="164" fontId="2" fillId="9" borderId="24" xfId="1" applyNumberFormat="1" applyFill="1" applyBorder="1" applyAlignment="1">
      <alignment horizontal="center"/>
    </xf>
    <xf numFmtId="0" fontId="2" fillId="9" borderId="24" xfId="1" quotePrefix="1" applyFill="1" applyBorder="1" applyAlignment="1">
      <alignment horizontal="center"/>
    </xf>
    <xf numFmtId="2" fontId="2" fillId="8" borderId="25" xfId="1" applyNumberFormat="1" applyFill="1" applyBorder="1" applyAlignment="1">
      <alignment horizontal="center"/>
    </xf>
    <xf numFmtId="0" fontId="2" fillId="0" borderId="38" xfId="1" applyBorder="1"/>
    <xf numFmtId="164" fontId="2" fillId="9" borderId="23" xfId="1" applyNumberFormat="1" applyFill="1" applyBorder="1" applyAlignment="1">
      <alignment horizontal="center"/>
    </xf>
    <xf numFmtId="164" fontId="2" fillId="9" borderId="24" xfId="1" quotePrefix="1" applyNumberFormat="1" applyFill="1" applyBorder="1" applyAlignment="1">
      <alignment horizontal="center"/>
    </xf>
    <xf numFmtId="0" fontId="2" fillId="0" borderId="30" xfId="1" applyBorder="1"/>
    <xf numFmtId="0" fontId="47" fillId="0" borderId="0" xfId="1" applyFont="1"/>
    <xf numFmtId="0" fontId="32" fillId="9" borderId="22" xfId="1" applyFont="1" applyFill="1" applyBorder="1" applyAlignment="1">
      <alignment horizontal="center" vertical="center"/>
    </xf>
    <xf numFmtId="0" fontId="2" fillId="0" borderId="0" xfId="1" applyAlignment="1">
      <alignment horizontal="center"/>
    </xf>
    <xf numFmtId="0" fontId="4" fillId="9" borderId="44" xfId="1" applyFont="1" applyFill="1" applyBorder="1" applyAlignment="1">
      <alignment horizontal="center" vertical="center"/>
    </xf>
    <xf numFmtId="0" fontId="4" fillId="8" borderId="44" xfId="1" applyFont="1" applyFill="1" applyBorder="1" applyAlignment="1">
      <alignment horizontal="center" vertical="center"/>
    </xf>
    <xf numFmtId="164" fontId="2" fillId="9" borderId="4" xfId="1" applyNumberFormat="1" applyFill="1" applyBorder="1" applyAlignment="1">
      <alignment horizontal="center" vertical="center"/>
    </xf>
    <xf numFmtId="2" fontId="2" fillId="8" borderId="21" xfId="1" applyNumberFormat="1" applyFill="1" applyBorder="1" applyAlignment="1">
      <alignment horizontal="center"/>
    </xf>
    <xf numFmtId="0" fontId="2" fillId="4" borderId="30" xfId="1" applyFill="1" applyBorder="1" applyAlignment="1">
      <alignment horizontal="center" vertical="center"/>
    </xf>
    <xf numFmtId="164" fontId="2" fillId="4" borderId="0" xfId="1" applyNumberFormat="1" applyFill="1" applyAlignment="1">
      <alignment horizontal="center"/>
    </xf>
    <xf numFmtId="0" fontId="2" fillId="4" borderId="0" xfId="1" quotePrefix="1" applyFill="1" applyAlignment="1">
      <alignment horizontal="center"/>
    </xf>
    <xf numFmtId="166" fontId="2" fillId="4" borderId="0" xfId="1" applyNumberFormat="1" applyFill="1" applyAlignment="1">
      <alignment horizontal="center"/>
    </xf>
    <xf numFmtId="0" fontId="32" fillId="9" borderId="25" xfId="1" applyFont="1" applyFill="1" applyBorder="1" applyAlignment="1">
      <alignment horizontal="center" vertical="center"/>
    </xf>
    <xf numFmtId="1" fontId="2" fillId="9" borderId="36" xfId="1" applyNumberFormat="1" applyFill="1" applyBorder="1" applyAlignment="1">
      <alignment horizontal="center" vertical="center"/>
    </xf>
    <xf numFmtId="1" fontId="2" fillId="9" borderId="28" xfId="1" applyNumberFormat="1" applyFill="1" applyBorder="1" applyAlignment="1">
      <alignment horizontal="center" vertical="center"/>
    </xf>
    <xf numFmtId="1" fontId="2" fillId="9" borderId="20" xfId="1" applyNumberFormat="1" applyFill="1" applyBorder="1" applyAlignment="1">
      <alignment horizontal="center"/>
    </xf>
    <xf numFmtId="1" fontId="2" fillId="9" borderId="23" xfId="1" applyNumberFormat="1" applyFill="1" applyBorder="1" applyAlignment="1">
      <alignment horizontal="center"/>
    </xf>
    <xf numFmtId="164" fontId="2" fillId="9" borderId="23" xfId="1" quotePrefix="1" applyNumberFormat="1" applyFill="1" applyBorder="1" applyAlignment="1">
      <alignment horizontal="center"/>
    </xf>
    <xf numFmtId="2" fontId="2" fillId="4" borderId="0" xfId="1" applyNumberFormat="1" applyFill="1" applyAlignment="1">
      <alignment horizontal="center"/>
    </xf>
    <xf numFmtId="0" fontId="4" fillId="9" borderId="44" xfId="1" quotePrefix="1" applyFont="1" applyFill="1" applyBorder="1" applyAlignment="1">
      <alignment horizontal="center" vertical="center"/>
    </xf>
    <xf numFmtId="166" fontId="2" fillId="9" borderId="4" xfId="1" applyNumberFormat="1" applyFill="1" applyBorder="1" applyAlignment="1">
      <alignment horizontal="center" vertical="center"/>
    </xf>
    <xf numFmtId="166" fontId="2" fillId="9" borderId="1" xfId="1" applyNumberFormat="1" applyFill="1" applyBorder="1" applyAlignment="1">
      <alignment horizontal="center" vertical="center"/>
    </xf>
    <xf numFmtId="164" fontId="2" fillId="9" borderId="47" xfId="1" applyNumberFormat="1" applyFill="1" applyBorder="1" applyAlignment="1">
      <alignment horizontal="center" vertical="center"/>
    </xf>
    <xf numFmtId="164" fontId="2" fillId="9" borderId="23" xfId="1" applyNumberFormat="1" applyFill="1" applyBorder="1" applyAlignment="1">
      <alignment horizontal="center" vertical="center"/>
    </xf>
    <xf numFmtId="0" fontId="2" fillId="0" borderId="37" xfId="1" applyBorder="1" applyAlignment="1">
      <alignment horizontal="center" vertical="center"/>
    </xf>
    <xf numFmtId="164" fontId="2" fillId="0" borderId="0" xfId="1" applyNumberFormat="1" applyAlignment="1">
      <alignment horizontal="center"/>
    </xf>
    <xf numFmtId="0" fontId="2" fillId="0" borderId="0" xfId="1" quotePrefix="1" applyAlignment="1">
      <alignment horizontal="center"/>
    </xf>
    <xf numFmtId="2" fontId="2" fillId="0" borderId="0" xfId="1" applyNumberFormat="1" applyAlignment="1">
      <alignment horizontal="center"/>
    </xf>
    <xf numFmtId="164" fontId="2" fillId="0" borderId="0" xfId="1" quotePrefix="1" applyNumberFormat="1" applyAlignment="1">
      <alignment horizontal="center"/>
    </xf>
    <xf numFmtId="0" fontId="47" fillId="7" borderId="37" xfId="1" applyFont="1" applyFill="1" applyBorder="1"/>
    <xf numFmtId="0" fontId="34" fillId="4" borderId="35" xfId="1" applyFont="1" applyFill="1" applyBorder="1" applyAlignment="1">
      <alignment vertical="center"/>
    </xf>
    <xf numFmtId="0" fontId="34" fillId="4" borderId="35" xfId="1" applyFont="1" applyFill="1" applyBorder="1" applyAlignment="1">
      <alignment horizontal="center" vertical="center"/>
    </xf>
    <xf numFmtId="0" fontId="48" fillId="8" borderId="1" xfId="1" applyFont="1" applyFill="1" applyBorder="1" applyAlignment="1">
      <alignment horizontal="center" vertical="center"/>
    </xf>
    <xf numFmtId="0" fontId="3" fillId="8" borderId="1" xfId="1" applyFont="1" applyFill="1" applyBorder="1" applyAlignment="1">
      <alignment horizontal="center" vertical="center"/>
    </xf>
    <xf numFmtId="0" fontId="33" fillId="5" borderId="28" xfId="1" applyFont="1" applyFill="1" applyBorder="1" applyAlignment="1">
      <alignment horizontal="center" vertical="center"/>
    </xf>
    <xf numFmtId="164" fontId="33" fillId="5" borderId="22" xfId="1" applyNumberFormat="1" applyFont="1" applyFill="1" applyBorder="1" applyAlignment="1">
      <alignment horizontal="center" vertical="center"/>
    </xf>
    <xf numFmtId="0" fontId="47" fillId="8" borderId="1" xfId="1" applyFont="1" applyFill="1" applyBorder="1" applyAlignment="1">
      <alignment horizontal="center" vertical="center"/>
    </xf>
    <xf numFmtId="2" fontId="47" fillId="8" borderId="1" xfId="1" applyNumberFormat="1" applyFont="1" applyFill="1" applyBorder="1" applyAlignment="1">
      <alignment horizontal="center" vertical="center"/>
    </xf>
    <xf numFmtId="2" fontId="47" fillId="8" borderId="22" xfId="1" applyNumberFormat="1" applyFont="1" applyFill="1" applyBorder="1" applyAlignment="1">
      <alignment horizontal="center" vertical="center"/>
    </xf>
    <xf numFmtId="0" fontId="33" fillId="5" borderId="28" xfId="1" applyFont="1" applyFill="1" applyBorder="1" applyAlignment="1">
      <alignment horizontal="center"/>
    </xf>
    <xf numFmtId="0" fontId="33" fillId="5" borderId="22" xfId="1" applyFont="1" applyFill="1" applyBorder="1" applyAlignment="1">
      <alignment horizontal="center" vertical="center"/>
    </xf>
    <xf numFmtId="0" fontId="33" fillId="5" borderId="22" xfId="1" applyFont="1" applyFill="1" applyBorder="1" applyAlignment="1">
      <alignment horizontal="center"/>
    </xf>
    <xf numFmtId="2" fontId="47" fillId="8" borderId="1" xfId="1" applyNumberFormat="1" applyFont="1" applyFill="1" applyBorder="1" applyAlignment="1">
      <alignment horizontal="center"/>
    </xf>
    <xf numFmtId="2" fontId="47" fillId="8" borderId="22" xfId="1" applyNumberFormat="1" applyFont="1" applyFill="1" applyBorder="1" applyAlignment="1">
      <alignment horizontal="center"/>
    </xf>
    <xf numFmtId="164" fontId="32" fillId="5" borderId="22" xfId="1" applyNumberFormat="1" applyFont="1" applyFill="1" applyBorder="1" applyAlignment="1">
      <alignment horizontal="center"/>
    </xf>
    <xf numFmtId="0" fontId="33" fillId="5" borderId="29" xfId="1" applyFont="1" applyFill="1" applyBorder="1" applyAlignment="1">
      <alignment horizontal="center" vertical="center"/>
    </xf>
    <xf numFmtId="164" fontId="32" fillId="5" borderId="25" xfId="1" applyNumberFormat="1" applyFont="1" applyFill="1" applyBorder="1" applyAlignment="1">
      <alignment horizontal="center"/>
    </xf>
    <xf numFmtId="0" fontId="47" fillId="8" borderId="24" xfId="1" applyFont="1" applyFill="1" applyBorder="1" applyAlignment="1">
      <alignment horizontal="center" vertical="center"/>
    </xf>
    <xf numFmtId="2" fontId="47" fillId="8" borderId="24" xfId="1" applyNumberFormat="1" applyFont="1" applyFill="1" applyBorder="1" applyAlignment="1">
      <alignment horizontal="center"/>
    </xf>
    <xf numFmtId="0" fontId="47" fillId="0" borderId="38" xfId="1" applyFont="1" applyBorder="1"/>
    <xf numFmtId="2" fontId="47" fillId="8" borderId="25" xfId="1" applyNumberFormat="1" applyFont="1" applyFill="1" applyBorder="1" applyAlignment="1">
      <alignment horizontal="center"/>
    </xf>
    <xf numFmtId="0" fontId="47" fillId="0" borderId="0" xfId="1" applyFont="1" applyAlignment="1">
      <alignment horizontal="center" vertical="center"/>
    </xf>
    <xf numFmtId="0" fontId="47" fillId="4" borderId="49" xfId="1" applyFont="1" applyFill="1" applyBorder="1" applyAlignment="1">
      <alignment horizontal="center" vertical="center"/>
    </xf>
    <xf numFmtId="0" fontId="47" fillId="4" borderId="2" xfId="1" applyFont="1" applyFill="1" applyBorder="1" applyAlignment="1">
      <alignment horizontal="center" vertical="center"/>
    </xf>
    <xf numFmtId="2" fontId="47" fillId="4" borderId="51" xfId="1" applyNumberFormat="1" applyFont="1" applyFill="1" applyBorder="1" applyAlignment="1">
      <alignment horizontal="center"/>
    </xf>
    <xf numFmtId="2" fontId="47" fillId="4" borderId="52" xfId="1" applyNumberFormat="1" applyFont="1" applyFill="1" applyBorder="1" applyAlignment="1">
      <alignment horizontal="center"/>
    </xf>
    <xf numFmtId="0" fontId="47" fillId="4" borderId="0" xfId="1" applyFont="1" applyFill="1"/>
    <xf numFmtId="2" fontId="47" fillId="4" borderId="2" xfId="1" applyNumberFormat="1" applyFont="1" applyFill="1" applyBorder="1" applyAlignment="1">
      <alignment horizontal="center"/>
    </xf>
    <xf numFmtId="2" fontId="47" fillId="4" borderId="19" xfId="1" applyNumberFormat="1" applyFont="1" applyFill="1" applyBorder="1" applyAlignment="1">
      <alignment horizontal="center"/>
    </xf>
    <xf numFmtId="0" fontId="47" fillId="8" borderId="33" xfId="1" applyFont="1" applyFill="1" applyBorder="1" applyAlignment="1">
      <alignment horizontal="center" vertical="center"/>
    </xf>
    <xf numFmtId="2" fontId="47" fillId="8" borderId="33" xfId="1" applyNumberFormat="1" applyFont="1" applyFill="1" applyBorder="1" applyAlignment="1">
      <alignment horizontal="center"/>
    </xf>
    <xf numFmtId="0" fontId="47" fillId="0" borderId="35" xfId="1" applyFont="1" applyBorder="1"/>
    <xf numFmtId="2" fontId="47" fillId="8" borderId="34" xfId="1" applyNumberFormat="1" applyFont="1" applyFill="1" applyBorder="1" applyAlignment="1">
      <alignment horizontal="center"/>
    </xf>
    <xf numFmtId="164" fontId="50" fillId="5" borderId="22" xfId="1" applyNumberFormat="1" applyFont="1" applyFill="1" applyBorder="1" applyAlignment="1">
      <alignment horizontal="center" vertical="center"/>
    </xf>
    <xf numFmtId="2" fontId="47" fillId="8" borderId="24" xfId="1" applyNumberFormat="1" applyFont="1" applyFill="1" applyBorder="1" applyAlignment="1">
      <alignment horizontal="center" vertical="center"/>
    </xf>
    <xf numFmtId="2" fontId="47" fillId="8" borderId="25" xfId="1" applyNumberFormat="1" applyFont="1" applyFill="1" applyBorder="1" applyAlignment="1">
      <alignment horizontal="center" vertical="center"/>
    </xf>
    <xf numFmtId="2" fontId="47" fillId="4" borderId="7" xfId="1" applyNumberFormat="1" applyFont="1" applyFill="1" applyBorder="1" applyAlignment="1">
      <alignment horizontal="center" vertical="center"/>
    </xf>
    <xf numFmtId="2" fontId="47" fillId="4" borderId="19" xfId="1" applyNumberFormat="1" applyFont="1" applyFill="1" applyBorder="1" applyAlignment="1">
      <alignment horizontal="center" vertical="center"/>
    </xf>
    <xf numFmtId="2" fontId="47" fillId="8" borderId="33" xfId="1" applyNumberFormat="1" applyFont="1" applyFill="1" applyBorder="1" applyAlignment="1">
      <alignment horizontal="center" vertical="center"/>
    </xf>
    <xf numFmtId="2" fontId="47" fillId="8" borderId="34" xfId="1" applyNumberFormat="1" applyFont="1" applyFill="1" applyBorder="1" applyAlignment="1">
      <alignment horizontal="center" vertical="center"/>
    </xf>
    <xf numFmtId="164" fontId="33" fillId="5" borderId="22" xfId="1" applyNumberFormat="1" applyFont="1" applyFill="1" applyBorder="1" applyAlignment="1">
      <alignment horizontal="center"/>
    </xf>
    <xf numFmtId="0" fontId="47" fillId="4" borderId="51" xfId="1" applyFont="1" applyFill="1" applyBorder="1" applyAlignment="1">
      <alignment horizontal="center" vertical="center"/>
    </xf>
    <xf numFmtId="0" fontId="47" fillId="4" borderId="30" xfId="1" applyFont="1" applyFill="1" applyBorder="1" applyAlignment="1">
      <alignment horizontal="center" vertical="center"/>
    </xf>
    <xf numFmtId="0" fontId="47" fillId="0" borderId="30" xfId="1" applyFont="1" applyBorder="1" applyAlignment="1">
      <alignment horizontal="center" vertical="center"/>
    </xf>
    <xf numFmtId="0" fontId="47" fillId="4" borderId="0" xfId="1" applyFont="1" applyFill="1" applyAlignment="1">
      <alignment horizontal="center" vertical="center"/>
    </xf>
    <xf numFmtId="0" fontId="34" fillId="4" borderId="32" xfId="1" applyFont="1" applyFill="1" applyBorder="1" applyAlignment="1">
      <alignment horizontal="center" vertical="center"/>
    </xf>
    <xf numFmtId="0" fontId="34" fillId="4" borderId="35" xfId="1" applyFont="1" applyFill="1" applyBorder="1" applyAlignment="1">
      <alignment horizontal="left" vertical="center" wrapText="1"/>
    </xf>
    <xf numFmtId="0" fontId="48" fillId="4" borderId="28" xfId="1" applyFont="1" applyFill="1" applyBorder="1" applyAlignment="1">
      <alignment horizontal="center" vertical="center"/>
    </xf>
    <xf numFmtId="0" fontId="3" fillId="4" borderId="28" xfId="1" applyFont="1" applyFill="1" applyBorder="1" applyAlignment="1">
      <alignment horizontal="center" vertical="center"/>
    </xf>
    <xf numFmtId="0" fontId="48" fillId="4" borderId="1" xfId="1" applyFont="1" applyFill="1" applyBorder="1" applyAlignment="1">
      <alignment horizontal="center" vertical="center"/>
    </xf>
    <xf numFmtId="0" fontId="49" fillId="4" borderId="28" xfId="1" applyFont="1" applyFill="1" applyBorder="1" applyAlignment="1">
      <alignment horizontal="center" vertical="center"/>
    </xf>
    <xf numFmtId="164" fontId="47" fillId="4" borderId="28" xfId="1" applyNumberFormat="1" applyFont="1" applyFill="1" applyBorder="1" applyAlignment="1">
      <alignment horizontal="center" vertical="center"/>
    </xf>
    <xf numFmtId="164" fontId="47" fillId="4" borderId="1" xfId="1" applyNumberFormat="1" applyFont="1" applyFill="1" applyBorder="1" applyAlignment="1">
      <alignment horizontal="center" vertical="center"/>
    </xf>
    <xf numFmtId="164" fontId="47" fillId="4" borderId="22" xfId="1" applyNumberFormat="1" applyFont="1" applyFill="1" applyBorder="1" applyAlignment="1">
      <alignment horizontal="center" vertical="center"/>
    </xf>
    <xf numFmtId="1" fontId="47" fillId="4" borderId="28" xfId="1" applyNumberFormat="1" applyFont="1" applyFill="1" applyBorder="1" applyAlignment="1">
      <alignment horizontal="center"/>
    </xf>
    <xf numFmtId="164" fontId="47" fillId="9" borderId="1" xfId="1" applyNumberFormat="1" applyFont="1" applyFill="1" applyBorder="1" applyAlignment="1">
      <alignment horizontal="center"/>
    </xf>
    <xf numFmtId="164" fontId="47" fillId="4" borderId="1" xfId="1" applyNumberFormat="1" applyFont="1" applyFill="1" applyBorder="1" applyAlignment="1">
      <alignment horizontal="center"/>
    </xf>
    <xf numFmtId="164" fontId="47" fillId="4" borderId="22" xfId="1" applyNumberFormat="1" applyFont="1" applyFill="1" applyBorder="1" applyAlignment="1">
      <alignment horizontal="center"/>
    </xf>
    <xf numFmtId="167" fontId="47" fillId="4" borderId="30" xfId="1" applyNumberFormat="1" applyFont="1" applyFill="1" applyBorder="1" applyAlignment="1">
      <alignment horizontal="center"/>
    </xf>
    <xf numFmtId="0" fontId="2" fillId="0" borderId="29" xfId="1" applyBorder="1" applyAlignment="1">
      <alignment horizontal="center" vertical="center"/>
    </xf>
    <xf numFmtId="164" fontId="2" fillId="9" borderId="24" xfId="1" applyNumberFormat="1" applyFill="1" applyBorder="1" applyAlignment="1">
      <alignment horizontal="center" vertical="center"/>
    </xf>
    <xf numFmtId="164" fontId="2" fillId="0" borderId="24" xfId="1" applyNumberFormat="1" applyBorder="1" applyAlignment="1">
      <alignment horizontal="center" vertical="center"/>
    </xf>
    <xf numFmtId="164" fontId="47" fillId="4" borderId="25" xfId="1" applyNumberFormat="1" applyFont="1" applyFill="1" applyBorder="1" applyAlignment="1">
      <alignment horizontal="center"/>
    </xf>
    <xf numFmtId="0" fontId="33" fillId="4" borderId="0" xfId="1" applyFont="1" applyFill="1"/>
    <xf numFmtId="0" fontId="2" fillId="0" borderId="52" xfId="1" applyBorder="1"/>
    <xf numFmtId="0" fontId="49" fillId="4" borderId="0" xfId="1" applyFont="1" applyFill="1"/>
    <xf numFmtId="0" fontId="2" fillId="9" borderId="33" xfId="1" applyFill="1" applyBorder="1"/>
    <xf numFmtId="0" fontId="2" fillId="9" borderId="34" xfId="1" applyFill="1" applyBorder="1"/>
    <xf numFmtId="164" fontId="47" fillId="4" borderId="29" xfId="1" applyNumberFormat="1" applyFont="1" applyFill="1" applyBorder="1" applyAlignment="1">
      <alignment horizontal="center" vertical="center"/>
    </xf>
    <xf numFmtId="164" fontId="47" fillId="4" borderId="24" xfId="1" applyNumberFormat="1" applyFont="1" applyFill="1" applyBorder="1" applyAlignment="1">
      <alignment horizontal="center" vertical="center"/>
    </xf>
    <xf numFmtId="164" fontId="47" fillId="4" borderId="25" xfId="1" applyNumberFormat="1" applyFont="1" applyFill="1" applyBorder="1" applyAlignment="1">
      <alignment horizontal="center" vertical="center"/>
    </xf>
    <xf numFmtId="0" fontId="2" fillId="9" borderId="1" xfId="1" applyFill="1" applyBorder="1"/>
    <xf numFmtId="0" fontId="2" fillId="9" borderId="22" xfId="1" applyFill="1" applyBorder="1"/>
    <xf numFmtId="0" fontId="47" fillId="4" borderId="30" xfId="1" applyFont="1" applyFill="1" applyBorder="1"/>
    <xf numFmtId="0" fontId="2" fillId="9" borderId="24" xfId="1" applyFill="1" applyBorder="1"/>
    <xf numFmtId="0" fontId="2" fillId="9" borderId="25" xfId="1" applyFill="1" applyBorder="1"/>
    <xf numFmtId="0" fontId="34" fillId="4" borderId="0" xfId="1" applyFont="1" applyFill="1" applyAlignment="1">
      <alignment vertical="center"/>
    </xf>
    <xf numFmtId="167" fontId="49" fillId="4" borderId="0" xfId="1" applyNumberFormat="1" applyFont="1" applyFill="1" applyAlignment="1">
      <alignment horizontal="center"/>
    </xf>
    <xf numFmtId="164" fontId="34" fillId="4" borderId="33" xfId="1" applyNumberFormat="1" applyFont="1" applyFill="1" applyBorder="1" applyAlignment="1">
      <alignment horizontal="center"/>
    </xf>
    <xf numFmtId="164" fontId="34" fillId="4" borderId="34" xfId="1" applyNumberFormat="1" applyFont="1" applyFill="1" applyBorder="1" applyAlignment="1">
      <alignment horizontal="center"/>
    </xf>
    <xf numFmtId="0" fontId="48" fillId="4" borderId="0" xfId="1" applyFont="1" applyFill="1" applyAlignment="1">
      <alignment vertical="center"/>
    </xf>
    <xf numFmtId="0" fontId="34" fillId="4" borderId="36" xfId="1" applyFont="1" applyFill="1" applyBorder="1" applyAlignment="1">
      <alignment horizontal="center" vertical="center"/>
    </xf>
    <xf numFmtId="164" fontId="34" fillId="4" borderId="28" xfId="1" applyNumberFormat="1" applyFont="1" applyFill="1" applyBorder="1" applyAlignment="1">
      <alignment horizontal="center" vertical="center"/>
    </xf>
    <xf numFmtId="164" fontId="34" fillId="4" borderId="1" xfId="1" applyNumberFormat="1" applyFont="1" applyFill="1" applyBorder="1" applyAlignment="1">
      <alignment horizontal="center"/>
    </xf>
    <xf numFmtId="164" fontId="34" fillId="4" borderId="22" xfId="1" applyNumberFormat="1" applyFont="1" applyFill="1" applyBorder="1" applyAlignment="1">
      <alignment horizontal="center"/>
    </xf>
    <xf numFmtId="0" fontId="34" fillId="4" borderId="29" xfId="1" applyFont="1" applyFill="1" applyBorder="1" applyAlignment="1">
      <alignment horizontal="center" vertical="center"/>
    </xf>
    <xf numFmtId="164" fontId="34" fillId="4" borderId="47" xfId="1" applyNumberFormat="1" applyFont="1" applyFill="1" applyBorder="1" applyAlignment="1">
      <alignment horizontal="center"/>
    </xf>
    <xf numFmtId="164" fontId="34" fillId="4" borderId="24" xfId="1" applyNumberFormat="1" applyFont="1" applyFill="1" applyBorder="1" applyAlignment="1">
      <alignment horizontal="center"/>
    </xf>
    <xf numFmtId="164" fontId="34" fillId="4" borderId="54" xfId="1" applyNumberFormat="1" applyFont="1" applyFill="1" applyBorder="1" applyAlignment="1">
      <alignment horizontal="center"/>
    </xf>
    <xf numFmtId="166" fontId="47" fillId="4" borderId="38" xfId="1" applyNumberFormat="1" applyFont="1" applyFill="1" applyBorder="1" applyAlignment="1">
      <alignment horizontal="center"/>
    </xf>
    <xf numFmtId="0" fontId="47" fillId="4" borderId="38" xfId="1" applyFont="1" applyFill="1" applyBorder="1"/>
    <xf numFmtId="2" fontId="47" fillId="4" borderId="38" xfId="1" applyNumberFormat="1" applyFont="1" applyFill="1" applyBorder="1" applyAlignment="1">
      <alignment horizontal="center"/>
    </xf>
    <xf numFmtId="0" fontId="2" fillId="0" borderId="55" xfId="1" applyBorder="1"/>
    <xf numFmtId="0" fontId="47" fillId="8" borderId="20" xfId="1" applyFont="1" applyFill="1" applyBorder="1" applyAlignment="1">
      <alignment vertical="center"/>
    </xf>
    <xf numFmtId="0" fontId="47" fillId="8" borderId="13" xfId="1" applyFont="1" applyFill="1" applyBorder="1" applyAlignment="1">
      <alignment horizontal="center" vertical="center"/>
    </xf>
    <xf numFmtId="0" fontId="47" fillId="8" borderId="13" xfId="1" applyFont="1" applyFill="1" applyBorder="1" applyAlignment="1">
      <alignment vertical="center"/>
    </xf>
    <xf numFmtId="0" fontId="47" fillId="8" borderId="9" xfId="1" applyFont="1" applyFill="1" applyBorder="1" applyAlignment="1">
      <alignment vertical="center"/>
    </xf>
    <xf numFmtId="0" fontId="47" fillId="8" borderId="8" xfId="1" applyFont="1" applyFill="1" applyBorder="1" applyAlignment="1">
      <alignment vertical="center"/>
    </xf>
    <xf numFmtId="0" fontId="47" fillId="8" borderId="32" xfId="1" applyFont="1" applyFill="1" applyBorder="1" applyAlignment="1">
      <alignment horizontal="center" vertical="center"/>
    </xf>
    <xf numFmtId="0" fontId="47" fillId="8" borderId="34" xfId="1" applyFont="1" applyFill="1" applyBorder="1" applyAlignment="1">
      <alignment horizontal="center" vertical="center"/>
    </xf>
    <xf numFmtId="0" fontId="47" fillId="8" borderId="56" xfId="1" applyFont="1" applyFill="1" applyBorder="1" applyAlignment="1">
      <alignment horizontal="center" vertical="center"/>
    </xf>
    <xf numFmtId="0" fontId="27" fillId="4" borderId="28" xfId="1" applyFont="1" applyFill="1" applyBorder="1" applyAlignment="1">
      <alignment horizontal="center" vertical="center"/>
    </xf>
    <xf numFmtId="0" fontId="27" fillId="4" borderId="1" xfId="1" applyFont="1" applyFill="1" applyBorder="1" applyAlignment="1">
      <alignment horizontal="center" vertical="center"/>
    </xf>
    <xf numFmtId="0" fontId="51" fillId="0" borderId="22" xfId="1" applyFont="1" applyBorder="1" applyAlignment="1">
      <alignment vertical="center"/>
    </xf>
    <xf numFmtId="0" fontId="47" fillId="8" borderId="28" xfId="1" applyFont="1" applyFill="1" applyBorder="1" applyAlignment="1">
      <alignment horizontal="center" vertical="center"/>
    </xf>
    <xf numFmtId="0" fontId="47" fillId="8" borderId="22" xfId="1" applyFont="1" applyFill="1" applyBorder="1" applyAlignment="1">
      <alignment horizontal="center" vertical="center"/>
    </xf>
    <xf numFmtId="0" fontId="52" fillId="0" borderId="22" xfId="1" applyFont="1" applyBorder="1" applyAlignment="1">
      <alignment horizontal="left" vertical="center"/>
    </xf>
    <xf numFmtId="0" fontId="47" fillId="4" borderId="29" xfId="1" applyFont="1" applyFill="1" applyBorder="1"/>
    <xf numFmtId="2" fontId="51" fillId="0" borderId="24" xfId="1" applyNumberFormat="1" applyFont="1" applyBorder="1" applyAlignment="1">
      <alignment horizontal="center" vertical="center"/>
    </xf>
    <xf numFmtId="2" fontId="51" fillId="0" borderId="25" xfId="1" applyNumberFormat="1" applyFont="1" applyBorder="1" applyAlignment="1">
      <alignment horizontal="center" vertical="center"/>
    </xf>
    <xf numFmtId="0" fontId="47" fillId="8" borderId="6" xfId="1" applyFont="1" applyFill="1" applyBorder="1" applyAlignment="1">
      <alignment horizontal="center" vertical="center"/>
    </xf>
    <xf numFmtId="0" fontId="47" fillId="8" borderId="6" xfId="1" applyFont="1" applyFill="1" applyBorder="1" applyAlignment="1">
      <alignment vertical="center"/>
    </xf>
    <xf numFmtId="0" fontId="47" fillId="8" borderId="10" xfId="1" applyFont="1" applyFill="1" applyBorder="1" applyAlignment="1">
      <alignment vertical="center"/>
    </xf>
    <xf numFmtId="0" fontId="47" fillId="8" borderId="5" xfId="1" applyFont="1" applyFill="1" applyBorder="1" applyAlignment="1">
      <alignment vertical="center"/>
    </xf>
    <xf numFmtId="0" fontId="47" fillId="8" borderId="57" xfId="1" applyFont="1" applyFill="1" applyBorder="1" applyAlignment="1">
      <alignment horizontal="left" vertical="center"/>
    </xf>
    <xf numFmtId="0" fontId="47" fillId="8" borderId="29" xfId="1" applyFont="1" applyFill="1" applyBorder="1" applyAlignment="1">
      <alignment horizontal="center" vertical="center"/>
    </xf>
    <xf numFmtId="0" fontId="47" fillId="8" borderId="25" xfId="1" applyFont="1" applyFill="1" applyBorder="1" applyAlignment="1">
      <alignment horizontal="center" vertical="center"/>
    </xf>
    <xf numFmtId="0" fontId="52" fillId="0" borderId="0" xfId="0" applyFont="1" applyAlignment="1">
      <alignment vertical="center"/>
    </xf>
    <xf numFmtId="0" fontId="52" fillId="0" borderId="0" xfId="0" applyFont="1"/>
    <xf numFmtId="0" fontId="10" fillId="0" borderId="0" xfId="0" applyFont="1"/>
    <xf numFmtId="0" fontId="10" fillId="4" borderId="0" xfId="0" applyFont="1" applyFill="1" applyAlignment="1" applyProtection="1">
      <alignment vertical="center"/>
      <protection locked="0"/>
    </xf>
    <xf numFmtId="0" fontId="14" fillId="0" borderId="0" xfId="0" applyFont="1"/>
    <xf numFmtId="0" fontId="0" fillId="0" borderId="1" xfId="0" applyBorder="1" applyAlignment="1">
      <alignment horizontal="center" vertical="center"/>
    </xf>
    <xf numFmtId="0" fontId="0" fillId="0" borderId="13" xfId="0" applyBorder="1"/>
    <xf numFmtId="0" fontId="37" fillId="3" borderId="9" xfId="0" applyFont="1" applyFill="1" applyBorder="1" applyAlignment="1" applyProtection="1">
      <alignment horizontal="center" vertical="center" wrapText="1"/>
      <protection locked="0"/>
    </xf>
    <xf numFmtId="0" fontId="18" fillId="5" borderId="1" xfId="0" applyFont="1" applyFill="1" applyBorder="1" applyAlignment="1" applyProtection="1">
      <alignment vertical="top" wrapText="1"/>
      <protection locked="0"/>
    </xf>
    <xf numFmtId="166" fontId="11" fillId="0" borderId="1" xfId="0" applyNumberFormat="1" applyFont="1" applyBorder="1" applyAlignment="1">
      <alignment horizontal="center"/>
    </xf>
    <xf numFmtId="166" fontId="11" fillId="5" borderId="1" xfId="0" applyNumberFormat="1" applyFont="1" applyFill="1" applyBorder="1" applyAlignment="1">
      <alignment horizontal="center"/>
    </xf>
    <xf numFmtId="0" fontId="18" fillId="4" borderId="1" xfId="0" applyFont="1" applyFill="1" applyBorder="1" applyAlignment="1" applyProtection="1">
      <alignment vertical="top" wrapText="1"/>
      <protection locked="0"/>
    </xf>
    <xf numFmtId="0" fontId="18" fillId="5" borderId="1" xfId="0" applyFont="1" applyFill="1" applyBorder="1" applyAlignment="1" applyProtection="1">
      <alignment horizontal="center" vertical="top" wrapText="1"/>
      <protection locked="0"/>
    </xf>
    <xf numFmtId="0" fontId="37" fillId="5" borderId="9" xfId="0" applyFont="1" applyFill="1" applyBorder="1" applyAlignment="1" applyProtection="1">
      <alignment horizontal="center" vertical="center" wrapText="1"/>
      <protection locked="0"/>
    </xf>
    <xf numFmtId="0" fontId="0" fillId="5" borderId="13" xfId="0" applyFill="1" applyBorder="1"/>
    <xf numFmtId="0" fontId="55" fillId="0" borderId="1" xfId="0" applyFont="1" applyBorder="1" applyAlignment="1">
      <alignment horizontal="center" vertical="top"/>
    </xf>
    <xf numFmtId="0" fontId="43" fillId="4" borderId="1" xfId="1" applyFont="1" applyFill="1" applyBorder="1" applyAlignment="1">
      <alignment horizontal="center" vertical="top" wrapText="1"/>
    </xf>
    <xf numFmtId="0" fontId="43" fillId="2" borderId="1" xfId="1" applyFont="1" applyFill="1" applyBorder="1" applyAlignment="1">
      <alignment horizontal="center" vertical="top" wrapText="1"/>
    </xf>
    <xf numFmtId="0" fontId="43" fillId="6" borderId="1" xfId="1" applyFont="1" applyFill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center"/>
    </xf>
    <xf numFmtId="0" fontId="56" fillId="2" borderId="1" xfId="1" applyFont="1" applyFill="1" applyBorder="1" applyAlignment="1" applyProtection="1">
      <alignment horizontal="center" vertical="center"/>
      <protection locked="0"/>
    </xf>
    <xf numFmtId="0" fontId="29" fillId="2" borderId="1" xfId="1" applyFont="1" applyFill="1" applyBorder="1" applyAlignment="1" applyProtection="1">
      <alignment horizontal="center" vertical="center"/>
      <protection locked="0"/>
    </xf>
    <xf numFmtId="0" fontId="1" fillId="5" borderId="0" xfId="0" applyFont="1" applyFill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/>
    </xf>
    <xf numFmtId="166" fontId="13" fillId="0" borderId="1" xfId="0" applyNumberFormat="1" applyFont="1" applyBorder="1" applyAlignment="1">
      <alignment horizontal="center" vertical="center"/>
    </xf>
    <xf numFmtId="167" fontId="13" fillId="0" borderId="1" xfId="0" applyNumberFormat="1" applyFont="1" applyBorder="1" applyAlignment="1">
      <alignment horizontal="center" vertical="center"/>
    </xf>
    <xf numFmtId="168" fontId="13" fillId="0" borderId="1" xfId="0" applyNumberFormat="1" applyFont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5" borderId="0" xfId="1" applyFill="1"/>
    <xf numFmtId="170" fontId="13" fillId="0" borderId="0" xfId="0" applyNumberFormat="1" applyFont="1"/>
    <xf numFmtId="0" fontId="35" fillId="2" borderId="1" xfId="1" applyFont="1" applyFill="1" applyBorder="1" applyAlignment="1" applyProtection="1">
      <alignment horizontal="center" vertical="center"/>
      <protection locked="0"/>
    </xf>
    <xf numFmtId="167" fontId="2" fillId="2" borderId="1" xfId="1" applyNumberFormat="1" applyFill="1" applyBorder="1" applyAlignment="1">
      <alignment horizontal="center" vertical="center"/>
    </xf>
    <xf numFmtId="167" fontId="3" fillId="0" borderId="0" xfId="1" applyNumberFormat="1" applyFont="1" applyAlignment="1">
      <alignment horizontal="center" vertical="center"/>
    </xf>
    <xf numFmtId="0" fontId="2" fillId="2" borderId="1" xfId="1" applyFill="1" applyBorder="1" applyAlignment="1">
      <alignment horizontal="center"/>
    </xf>
    <xf numFmtId="0" fontId="43" fillId="4" borderId="0" xfId="1" applyFont="1" applyFill="1" applyAlignment="1">
      <alignment horizontal="center" vertical="top" wrapText="1"/>
    </xf>
    <xf numFmtId="0" fontId="34" fillId="4" borderId="0" xfId="1" applyFont="1" applyFill="1" applyAlignment="1">
      <alignment horizontal="center" vertical="top" wrapText="1"/>
    </xf>
    <xf numFmtId="166" fontId="44" fillId="0" borderId="0" xfId="1" applyNumberFormat="1" applyFont="1" applyAlignment="1">
      <alignment horizontal="center" vertical="center"/>
    </xf>
    <xf numFmtId="164" fontId="44" fillId="4" borderId="0" xfId="1" applyNumberFormat="1" applyFont="1" applyFill="1" applyAlignment="1">
      <alignment horizontal="center" vertical="center" wrapText="1"/>
    </xf>
    <xf numFmtId="166" fontId="44" fillId="4" borderId="0" xfId="1" applyNumberFormat="1" applyFont="1" applyFill="1" applyAlignment="1">
      <alignment horizontal="center" vertical="center"/>
    </xf>
    <xf numFmtId="2" fontId="44" fillId="4" borderId="0" xfId="1" applyNumberFormat="1" applyFont="1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37" fillId="3" borderId="58" xfId="0" applyFont="1" applyFill="1" applyBorder="1" applyAlignment="1" applyProtection="1">
      <alignment vertical="center" wrapText="1"/>
      <protection locked="0"/>
    </xf>
    <xf numFmtId="0" fontId="37" fillId="3" borderId="12" xfId="0" applyFont="1" applyFill="1" applyBorder="1" applyAlignment="1" applyProtection="1">
      <alignment horizontal="center" vertical="center" wrapText="1"/>
      <protection locked="0"/>
    </xf>
    <xf numFmtId="0" fontId="37" fillId="3" borderId="58" xfId="0" applyFont="1" applyFill="1" applyBorder="1" applyAlignment="1" applyProtection="1">
      <alignment horizontal="right" vertical="center" wrapText="1"/>
      <protection locked="0"/>
    </xf>
    <xf numFmtId="0" fontId="59" fillId="10" borderId="8" xfId="0" applyFont="1" applyFill="1" applyBorder="1" applyAlignment="1">
      <alignment horizontal="center"/>
    </xf>
    <xf numFmtId="0" fontId="59" fillId="10" borderId="1" xfId="0" applyFont="1" applyFill="1" applyBorder="1" applyAlignment="1">
      <alignment horizontal="center"/>
    </xf>
    <xf numFmtId="0" fontId="12" fillId="0" borderId="8" xfId="0" applyFont="1" applyBorder="1" applyAlignment="1">
      <alignment horizontal="left"/>
    </xf>
    <xf numFmtId="0" fontId="12" fillId="0" borderId="8" xfId="0" applyFont="1" applyBorder="1" applyAlignment="1">
      <alignment horizontal="center"/>
    </xf>
    <xf numFmtId="167" fontId="12" fillId="5" borderId="8" xfId="0" applyNumberFormat="1" applyFont="1" applyFill="1" applyBorder="1" applyAlignment="1">
      <alignment horizontal="center"/>
    </xf>
    <xf numFmtId="2" fontId="12" fillId="0" borderId="8" xfId="0" applyNumberFormat="1" applyFont="1" applyBorder="1" applyAlignment="1">
      <alignment horizontal="center"/>
    </xf>
    <xf numFmtId="173" fontId="12" fillId="0" borderId="8" xfId="0" applyNumberFormat="1" applyFont="1" applyBorder="1" applyAlignment="1">
      <alignment horizontal="center"/>
    </xf>
    <xf numFmtId="11" fontId="12" fillId="0" borderId="1" xfId="0" applyNumberFormat="1" applyFont="1" applyBorder="1" applyAlignment="1">
      <alignment horizontal="center"/>
    </xf>
    <xf numFmtId="0" fontId="60" fillId="0" borderId="8" xfId="0" applyFont="1" applyBorder="1" applyAlignment="1">
      <alignment horizontal="left"/>
    </xf>
    <xf numFmtId="168" fontId="12" fillId="5" borderId="8" xfId="0" applyNumberFormat="1" applyFont="1" applyFill="1" applyBorder="1" applyAlignment="1">
      <alignment horizontal="center"/>
    </xf>
    <xf numFmtId="0" fontId="12" fillId="5" borderId="8" xfId="0" applyFont="1" applyFill="1" applyBorder="1" applyAlignment="1">
      <alignment horizontal="center"/>
    </xf>
    <xf numFmtId="0" fontId="12" fillId="0" borderId="1" xfId="0" applyFont="1" applyBorder="1"/>
    <xf numFmtId="0" fontId="12" fillId="0" borderId="13" xfId="0" applyFont="1" applyBorder="1" applyAlignment="1">
      <alignment horizontal="left"/>
    </xf>
    <xf numFmtId="0" fontId="61" fillId="0" borderId="13" xfId="0" applyFont="1" applyBorder="1"/>
    <xf numFmtId="49" fontId="63" fillId="0" borderId="13" xfId="1" applyNumberFormat="1" applyFont="1" applyBorder="1" applyAlignment="1">
      <alignment horizontal="left"/>
    </xf>
    <xf numFmtId="167" fontId="12" fillId="0" borderId="8" xfId="0" applyNumberFormat="1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0" fontId="62" fillId="0" borderId="0" xfId="0" applyFont="1"/>
    <xf numFmtId="49" fontId="60" fillId="0" borderId="0" xfId="1" applyNumberFormat="1" applyFont="1" applyAlignment="1">
      <alignment horizontal="left"/>
    </xf>
    <xf numFmtId="0" fontId="47" fillId="0" borderId="13" xfId="0" applyFont="1" applyBorder="1"/>
    <xf numFmtId="0" fontId="60" fillId="0" borderId="13" xfId="1" applyFont="1" applyBorder="1" applyAlignment="1">
      <alignment horizontal="left"/>
    </xf>
    <xf numFmtId="2" fontId="65" fillId="0" borderId="1" xfId="0" applyNumberFormat="1" applyFont="1" applyBorder="1" applyAlignment="1">
      <alignment horizontal="center"/>
    </xf>
    <xf numFmtId="0" fontId="47" fillId="0" borderId="58" xfId="0" applyFont="1" applyBorder="1"/>
    <xf numFmtId="0" fontId="60" fillId="0" borderId="58" xfId="1" applyFont="1" applyBorder="1" applyAlignment="1">
      <alignment horizontal="left"/>
    </xf>
    <xf numFmtId="0" fontId="12" fillId="0" borderId="0" xfId="0" applyFont="1"/>
    <xf numFmtId="0" fontId="66" fillId="0" borderId="0" xfId="0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5" fontId="13" fillId="0" borderId="1" xfId="0" applyNumberFormat="1" applyFont="1" applyBorder="1" applyAlignment="1">
      <alignment horizontal="center" vertical="center"/>
    </xf>
    <xf numFmtId="167" fontId="67" fillId="0" borderId="1" xfId="0" applyNumberFormat="1" applyFont="1" applyBorder="1" applyAlignment="1">
      <alignment horizontal="center" vertical="center"/>
    </xf>
    <xf numFmtId="171" fontId="13" fillId="0" borderId="1" xfId="0" applyNumberFormat="1" applyFont="1" applyBorder="1" applyAlignment="1">
      <alignment horizontal="center" vertical="center"/>
    </xf>
    <xf numFmtId="0" fontId="0" fillId="4" borderId="0" xfId="0" applyFill="1"/>
    <xf numFmtId="0" fontId="1" fillId="4" borderId="0" xfId="0" applyFont="1" applyFill="1" applyAlignment="1">
      <alignment horizontal="left"/>
    </xf>
    <xf numFmtId="174" fontId="0" fillId="0" borderId="0" xfId="0" applyNumberFormat="1"/>
    <xf numFmtId="0" fontId="0" fillId="11" borderId="0" xfId="0" applyFill="1" applyAlignment="1">
      <alignment horizontal="center"/>
    </xf>
    <xf numFmtId="0" fontId="37" fillId="5" borderId="58" xfId="0" applyFont="1" applyFill="1" applyBorder="1" applyAlignment="1" applyProtection="1">
      <alignment vertical="center" wrapText="1"/>
      <protection locked="0"/>
    </xf>
    <xf numFmtId="0" fontId="37" fillId="5" borderId="12" xfId="0" applyFont="1" applyFill="1" applyBorder="1" applyAlignment="1" applyProtection="1">
      <alignment horizontal="center" vertical="center" wrapText="1"/>
      <protection locked="0"/>
    </xf>
    <xf numFmtId="0" fontId="37" fillId="5" borderId="58" xfId="0" applyFont="1" applyFill="1" applyBorder="1" applyAlignment="1" applyProtection="1">
      <alignment horizontal="right" vertical="center" wrapText="1"/>
      <protection locked="0"/>
    </xf>
    <xf numFmtId="2" fontId="11" fillId="5" borderId="13" xfId="0" applyNumberFormat="1" applyFont="1" applyFill="1" applyBorder="1" applyAlignment="1" applyProtection="1">
      <alignment horizontal="center" vertical="center" wrapText="1"/>
      <protection locked="0"/>
    </xf>
    <xf numFmtId="2" fontId="11" fillId="3" borderId="13" xfId="0" applyNumberFormat="1" applyFont="1" applyFill="1" applyBorder="1" applyAlignment="1" applyProtection="1">
      <alignment horizontal="center" vertical="center" wrapText="1"/>
      <protection locked="0"/>
    </xf>
    <xf numFmtId="0" fontId="0" fillId="5" borderId="8" xfId="0" applyFill="1" applyBorder="1" applyAlignment="1">
      <alignment vertical="center"/>
    </xf>
    <xf numFmtId="0" fontId="3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2" fontId="36" fillId="0" borderId="0" xfId="0" applyNumberFormat="1" applyFont="1" applyAlignment="1">
      <alignment vertical="center"/>
    </xf>
    <xf numFmtId="166" fontId="19" fillId="5" borderId="1" xfId="0" applyNumberFormat="1" applyFont="1" applyFill="1" applyBorder="1" applyAlignment="1">
      <alignment horizontal="center" vertical="center"/>
    </xf>
    <xf numFmtId="172" fontId="10" fillId="3" borderId="0" xfId="0" applyNumberFormat="1" applyFont="1" applyFill="1" applyAlignment="1" applyProtection="1">
      <alignment horizontal="left" vertical="center"/>
      <protection locked="0"/>
    </xf>
    <xf numFmtId="0" fontId="11" fillId="0" borderId="3" xfId="0" applyFont="1" applyBorder="1" applyAlignment="1">
      <alignment horizontal="center" vertical="top"/>
    </xf>
    <xf numFmtId="0" fontId="11" fillId="0" borderId="60" xfId="0" applyFont="1" applyBorder="1" applyAlignment="1">
      <alignment horizontal="center" vertical="top" wrapText="1"/>
    </xf>
    <xf numFmtId="0" fontId="0" fillId="5" borderId="13" xfId="0" applyFill="1" applyBorder="1" applyAlignment="1">
      <alignment vertical="center"/>
    </xf>
    <xf numFmtId="0" fontId="0" fillId="0" borderId="9" xfId="0" applyBorder="1" applyAlignment="1">
      <alignment vertical="center"/>
    </xf>
    <xf numFmtId="168" fontId="19" fillId="5" borderId="1" xfId="0" applyNumberFormat="1" applyFont="1" applyFill="1" applyBorder="1" applyAlignment="1">
      <alignment horizontal="center" vertical="center"/>
    </xf>
    <xf numFmtId="0" fontId="18" fillId="3" borderId="2" xfId="0" applyFont="1" applyFill="1" applyBorder="1" applyAlignment="1" applyProtection="1">
      <alignment horizontal="center" vertical="top" wrapText="1"/>
      <protection locked="0"/>
    </xf>
    <xf numFmtId="0" fontId="11" fillId="0" borderId="7" xfId="0" applyFont="1" applyBorder="1" applyAlignment="1">
      <alignment horizontal="center" vertical="top" wrapText="1"/>
    </xf>
    <xf numFmtId="0" fontId="11" fillId="0" borderId="51" xfId="0" applyFont="1" applyBorder="1" applyAlignment="1">
      <alignment horizontal="center" vertical="top" wrapText="1"/>
    </xf>
    <xf numFmtId="0" fontId="18" fillId="3" borderId="3" xfId="0" applyFont="1" applyFill="1" applyBorder="1" applyAlignment="1" applyProtection="1">
      <alignment horizontal="center" vertical="top" wrapText="1"/>
      <protection locked="0"/>
    </xf>
    <xf numFmtId="0" fontId="18" fillId="3" borderId="60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>
      <alignment vertical="top"/>
    </xf>
    <xf numFmtId="0" fontId="0" fillId="5" borderId="0" xfId="0" applyFill="1" applyAlignment="1">
      <alignment horizontal="right" vertical="center"/>
    </xf>
    <xf numFmtId="2" fontId="19" fillId="0" borderId="1" xfId="0" applyNumberFormat="1" applyFont="1" applyBorder="1" applyAlignment="1">
      <alignment horizontal="center" vertical="center"/>
    </xf>
    <xf numFmtId="168" fontId="30" fillId="2" borderId="1" xfId="1" quotePrefix="1" applyNumberFormat="1" applyFont="1" applyFill="1" applyBorder="1" applyAlignment="1" applyProtection="1">
      <alignment horizontal="center" vertical="center"/>
      <protection locked="0"/>
    </xf>
    <xf numFmtId="1" fontId="19" fillId="0" borderId="1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top"/>
    </xf>
    <xf numFmtId="0" fontId="18" fillId="3" borderId="64" xfId="0" applyFont="1" applyFill="1" applyBorder="1" applyAlignment="1" applyProtection="1">
      <alignment horizontal="center" vertical="center"/>
      <protection locked="0"/>
    </xf>
    <xf numFmtId="165" fontId="12" fillId="0" borderId="8" xfId="0" applyNumberFormat="1" applyFont="1" applyBorder="1" applyAlignment="1">
      <alignment horizontal="center"/>
    </xf>
    <xf numFmtId="0" fontId="18" fillId="3" borderId="2" xfId="0" applyFont="1" applyFill="1" applyBorder="1" applyAlignment="1" applyProtection="1">
      <alignment vertical="top" wrapText="1"/>
      <protection locked="0"/>
    </xf>
    <xf numFmtId="0" fontId="18" fillId="3" borderId="3" xfId="0" applyFont="1" applyFill="1" applyBorder="1" applyAlignment="1" applyProtection="1">
      <alignment horizontal="center" vertical="center" wrapText="1"/>
      <protection locked="0"/>
    </xf>
    <xf numFmtId="0" fontId="17" fillId="0" borderId="0" xfId="3" applyFont="1" applyAlignment="1" applyProtection="1">
      <alignment horizontal="center" vertical="center" wrapText="1"/>
      <protection locked="0"/>
    </xf>
    <xf numFmtId="0" fontId="68" fillId="0" borderId="0" xfId="0" applyFont="1" applyAlignment="1">
      <alignment vertical="center"/>
    </xf>
    <xf numFmtId="175" fontId="19" fillId="0" borderId="1" xfId="0" applyNumberFormat="1" applyFont="1" applyBorder="1" applyAlignment="1">
      <alignment horizontal="center" vertical="center"/>
    </xf>
    <xf numFmtId="176" fontId="19" fillId="0" borderId="1" xfId="0" applyNumberFormat="1" applyFont="1" applyBorder="1" applyAlignment="1">
      <alignment horizontal="center" vertical="center"/>
    </xf>
    <xf numFmtId="177" fontId="19" fillId="0" borderId="1" xfId="0" applyNumberFormat="1" applyFont="1" applyBorder="1" applyAlignment="1">
      <alignment horizontal="center" vertical="center"/>
    </xf>
    <xf numFmtId="177" fontId="19" fillId="5" borderId="1" xfId="0" applyNumberFormat="1" applyFont="1" applyFill="1" applyBorder="1" applyAlignment="1">
      <alignment horizontal="center" vertical="center"/>
    </xf>
    <xf numFmtId="0" fontId="17" fillId="0" borderId="0" xfId="3" applyFont="1" applyAlignment="1" applyProtection="1">
      <alignment horizontal="center" vertical="center"/>
      <protection locked="0"/>
    </xf>
    <xf numFmtId="164" fontId="19" fillId="4" borderId="0" xfId="3" applyNumberFormat="1" applyFont="1" applyFill="1" applyAlignment="1" applyProtection="1">
      <alignment horizontal="center" vertical="center"/>
      <protection locked="0"/>
    </xf>
    <xf numFmtId="164" fontId="11" fillId="4" borderId="0" xfId="3" applyNumberFormat="1" applyFont="1" applyFill="1" applyAlignment="1" applyProtection="1">
      <alignment horizontal="left" vertical="center"/>
      <protection locked="0"/>
    </xf>
    <xf numFmtId="1" fontId="34" fillId="4" borderId="1" xfId="1" applyNumberFormat="1" applyFont="1" applyFill="1" applyBorder="1" applyAlignment="1">
      <alignment horizontal="center"/>
    </xf>
    <xf numFmtId="0" fontId="11" fillId="0" borderId="0" xfId="0" applyFont="1" applyAlignment="1">
      <alignment horizontal="left" vertical="center"/>
    </xf>
    <xf numFmtId="0" fontId="18" fillId="4" borderId="0" xfId="0" applyFont="1" applyFill="1" applyAlignment="1" applyProtection="1">
      <alignment horizontal="center" vertical="center"/>
      <protection locked="0"/>
    </xf>
    <xf numFmtId="0" fontId="50" fillId="0" borderId="0" xfId="3" applyFont="1" applyAlignment="1">
      <alignment horizontal="left" vertical="center"/>
    </xf>
    <xf numFmtId="0" fontId="53" fillId="0" borderId="1" xfId="0" applyFont="1" applyBorder="1" applyAlignment="1">
      <alignment horizontal="center" vertical="center"/>
    </xf>
    <xf numFmtId="0" fontId="53" fillId="0" borderId="1" xfId="0" applyFont="1" applyBorder="1" applyAlignment="1">
      <alignment vertical="center"/>
    </xf>
    <xf numFmtId="0" fontId="53" fillId="0" borderId="13" xfId="0" quotePrefix="1" applyFont="1" applyBorder="1" applyAlignment="1">
      <alignment vertical="center"/>
    </xf>
    <xf numFmtId="174" fontId="53" fillId="0" borderId="0" xfId="0" quotePrefix="1" applyNumberFormat="1" applyFont="1" applyAlignment="1">
      <alignment vertical="center"/>
    </xf>
    <xf numFmtId="174" fontId="0" fillId="0" borderId="0" xfId="0" applyNumberFormat="1" applyAlignment="1">
      <alignment vertical="center"/>
    </xf>
    <xf numFmtId="174" fontId="53" fillId="0" borderId="8" xfId="0" quotePrefix="1" applyNumberFormat="1" applyFont="1" applyBorder="1" applyAlignment="1">
      <alignment vertical="center"/>
    </xf>
    <xf numFmtId="174" fontId="0" fillId="0" borderId="8" xfId="0" applyNumberFormat="1" applyBorder="1" applyAlignment="1">
      <alignment vertical="center"/>
    </xf>
    <xf numFmtId="0" fontId="0" fillId="0" borderId="13" xfId="0" applyBorder="1" applyAlignment="1">
      <alignment vertical="center"/>
    </xf>
    <xf numFmtId="0" fontId="53" fillId="0" borderId="0" xfId="0" applyFont="1" applyAlignment="1">
      <alignment horizontal="center" vertical="center"/>
    </xf>
    <xf numFmtId="0" fontId="53" fillId="0" borderId="0" xfId="0" quotePrefix="1" applyFont="1" applyAlignment="1">
      <alignment vertical="center"/>
    </xf>
    <xf numFmtId="0" fontId="53" fillId="0" borderId="0" xfId="0" applyFont="1" applyAlignment="1">
      <alignment vertical="center"/>
    </xf>
    <xf numFmtId="2" fontId="0" fillId="0" borderId="0" xfId="0" applyNumberFormat="1" applyAlignment="1">
      <alignment vertical="center"/>
    </xf>
    <xf numFmtId="0" fontId="73" fillId="3" borderId="0" xfId="0" applyFont="1" applyFill="1" applyProtection="1">
      <protection locked="0"/>
    </xf>
    <xf numFmtId="0" fontId="70" fillId="0" borderId="0" xfId="0" applyFont="1"/>
    <xf numFmtId="0" fontId="40" fillId="4" borderId="0" xfId="0" applyFont="1" applyFill="1" applyAlignment="1">
      <alignment horizontal="right"/>
    </xf>
    <xf numFmtId="0" fontId="40" fillId="4" borderId="0" xfId="0" applyFont="1" applyFill="1"/>
    <xf numFmtId="0" fontId="36" fillId="4" borderId="0" xfId="0" applyFont="1" applyFill="1" applyAlignment="1">
      <alignment horizontal="right" vertical="center"/>
    </xf>
    <xf numFmtId="0" fontId="36" fillId="4" borderId="0" xfId="0" applyFont="1" applyFill="1" applyAlignment="1">
      <alignment horizontal="right"/>
    </xf>
    <xf numFmtId="0" fontId="36" fillId="4" borderId="0" xfId="0" applyFont="1" applyFill="1" applyAlignment="1">
      <alignment horizontal="left"/>
    </xf>
    <xf numFmtId="2" fontId="12" fillId="0" borderId="0" xfId="0" applyNumberFormat="1" applyFont="1" applyAlignment="1">
      <alignment horizontal="center"/>
    </xf>
    <xf numFmtId="0" fontId="12" fillId="4" borderId="0" xfId="0" applyFont="1" applyFill="1"/>
    <xf numFmtId="2" fontId="12" fillId="4" borderId="0" xfId="0" applyNumberFormat="1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3" fillId="2" borderId="1" xfId="1" applyFont="1" applyFill="1" applyBorder="1" applyAlignment="1" applyProtection="1">
      <alignment horizontal="center"/>
      <protection locked="0"/>
    </xf>
    <xf numFmtId="0" fontId="4" fillId="2" borderId="1" xfId="1" applyFont="1" applyFill="1" applyBorder="1" applyAlignment="1" applyProtection="1">
      <alignment horizontal="center" vertical="center"/>
      <protection locked="0"/>
    </xf>
    <xf numFmtId="0" fontId="0" fillId="5" borderId="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3" fillId="2" borderId="1" xfId="1" applyFont="1" applyFill="1" applyBorder="1" applyAlignment="1" applyProtection="1">
      <alignment horizontal="center" vertical="center"/>
      <protection locked="0"/>
    </xf>
    <xf numFmtId="0" fontId="43" fillId="4" borderId="0" xfId="1" applyFont="1" applyFill="1" applyAlignment="1">
      <alignment vertical="top" wrapText="1"/>
    </xf>
    <xf numFmtId="174" fontId="43" fillId="0" borderId="0" xfId="1" applyNumberFormat="1" applyFont="1" applyAlignment="1">
      <alignment horizontal="right"/>
    </xf>
    <xf numFmtId="0" fontId="70" fillId="0" borderId="0" xfId="0" applyFont="1" applyAlignment="1">
      <alignment horizontal="center"/>
    </xf>
    <xf numFmtId="168" fontId="13" fillId="0" borderId="0" xfId="0" applyNumberFormat="1" applyFont="1"/>
    <xf numFmtId="0" fontId="3" fillId="2" borderId="1" xfId="1" applyFont="1" applyFill="1" applyBorder="1" applyAlignment="1" applyProtection="1">
      <alignment horizontal="left"/>
      <protection locked="0"/>
    </xf>
    <xf numFmtId="0" fontId="3" fillId="2" borderId="1" xfId="1" applyFont="1" applyFill="1" applyBorder="1" applyAlignment="1" applyProtection="1">
      <alignment horizontal="left" vertical="center"/>
      <protection locked="0"/>
    </xf>
    <xf numFmtId="167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5" fontId="67" fillId="0" borderId="1" xfId="0" applyNumberFormat="1" applyFont="1" applyBorder="1" applyAlignment="1">
      <alignment horizontal="center" vertical="center"/>
    </xf>
    <xf numFmtId="166" fontId="67" fillId="0" borderId="1" xfId="0" applyNumberFormat="1" applyFont="1" applyBorder="1" applyAlignment="1">
      <alignment horizontal="center" vertical="center"/>
    </xf>
    <xf numFmtId="164" fontId="67" fillId="0" borderId="1" xfId="0" applyNumberFormat="1" applyFont="1" applyBorder="1" applyAlignment="1">
      <alignment horizontal="center" vertical="center"/>
    </xf>
    <xf numFmtId="167" fontId="0" fillId="0" borderId="0" xfId="0" applyNumberFormat="1" applyAlignment="1">
      <alignment vertical="center"/>
    </xf>
    <xf numFmtId="165" fontId="12" fillId="5" borderId="8" xfId="0" applyNumberFormat="1" applyFont="1" applyFill="1" applyBorder="1" applyAlignment="1">
      <alignment horizontal="center"/>
    </xf>
    <xf numFmtId="1" fontId="2" fillId="4" borderId="0" xfId="1" applyNumberFormat="1" applyFill="1" applyAlignment="1" applyProtection="1">
      <alignment horizontal="center" vertical="center"/>
      <protection locked="0"/>
    </xf>
    <xf numFmtId="2" fontId="5" fillId="4" borderId="0" xfId="1" quotePrefix="1" applyNumberFormat="1" applyFont="1" applyFill="1" applyAlignment="1" applyProtection="1">
      <alignment horizontal="center" vertical="center"/>
      <protection locked="0"/>
    </xf>
    <xf numFmtId="168" fontId="5" fillId="4" borderId="0" xfId="1" quotePrefix="1" applyNumberFormat="1" applyFont="1" applyFill="1" applyAlignment="1" applyProtection="1">
      <alignment horizontal="center" vertical="center"/>
      <protection locked="0"/>
    </xf>
    <xf numFmtId="2" fontId="2" fillId="4" borderId="0" xfId="1" applyNumberFormat="1" applyFill="1" applyAlignment="1" applyProtection="1">
      <alignment horizontal="center"/>
      <protection locked="0"/>
    </xf>
    <xf numFmtId="165" fontId="5" fillId="4" borderId="0" xfId="1" applyNumberFormat="1" applyFont="1" applyFill="1" applyAlignment="1" applyProtection="1">
      <alignment horizontal="center" vertical="center"/>
      <protection locked="0"/>
    </xf>
    <xf numFmtId="2" fontId="2" fillId="4" borderId="0" xfId="1" applyNumberFormat="1" applyFill="1" applyAlignment="1" applyProtection="1">
      <alignment horizontal="center" vertical="center"/>
      <protection locked="0"/>
    </xf>
    <xf numFmtId="165" fontId="5" fillId="4" borderId="0" xfId="1" quotePrefix="1" applyNumberFormat="1" applyFont="1" applyFill="1" applyAlignment="1" applyProtection="1">
      <alignment horizontal="center" vertical="center"/>
      <protection locked="0"/>
    </xf>
    <xf numFmtId="169" fontId="5" fillId="4" borderId="0" xfId="1" applyNumberFormat="1" applyFont="1" applyFill="1" applyAlignment="1" applyProtection="1">
      <alignment horizontal="center" vertical="center"/>
      <protection locked="0"/>
    </xf>
    <xf numFmtId="0" fontId="4" fillId="2" borderId="1" xfId="1" applyFont="1" applyFill="1" applyBorder="1" applyAlignment="1" applyProtection="1">
      <alignment horizontal="left" vertical="center"/>
      <protection locked="0"/>
    </xf>
    <xf numFmtId="166" fontId="2" fillId="2" borderId="1" xfId="1" applyNumberFormat="1" applyFill="1" applyBorder="1" applyAlignment="1" applyProtection="1">
      <alignment horizontal="center" vertical="center"/>
      <protection locked="0"/>
    </xf>
    <xf numFmtId="168" fontId="2" fillId="2" borderId="1" xfId="1" applyNumberFormat="1" applyFill="1" applyBorder="1" applyAlignment="1" applyProtection="1">
      <alignment horizontal="center" vertical="center"/>
      <protection locked="0"/>
    </xf>
    <xf numFmtId="165" fontId="2" fillId="2" borderId="1" xfId="1" applyNumberFormat="1" applyFill="1" applyBorder="1" applyAlignment="1" applyProtection="1">
      <alignment horizontal="center" vertical="center"/>
      <protection locked="0"/>
    </xf>
    <xf numFmtId="2" fontId="67" fillId="0" borderId="1" xfId="0" applyNumberFormat="1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55" fillId="4" borderId="0" xfId="0" applyFont="1" applyFill="1" applyAlignment="1">
      <alignment horizontal="center" vertical="top"/>
    </xf>
    <xf numFmtId="0" fontId="13" fillId="4" borderId="0" xfId="0" applyFont="1" applyFill="1" applyAlignment="1">
      <alignment horizontal="center" vertical="center"/>
    </xf>
    <xf numFmtId="2" fontId="13" fillId="4" borderId="0" xfId="0" applyNumberFormat="1" applyFont="1" applyFill="1" applyAlignment="1">
      <alignment horizontal="center" vertical="center"/>
    </xf>
    <xf numFmtId="165" fontId="67" fillId="4" borderId="0" xfId="0" applyNumberFormat="1" applyFont="1" applyFill="1" applyAlignment="1">
      <alignment horizontal="center" vertical="center"/>
    </xf>
    <xf numFmtId="167" fontId="13" fillId="4" borderId="0" xfId="0" applyNumberFormat="1" applyFont="1" applyFill="1" applyAlignment="1">
      <alignment horizontal="center" vertical="center"/>
    </xf>
    <xf numFmtId="165" fontId="13" fillId="4" borderId="0" xfId="0" applyNumberFormat="1" applyFont="1" applyFill="1" applyAlignment="1">
      <alignment horizontal="center" vertical="center"/>
    </xf>
    <xf numFmtId="168" fontId="13" fillId="4" borderId="0" xfId="0" applyNumberFormat="1" applyFont="1" applyFill="1" applyAlignment="1">
      <alignment horizontal="center" vertical="center"/>
    </xf>
    <xf numFmtId="1" fontId="11" fillId="0" borderId="6" xfId="0" applyNumberFormat="1" applyFont="1" applyBorder="1" applyAlignment="1">
      <alignment horizontal="center"/>
    </xf>
    <xf numFmtId="0" fontId="35" fillId="2" borderId="0" xfId="1" applyFont="1" applyFill="1"/>
    <xf numFmtId="0" fontId="35" fillId="0" borderId="0" xfId="1" applyFont="1"/>
    <xf numFmtId="0" fontId="43" fillId="2" borderId="1" xfId="1" applyFont="1" applyFill="1" applyBorder="1" applyAlignment="1">
      <alignment horizontal="center" vertical="center"/>
    </xf>
    <xf numFmtId="0" fontId="74" fillId="2" borderId="9" xfId="1" applyFont="1" applyFill="1" applyBorder="1" applyAlignment="1">
      <alignment horizontal="center" vertical="center"/>
    </xf>
    <xf numFmtId="0" fontId="75" fillId="2" borderId="1" xfId="1" applyFont="1" applyFill="1" applyBorder="1" applyAlignment="1">
      <alignment horizontal="center" vertical="center"/>
    </xf>
    <xf numFmtId="0" fontId="74" fillId="0" borderId="0" xfId="1" applyFont="1" applyAlignment="1">
      <alignment horizontal="center" vertical="center"/>
    </xf>
    <xf numFmtId="0" fontId="75" fillId="0" borderId="0" xfId="1" applyFont="1" applyAlignment="1">
      <alignment horizontal="center" vertical="center"/>
    </xf>
    <xf numFmtId="0" fontId="43" fillId="0" borderId="0" xfId="1" applyFont="1" applyAlignment="1">
      <alignment horizontal="center" vertical="center"/>
    </xf>
    <xf numFmtId="0" fontId="44" fillId="2" borderId="9" xfId="1" applyFont="1" applyFill="1" applyBorder="1" applyAlignment="1">
      <alignment horizontal="center" vertical="center"/>
    </xf>
    <xf numFmtId="0" fontId="35" fillId="2" borderId="1" xfId="1" applyFont="1" applyFill="1" applyBorder="1" applyAlignment="1">
      <alignment horizontal="center" vertical="center"/>
    </xf>
    <xf numFmtId="169" fontId="35" fillId="2" borderId="1" xfId="1" applyNumberFormat="1" applyFont="1" applyFill="1" applyBorder="1" applyAlignment="1">
      <alignment horizontal="center" vertical="center"/>
    </xf>
    <xf numFmtId="0" fontId="74" fillId="2" borderId="1" xfId="1" applyFont="1" applyFill="1" applyBorder="1" applyAlignment="1">
      <alignment horizontal="center" vertical="center"/>
    </xf>
    <xf numFmtId="0" fontId="44" fillId="2" borderId="1" xfId="1" applyFont="1" applyFill="1" applyBorder="1" applyAlignment="1">
      <alignment horizontal="center" vertical="center"/>
    </xf>
    <xf numFmtId="167" fontId="74" fillId="0" borderId="0" xfId="1" applyNumberFormat="1" applyFont="1" applyAlignment="1">
      <alignment horizontal="center" vertical="center"/>
    </xf>
    <xf numFmtId="167" fontId="35" fillId="2" borderId="1" xfId="1" applyNumberFormat="1" applyFont="1" applyFill="1" applyBorder="1" applyAlignment="1">
      <alignment horizontal="center" vertical="center"/>
    </xf>
    <xf numFmtId="0" fontId="44" fillId="0" borderId="0" xfId="1" applyFont="1" applyAlignment="1">
      <alignment horizontal="center" vertical="center"/>
    </xf>
    <xf numFmtId="0" fontId="35" fillId="0" borderId="0" xfId="1" applyFont="1" applyAlignment="1">
      <alignment horizontal="center" vertical="center"/>
    </xf>
    <xf numFmtId="0" fontId="35" fillId="2" borderId="1" xfId="1" applyFont="1" applyFill="1" applyBorder="1" applyAlignment="1">
      <alignment horizontal="center"/>
    </xf>
    <xf numFmtId="1" fontId="35" fillId="2" borderId="1" xfId="1" applyNumberFormat="1" applyFont="1" applyFill="1" applyBorder="1" applyAlignment="1">
      <alignment horizontal="center" vertical="center"/>
    </xf>
    <xf numFmtId="174" fontId="0" fillId="0" borderId="0" xfId="0" applyNumberFormat="1" applyAlignment="1">
      <alignment horizontal="center" vertical="center"/>
    </xf>
    <xf numFmtId="0" fontId="0" fillId="11" borderId="0" xfId="0" applyFill="1" applyAlignment="1">
      <alignment horizontal="center" vertical="center"/>
    </xf>
    <xf numFmtId="169" fontId="35" fillId="6" borderId="1" xfId="1" applyNumberFormat="1" applyFont="1" applyFill="1" applyBorder="1" applyAlignment="1">
      <alignment horizontal="center" vertical="center" wrapText="1"/>
    </xf>
    <xf numFmtId="0" fontId="55" fillId="4" borderId="1" xfId="0" applyFont="1" applyFill="1" applyBorder="1" applyAlignment="1">
      <alignment horizontal="center" vertical="top"/>
    </xf>
    <xf numFmtId="0" fontId="13" fillId="4" borderId="1" xfId="0" applyFont="1" applyFill="1" applyBorder="1" applyAlignment="1">
      <alignment horizontal="center" vertical="center"/>
    </xf>
    <xf numFmtId="2" fontId="13" fillId="4" borderId="1" xfId="0" applyNumberFormat="1" applyFont="1" applyFill="1" applyBorder="1" applyAlignment="1">
      <alignment horizontal="center" vertical="center"/>
    </xf>
    <xf numFmtId="2" fontId="67" fillId="4" borderId="1" xfId="0" applyNumberFormat="1" applyFont="1" applyFill="1" applyBorder="1" applyAlignment="1">
      <alignment horizontal="center" vertical="center"/>
    </xf>
    <xf numFmtId="165" fontId="13" fillId="4" borderId="1" xfId="0" applyNumberFormat="1" applyFont="1" applyFill="1" applyBorder="1" applyAlignment="1">
      <alignment horizontal="center" vertical="center"/>
    </xf>
    <xf numFmtId="168" fontId="13" fillId="4" borderId="1" xfId="0" applyNumberFormat="1" applyFont="1" applyFill="1" applyBorder="1" applyAlignment="1">
      <alignment horizontal="center" vertical="center"/>
    </xf>
    <xf numFmtId="164" fontId="13" fillId="4" borderId="1" xfId="0" applyNumberFormat="1" applyFont="1" applyFill="1" applyBorder="1" applyAlignment="1">
      <alignment horizontal="center" vertical="center"/>
    </xf>
    <xf numFmtId="167" fontId="13" fillId="4" borderId="1" xfId="0" applyNumberFormat="1" applyFont="1" applyFill="1" applyBorder="1" applyAlignment="1">
      <alignment horizontal="center" vertical="center"/>
    </xf>
    <xf numFmtId="2" fontId="13" fillId="4" borderId="1" xfId="0" applyNumberFormat="1" applyFont="1" applyFill="1" applyBorder="1" applyAlignment="1">
      <alignment horizontal="center"/>
    </xf>
    <xf numFmtId="0" fontId="19" fillId="0" borderId="0" xfId="0" applyFont="1" applyAlignment="1">
      <alignment vertical="center"/>
    </xf>
    <xf numFmtId="0" fontId="11" fillId="4" borderId="1" xfId="0" applyFont="1" applyFill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 vertical="center"/>
    </xf>
    <xf numFmtId="0" fontId="77" fillId="4" borderId="1" xfId="1" applyFont="1" applyFill="1" applyBorder="1" applyAlignment="1">
      <alignment horizontal="center" vertical="top" wrapText="1"/>
    </xf>
    <xf numFmtId="0" fontId="11" fillId="0" borderId="6" xfId="0" applyFont="1" applyBorder="1" applyAlignment="1">
      <alignment horizontal="center" vertical="center" wrapText="1"/>
    </xf>
    <xf numFmtId="0" fontId="55" fillId="0" borderId="0" xfId="0" applyFont="1" applyAlignment="1">
      <alignment horizontal="center" vertical="top"/>
    </xf>
    <xf numFmtId="0" fontId="77" fillId="4" borderId="0" xfId="1" applyFont="1" applyFill="1" applyAlignment="1">
      <alignment horizontal="center" vertical="top" wrapText="1"/>
    </xf>
    <xf numFmtId="0" fontId="43" fillId="2" borderId="0" xfId="1" applyFont="1" applyFill="1" applyAlignment="1">
      <alignment horizontal="center" vertical="top" wrapText="1"/>
    </xf>
    <xf numFmtId="0" fontId="43" fillId="6" borderId="0" xfId="1" applyFont="1" applyFill="1" applyAlignment="1">
      <alignment horizontal="center" vertical="top" wrapText="1"/>
    </xf>
    <xf numFmtId="167" fontId="67" fillId="0" borderId="0" xfId="0" applyNumberFormat="1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171" fontId="13" fillId="0" borderId="0" xfId="0" applyNumberFormat="1" applyFont="1" applyAlignment="1">
      <alignment horizontal="center" vertical="center"/>
    </xf>
    <xf numFmtId="168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5" fontId="13" fillId="0" borderId="0" xfId="0" applyNumberFormat="1" applyFont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6" fontId="67" fillId="0" borderId="0" xfId="0" applyNumberFormat="1" applyFont="1" applyAlignment="1">
      <alignment horizontal="center" vertical="center"/>
    </xf>
    <xf numFmtId="164" fontId="67" fillId="0" borderId="0" xfId="0" applyNumberFormat="1" applyFont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8" fillId="3" borderId="6" xfId="0" applyFont="1" applyFill="1" applyBorder="1" applyAlignment="1" applyProtection="1">
      <alignment horizontal="center" vertical="center"/>
      <protection locked="0"/>
    </xf>
    <xf numFmtId="0" fontId="19" fillId="0" borderId="6" xfId="0" applyFont="1" applyBorder="1" applyAlignment="1">
      <alignment horizontal="center" vertical="center"/>
    </xf>
    <xf numFmtId="0" fontId="79" fillId="0" borderId="1" xfId="0" applyFont="1" applyBorder="1"/>
    <xf numFmtId="0" fontId="80" fillId="0" borderId="1" xfId="0" applyFont="1" applyBorder="1"/>
    <xf numFmtId="0" fontId="79" fillId="0" borderId="1" xfId="0" applyFont="1" applyBorder="1" applyAlignment="1">
      <alignment horizontal="right"/>
    </xf>
    <xf numFmtId="165" fontId="80" fillId="0" borderId="1" xfId="0" applyNumberFormat="1" applyFont="1" applyBorder="1"/>
    <xf numFmtId="0" fontId="80" fillId="0" borderId="1" xfId="0" applyFont="1" applyBorder="1" applyAlignment="1">
      <alignment horizontal="right"/>
    </xf>
    <xf numFmtId="166" fontId="80" fillId="0" borderId="1" xfId="0" applyNumberFormat="1" applyFont="1" applyBorder="1"/>
    <xf numFmtId="167" fontId="80" fillId="0" borderId="1" xfId="0" applyNumberFormat="1" applyFont="1" applyBorder="1"/>
    <xf numFmtId="0" fontId="7" fillId="0" borderId="0" xfId="0" applyFont="1" applyProtection="1">
      <protection locked="0"/>
    </xf>
    <xf numFmtId="0" fontId="11" fillId="0" borderId="0" xfId="0" applyFont="1" applyAlignment="1">
      <alignment horizontal="right" vertical="center"/>
    </xf>
    <xf numFmtId="168" fontId="80" fillId="0" borderId="1" xfId="0" applyNumberFormat="1" applyFont="1" applyBorder="1"/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/>
    </xf>
    <xf numFmtId="0" fontId="7" fillId="0" borderId="0" xfId="0" applyFont="1" applyAlignment="1">
      <alignment horizontal="right"/>
    </xf>
    <xf numFmtId="0" fontId="71" fillId="0" borderId="0" xfId="0" applyFont="1"/>
    <xf numFmtId="168" fontId="2" fillId="2" borderId="1" xfId="1" applyNumberFormat="1" applyFill="1" applyBorder="1" applyAlignment="1">
      <alignment horizontal="center" vertical="center"/>
    </xf>
    <xf numFmtId="164" fontId="2" fillId="2" borderId="1" xfId="1" applyNumberForma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1" fontId="2" fillId="2" borderId="1" xfId="1" applyNumberFormat="1" applyFont="1" applyFill="1" applyBorder="1" applyAlignment="1">
      <alignment horizontal="center" vertical="center"/>
    </xf>
    <xf numFmtId="178" fontId="35" fillId="6" borderId="1" xfId="1" applyNumberFormat="1" applyFont="1" applyFill="1" applyBorder="1" applyAlignment="1">
      <alignment horizontal="center" vertical="center" wrapText="1"/>
    </xf>
    <xf numFmtId="164" fontId="82" fillId="0" borderId="1" xfId="0" applyNumberFormat="1" applyFont="1" applyBorder="1" applyAlignment="1">
      <alignment horizontal="center" vertical="center"/>
    </xf>
    <xf numFmtId="166" fontId="82" fillId="0" borderId="1" xfId="0" applyNumberFormat="1" applyFont="1" applyBorder="1" applyAlignment="1">
      <alignment horizontal="center" vertical="center"/>
    </xf>
    <xf numFmtId="166" fontId="82" fillId="4" borderId="1" xfId="0" applyNumberFormat="1" applyFont="1" applyFill="1" applyBorder="1" applyAlignment="1">
      <alignment horizontal="center" vertical="center"/>
    </xf>
    <xf numFmtId="2" fontId="82" fillId="0" borderId="1" xfId="0" applyNumberFormat="1" applyFont="1" applyBorder="1" applyAlignment="1">
      <alignment horizontal="center" vertical="center"/>
    </xf>
    <xf numFmtId="1" fontId="82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1" fillId="0" borderId="0" xfId="2" applyFont="1" applyAlignment="1">
      <alignment vertical="center"/>
    </xf>
    <xf numFmtId="168" fontId="0" fillId="0" borderId="0" xfId="0" applyNumberFormat="1" applyFont="1" applyAlignment="1">
      <alignment vertical="center"/>
    </xf>
    <xf numFmtId="0" fontId="81" fillId="3" borderId="0" xfId="0" applyFont="1" applyFill="1" applyAlignment="1" applyProtection="1">
      <alignment vertical="center"/>
      <protection locked="0"/>
    </xf>
    <xf numFmtId="0" fontId="53" fillId="3" borderId="0" xfId="0" applyFont="1" applyFill="1" applyAlignment="1" applyProtection="1">
      <alignment vertical="center"/>
      <protection locked="0"/>
    </xf>
    <xf numFmtId="0" fontId="81" fillId="0" borderId="0" xfId="3" applyFont="1" applyAlignment="1" applyProtection="1">
      <alignment horizontal="center" vertical="center"/>
      <protection locked="0"/>
    </xf>
    <xf numFmtId="0" fontId="81" fillId="0" borderId="0" xfId="3" applyFont="1" applyAlignment="1" applyProtection="1">
      <alignment horizontal="center" vertical="center" wrapText="1"/>
      <protection locked="0"/>
    </xf>
    <xf numFmtId="0" fontId="0" fillId="0" borderId="0" xfId="0" applyFont="1" applyAlignment="1">
      <alignment horizontal="center" vertical="center"/>
    </xf>
    <xf numFmtId="0" fontId="11" fillId="3" borderId="0" xfId="0" applyFont="1" applyFill="1" applyAlignment="1" applyProtection="1">
      <alignment vertical="center"/>
      <protection locked="0"/>
    </xf>
    <xf numFmtId="0" fontId="11" fillId="0" borderId="0" xfId="3" applyFont="1" applyAlignment="1" applyProtection="1">
      <alignment vertical="center"/>
      <protection locked="0"/>
    </xf>
    <xf numFmtId="0" fontId="11" fillId="3" borderId="0" xfId="0" applyFont="1" applyFill="1" applyAlignment="1" applyProtection="1">
      <alignment horizontal="right" vertical="center"/>
      <protection locked="0"/>
    </xf>
    <xf numFmtId="0" fontId="11" fillId="4" borderId="0" xfId="0" applyFont="1" applyFill="1" applyAlignment="1" applyProtection="1">
      <alignment vertical="center"/>
      <protection locked="0"/>
    </xf>
    <xf numFmtId="0" fontId="11" fillId="3" borderId="3" xfId="0" applyFont="1" applyFill="1" applyBorder="1" applyAlignment="1" applyProtection="1">
      <alignment horizontal="center" vertical="center" wrapText="1"/>
      <protection locked="0"/>
    </xf>
    <xf numFmtId="0" fontId="11" fillId="3" borderId="2" xfId="0" applyFont="1" applyFill="1" applyBorder="1" applyAlignment="1" applyProtection="1">
      <alignment vertical="top" wrapText="1"/>
      <protection locked="0"/>
    </xf>
    <xf numFmtId="0" fontId="0" fillId="0" borderId="0" xfId="0" applyFont="1" applyAlignment="1">
      <alignment horizontal="right" vertical="center"/>
    </xf>
    <xf numFmtId="0" fontId="11" fillId="3" borderId="1" xfId="0" applyFont="1" applyFill="1" applyBorder="1" applyAlignment="1" applyProtection="1">
      <alignment horizontal="center" vertical="center"/>
      <protection locked="0"/>
    </xf>
    <xf numFmtId="0" fontId="11" fillId="3" borderId="63" xfId="0" applyFont="1" applyFill="1" applyBorder="1" applyAlignment="1" applyProtection="1">
      <alignment horizontal="center" vertical="center"/>
      <protection locked="0"/>
    </xf>
    <xf numFmtId="2" fontId="0" fillId="0" borderId="0" xfId="0" applyNumberFormat="1" applyFont="1" applyAlignment="1">
      <alignment vertical="center"/>
    </xf>
    <xf numFmtId="0" fontId="11" fillId="3" borderId="0" xfId="0" applyFont="1" applyFill="1" applyAlignment="1" applyProtection="1">
      <alignment horizontal="center" vertical="center"/>
      <protection locked="0"/>
    </xf>
    <xf numFmtId="0" fontId="11" fillId="4" borderId="0" xfId="0" applyFont="1" applyFill="1" applyAlignment="1" applyProtection="1">
      <alignment horizontal="center" vertical="center"/>
      <protection locked="0"/>
    </xf>
    <xf numFmtId="0" fontId="11" fillId="4" borderId="0" xfId="0" applyFont="1" applyFill="1" applyAlignment="1">
      <alignment horizontal="center" vertical="center"/>
    </xf>
    <xf numFmtId="0" fontId="54" fillId="0" borderId="0" xfId="0" applyFont="1" applyAlignment="1" applyProtection="1">
      <alignment horizontal="right"/>
      <protection locked="0"/>
    </xf>
    <xf numFmtId="0" fontId="11" fillId="3" borderId="3" xfId="0" applyFont="1" applyFill="1" applyBorder="1" applyAlignment="1" applyProtection="1">
      <alignment horizontal="center" vertical="top" wrapText="1"/>
      <protection locked="0"/>
    </xf>
    <xf numFmtId="0" fontId="11" fillId="3" borderId="2" xfId="0" applyFont="1" applyFill="1" applyBorder="1" applyAlignment="1" applyProtection="1">
      <alignment horizontal="center" vertical="top" wrapText="1"/>
      <protection locked="0"/>
    </xf>
    <xf numFmtId="166" fontId="0" fillId="0" borderId="0" xfId="0" applyNumberFormat="1" applyFont="1" applyAlignment="1">
      <alignment horizontal="center" vertical="center"/>
    </xf>
    <xf numFmtId="0" fontId="0" fillId="4" borderId="8" xfId="0" applyFont="1" applyFill="1" applyBorder="1" applyAlignment="1">
      <alignment vertical="center"/>
    </xf>
    <xf numFmtId="0" fontId="0" fillId="4" borderId="13" xfId="0" applyFont="1" applyFill="1" applyBorder="1" applyAlignment="1">
      <alignment vertical="center"/>
    </xf>
    <xf numFmtId="0" fontId="0" fillId="4" borderId="0" xfId="0" applyFont="1" applyFill="1" applyAlignment="1">
      <alignment horizontal="right" vertical="center"/>
    </xf>
    <xf numFmtId="0" fontId="11" fillId="4" borderId="1" xfId="0" applyFont="1" applyFill="1" applyBorder="1" applyAlignment="1" applyProtection="1">
      <alignment horizontal="center" vertical="center"/>
      <protection locked="0"/>
    </xf>
    <xf numFmtId="0" fontId="0" fillId="0" borderId="0" xfId="0" applyFont="1" applyAlignment="1">
      <alignment vertical="top"/>
    </xf>
    <xf numFmtId="0" fontId="11" fillId="3" borderId="60" xfId="0" applyFont="1" applyFill="1" applyBorder="1" applyAlignment="1" applyProtection="1">
      <alignment horizontal="center" vertical="top" wrapText="1"/>
      <protection locked="0"/>
    </xf>
    <xf numFmtId="0" fontId="0" fillId="0" borderId="1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11" fillId="0" borderId="0" xfId="3" applyFont="1" applyAlignment="1" applyProtection="1">
      <alignment horizontal="left" vertical="center"/>
      <protection locked="0"/>
    </xf>
    <xf numFmtId="172" fontId="11" fillId="3" borderId="0" xfId="0" applyNumberFormat="1" applyFont="1" applyFill="1" applyAlignment="1" applyProtection="1">
      <alignment horizontal="left" vertical="center"/>
      <protection locked="0"/>
    </xf>
    <xf numFmtId="0" fontId="81" fillId="0" borderId="0" xfId="3" applyFont="1" applyAlignment="1">
      <alignment vertical="center"/>
    </xf>
    <xf numFmtId="0" fontId="81" fillId="0" borderId="0" xfId="3" applyFont="1" applyAlignment="1">
      <alignment horizontal="left" vertical="center"/>
    </xf>
    <xf numFmtId="0" fontId="83" fillId="0" borderId="0" xfId="3" applyFont="1" applyAlignment="1">
      <alignment horizontal="left" vertical="center"/>
    </xf>
    <xf numFmtId="174" fontId="0" fillId="0" borderId="0" xfId="0" applyNumberFormat="1" applyFont="1" applyAlignment="1">
      <alignment vertical="center"/>
    </xf>
    <xf numFmtId="0" fontId="81" fillId="4" borderId="0" xfId="3" applyFont="1" applyFill="1" applyAlignment="1" applyProtection="1">
      <alignment vertical="center"/>
      <protection locked="0"/>
    </xf>
    <xf numFmtId="0" fontId="11" fillId="4" borderId="0" xfId="3" applyFont="1" applyFill="1" applyAlignment="1" applyProtection="1">
      <alignment vertical="center"/>
      <protection locked="0"/>
    </xf>
    <xf numFmtId="0" fontId="9" fillId="4" borderId="0" xfId="3" applyFont="1" applyFill="1" applyAlignment="1" applyProtection="1">
      <alignment vertical="center"/>
      <protection locked="0"/>
    </xf>
    <xf numFmtId="164" fontId="82" fillId="4" borderId="0" xfId="3" applyNumberFormat="1" applyFont="1" applyFill="1" applyAlignment="1" applyProtection="1">
      <alignment horizontal="left" vertical="center"/>
      <protection locked="0"/>
    </xf>
    <xf numFmtId="164" fontId="82" fillId="4" borderId="0" xfId="3" applyNumberFormat="1" applyFont="1" applyFill="1" applyAlignment="1" applyProtection="1">
      <alignment horizontal="center" vertical="center"/>
      <protection locked="0"/>
    </xf>
    <xf numFmtId="0" fontId="82" fillId="4" borderId="0" xfId="0" applyFont="1" applyFill="1" applyAlignment="1" applyProtection="1">
      <alignment vertical="center"/>
      <protection locked="0"/>
    </xf>
    <xf numFmtId="0" fontId="19" fillId="3" borderId="0" xfId="0" applyFont="1" applyFill="1" applyAlignment="1" applyProtection="1">
      <alignment vertical="center"/>
      <protection locked="0"/>
    </xf>
    <xf numFmtId="164" fontId="82" fillId="4" borderId="1" xfId="3" applyNumberFormat="1" applyFont="1" applyFill="1" applyBorder="1" applyAlignment="1" applyProtection="1">
      <alignment horizontal="center" vertical="center"/>
      <protection locked="0"/>
    </xf>
    <xf numFmtId="0" fontId="82" fillId="4" borderId="0" xfId="0" applyFont="1" applyFill="1" applyProtection="1">
      <protection locked="0"/>
    </xf>
    <xf numFmtId="164" fontId="82" fillId="10" borderId="1" xfId="0" applyNumberFormat="1" applyFont="1" applyFill="1" applyBorder="1" applyAlignment="1">
      <alignment horizontal="center"/>
    </xf>
    <xf numFmtId="164" fontId="82" fillId="0" borderId="1" xfId="0" applyNumberFormat="1" applyFont="1" applyBorder="1" applyAlignment="1">
      <alignment horizontal="center"/>
    </xf>
    <xf numFmtId="166" fontId="82" fillId="10" borderId="1" xfId="0" applyNumberFormat="1" applyFont="1" applyFill="1" applyBorder="1" applyAlignment="1">
      <alignment horizontal="center"/>
    </xf>
    <xf numFmtId="166" fontId="82" fillId="0" borderId="1" xfId="0" applyNumberFormat="1" applyFont="1" applyBorder="1" applyAlignment="1">
      <alignment horizontal="center"/>
    </xf>
    <xf numFmtId="0" fontId="82" fillId="10" borderId="1" xfId="0" applyFont="1" applyFill="1" applyBorder="1" applyAlignment="1">
      <alignment horizontal="center"/>
    </xf>
    <xf numFmtId="166" fontId="84" fillId="10" borderId="13" xfId="0" applyNumberFormat="1" applyFont="1" applyFill="1" applyBorder="1" applyAlignment="1">
      <alignment horizontal="center" vertical="center"/>
    </xf>
    <xf numFmtId="166" fontId="82" fillId="5" borderId="1" xfId="0" applyNumberFormat="1" applyFont="1" applyFill="1" applyBorder="1" applyAlignment="1">
      <alignment horizontal="center"/>
    </xf>
    <xf numFmtId="1" fontId="82" fillId="0" borderId="1" xfId="0" applyNumberFormat="1" applyFont="1" applyBorder="1" applyAlignment="1">
      <alignment horizontal="center"/>
    </xf>
    <xf numFmtId="0" fontId="82" fillId="0" borderId="0" xfId="0" applyFont="1"/>
    <xf numFmtId="0" fontId="0" fillId="0" borderId="0" xfId="0" applyFont="1"/>
    <xf numFmtId="0" fontId="11" fillId="0" borderId="0" xfId="2" applyFont="1"/>
    <xf numFmtId="168" fontId="0" fillId="0" borderId="0" xfId="0" applyNumberFormat="1" applyFont="1"/>
    <xf numFmtId="0" fontId="81" fillId="3" borderId="0" xfId="0" applyFont="1" applyFill="1" applyProtection="1">
      <protection locked="0"/>
    </xf>
    <xf numFmtId="0" fontId="53" fillId="3" borderId="0" xfId="0" applyFont="1" applyFill="1" applyProtection="1">
      <protection locked="0"/>
    </xf>
    <xf numFmtId="0" fontId="81" fillId="0" borderId="1" xfId="3" applyFont="1" applyBorder="1" applyAlignment="1" applyProtection="1">
      <alignment horizontal="center" vertical="center"/>
      <protection locked="0"/>
    </xf>
    <xf numFmtId="0" fontId="81" fillId="0" borderId="7" xfId="3" applyFont="1" applyBorder="1" applyAlignment="1" applyProtection="1">
      <alignment horizontal="center" wrapText="1"/>
      <protection locked="0"/>
    </xf>
    <xf numFmtId="0" fontId="81" fillId="0" borderId="0" xfId="3" applyFont="1" applyAlignment="1" applyProtection="1">
      <alignment wrapText="1"/>
      <protection locked="0"/>
    </xf>
    <xf numFmtId="0" fontId="0" fillId="0" borderId="0" xfId="0" applyFont="1" applyAlignment="1">
      <alignment horizontal="center"/>
    </xf>
    <xf numFmtId="0" fontId="11" fillId="3" borderId="0" xfId="0" applyFont="1" applyFill="1" applyProtection="1">
      <protection locked="0"/>
    </xf>
    <xf numFmtId="0" fontId="11" fillId="0" borderId="0" xfId="3" applyFont="1" applyProtection="1">
      <protection locked="0"/>
    </xf>
    <xf numFmtId="2" fontId="11" fillId="0" borderId="0" xfId="3" applyNumberFormat="1" applyFont="1" applyAlignment="1" applyProtection="1">
      <alignment horizontal="center" vertical="center"/>
      <protection locked="0"/>
    </xf>
    <xf numFmtId="0" fontId="11" fillId="3" borderId="0" xfId="0" applyFont="1" applyFill="1" applyAlignment="1" applyProtection="1">
      <alignment horizontal="right"/>
      <protection locked="0"/>
    </xf>
    <xf numFmtId="0" fontId="11" fillId="4" borderId="0" xfId="0" applyFont="1" applyFill="1" applyProtection="1"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54" fillId="3" borderId="0" xfId="0" applyFont="1" applyFill="1" applyAlignment="1" applyProtection="1">
      <alignment horizontal="right"/>
      <protection locked="0"/>
    </xf>
    <xf numFmtId="0" fontId="11" fillId="3" borderId="1" xfId="0" applyFont="1" applyFill="1" applyBorder="1" applyAlignment="1" applyProtection="1">
      <alignment horizontal="center" vertical="top" wrapText="1"/>
      <protection locked="0"/>
    </xf>
    <xf numFmtId="0" fontId="11" fillId="3" borderId="1" xfId="0" applyFont="1" applyFill="1" applyBorder="1" applyAlignment="1" applyProtection="1">
      <alignment horizontal="center"/>
      <protection locked="0"/>
    </xf>
    <xf numFmtId="0" fontId="11" fillId="0" borderId="6" xfId="0" applyFont="1" applyBorder="1" applyAlignment="1">
      <alignment horizontal="center"/>
    </xf>
    <xf numFmtId="0" fontId="54" fillId="3" borderId="0" xfId="0" applyFont="1" applyFill="1" applyAlignment="1" applyProtection="1">
      <alignment horizontal="right" vertical="center" wrapText="1"/>
      <protection locked="0"/>
    </xf>
    <xf numFmtId="0" fontId="0" fillId="0" borderId="0" xfId="0" applyFont="1" applyAlignment="1">
      <alignment horizontal="right"/>
    </xf>
    <xf numFmtId="2" fontId="0" fillId="0" borderId="0" xfId="0" applyNumberFormat="1" applyFont="1"/>
    <xf numFmtId="166" fontId="81" fillId="0" borderId="1" xfId="0" applyNumberFormat="1" applyFont="1" applyBorder="1" applyAlignment="1">
      <alignment horizontal="center"/>
    </xf>
    <xf numFmtId="166" fontId="0" fillId="0" borderId="1" xfId="0" applyNumberFormat="1" applyFont="1" applyBorder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0" fontId="54" fillId="3" borderId="9" xfId="0" applyFont="1" applyFill="1" applyBorder="1" applyAlignment="1" applyProtection="1">
      <alignment horizontal="right" vertical="center" wrapText="1"/>
      <protection locked="0"/>
    </xf>
    <xf numFmtId="0" fontId="54" fillId="3" borderId="8" xfId="0" applyFont="1" applyFill="1" applyBorder="1" applyAlignment="1" applyProtection="1">
      <alignment horizontal="right" vertical="center" wrapText="1"/>
      <protection locked="0"/>
    </xf>
    <xf numFmtId="166" fontId="55" fillId="10" borderId="13" xfId="0" applyNumberFormat="1" applyFont="1" applyFill="1" applyBorder="1" applyAlignment="1">
      <alignment horizontal="center" vertical="center"/>
    </xf>
    <xf numFmtId="0" fontId="54" fillId="3" borderId="9" xfId="0" applyFont="1" applyFill="1" applyBorder="1" applyAlignment="1" applyProtection="1">
      <alignment horizontal="left" vertical="center" wrapText="1"/>
      <protection locked="0"/>
    </xf>
    <xf numFmtId="0" fontId="0" fillId="5" borderId="1" xfId="0" applyFont="1" applyFill="1" applyBorder="1"/>
    <xf numFmtId="0" fontId="11" fillId="5" borderId="1" xfId="0" applyFont="1" applyFill="1" applyBorder="1" applyAlignment="1" applyProtection="1">
      <alignment vertical="top" wrapText="1"/>
      <protection locked="0"/>
    </xf>
    <xf numFmtId="0" fontId="11" fillId="5" borderId="1" xfId="0" applyFont="1" applyFill="1" applyBorder="1" applyAlignment="1" applyProtection="1">
      <alignment horizontal="center"/>
      <protection locked="0"/>
    </xf>
    <xf numFmtId="167" fontId="0" fillId="5" borderId="13" xfId="0" applyNumberFormat="1" applyFont="1" applyFill="1" applyBorder="1" applyAlignment="1">
      <alignment horizontal="center"/>
    </xf>
    <xf numFmtId="0" fontId="54" fillId="5" borderId="9" xfId="0" applyFont="1" applyFill="1" applyBorder="1" applyAlignment="1" applyProtection="1">
      <alignment horizontal="right" vertical="center" wrapText="1"/>
      <protection locked="0"/>
    </xf>
    <xf numFmtId="0" fontId="54" fillId="5" borderId="8" xfId="0" applyFont="1" applyFill="1" applyBorder="1" applyAlignment="1" applyProtection="1">
      <alignment horizontal="right" vertical="center" wrapText="1"/>
      <protection locked="0"/>
    </xf>
    <xf numFmtId="0" fontId="54" fillId="5" borderId="9" xfId="0" applyFont="1" applyFill="1" applyBorder="1" applyAlignment="1" applyProtection="1">
      <alignment horizontal="left" vertical="center" wrapText="1"/>
      <protection locked="0"/>
    </xf>
    <xf numFmtId="0" fontId="0" fillId="0" borderId="1" xfId="0" applyFont="1" applyBorder="1"/>
    <xf numFmtId="0" fontId="11" fillId="3" borderId="9" xfId="0" applyFont="1" applyFill="1" applyBorder="1" applyAlignment="1" applyProtection="1">
      <alignment vertical="top" wrapText="1"/>
      <protection locked="0"/>
    </xf>
    <xf numFmtId="0" fontId="11" fillId="0" borderId="0" xfId="3" applyFont="1" applyAlignment="1" applyProtection="1">
      <alignment horizontal="left"/>
      <protection locked="0"/>
    </xf>
    <xf numFmtId="172" fontId="11" fillId="3" borderId="0" xfId="0" applyNumberFormat="1" applyFont="1" applyFill="1" applyAlignment="1" applyProtection="1">
      <alignment horizontal="left"/>
      <protection locked="0"/>
    </xf>
    <xf numFmtId="0" fontId="81" fillId="0" borderId="0" xfId="3" applyFont="1"/>
    <xf numFmtId="0" fontId="81" fillId="0" borderId="0" xfId="3" applyFont="1" applyAlignment="1">
      <alignment horizontal="left"/>
    </xf>
    <xf numFmtId="167" fontId="13" fillId="5" borderId="1" xfId="0" applyNumberFormat="1" applyFont="1" applyFill="1" applyBorder="1" applyAlignment="1">
      <alignment horizontal="center" vertical="center"/>
    </xf>
    <xf numFmtId="165" fontId="13" fillId="5" borderId="1" xfId="0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167" fontId="13" fillId="7" borderId="1" xfId="0" applyNumberFormat="1" applyFont="1" applyFill="1" applyBorder="1" applyAlignment="1">
      <alignment horizontal="center" vertical="center"/>
    </xf>
    <xf numFmtId="168" fontId="13" fillId="7" borderId="1" xfId="0" applyNumberFormat="1" applyFont="1" applyFill="1" applyBorder="1" applyAlignment="1">
      <alignment horizontal="center" vertical="center"/>
    </xf>
    <xf numFmtId="1" fontId="13" fillId="4" borderId="1" xfId="0" applyNumberFormat="1" applyFont="1" applyFill="1" applyBorder="1" applyAlignment="1">
      <alignment horizontal="center" vertical="center"/>
    </xf>
    <xf numFmtId="2" fontId="13" fillId="7" borderId="1" xfId="0" applyNumberFormat="1" applyFont="1" applyFill="1" applyBorder="1" applyAlignment="1">
      <alignment horizontal="center" vertical="center"/>
    </xf>
    <xf numFmtId="0" fontId="2" fillId="0" borderId="0" xfId="0" applyNumberFormat="1" applyFont="1"/>
    <xf numFmtId="0" fontId="34" fillId="4" borderId="14" xfId="1" applyFont="1" applyFill="1" applyBorder="1" applyAlignment="1">
      <alignment horizontal="center" vertical="center"/>
    </xf>
    <xf numFmtId="0" fontId="34" fillId="4" borderId="15" xfId="1" applyFont="1" applyFill="1" applyBorder="1" applyAlignment="1">
      <alignment horizontal="center" vertical="center"/>
    </xf>
    <xf numFmtId="0" fontId="34" fillId="4" borderId="16" xfId="1" applyFont="1" applyFill="1" applyBorder="1" applyAlignment="1">
      <alignment horizontal="center" vertical="center"/>
    </xf>
    <xf numFmtId="0" fontId="33" fillId="9" borderId="18" xfId="1" applyFont="1" applyFill="1" applyBorder="1" applyAlignment="1">
      <alignment horizontal="center" vertical="center"/>
    </xf>
    <xf numFmtId="0" fontId="33" fillId="9" borderId="26" xfId="1" applyFont="1" applyFill="1" applyBorder="1" applyAlignment="1">
      <alignment horizontal="center" vertical="center"/>
    </xf>
    <xf numFmtId="0" fontId="33" fillId="9" borderId="35" xfId="1" applyFont="1" applyFill="1" applyBorder="1" applyAlignment="1">
      <alignment horizontal="center" vertical="center"/>
    </xf>
    <xf numFmtId="0" fontId="33" fillId="9" borderId="27" xfId="1" applyFont="1" applyFill="1" applyBorder="1" applyAlignment="1">
      <alignment horizontal="center" vertical="center"/>
    </xf>
    <xf numFmtId="0" fontId="33" fillId="4" borderId="32" xfId="1" applyFont="1" applyFill="1" applyBorder="1" applyAlignment="1">
      <alignment horizontal="center" vertical="center"/>
    </xf>
    <xf numFmtId="0" fontId="33" fillId="4" borderId="33" xfId="1" applyFont="1" applyFill="1" applyBorder="1" applyAlignment="1">
      <alignment horizontal="center" vertical="center"/>
    </xf>
    <xf numFmtId="0" fontId="33" fillId="4" borderId="34" xfId="1" applyFont="1" applyFill="1" applyBorder="1" applyAlignment="1">
      <alignment horizontal="center" vertical="center"/>
    </xf>
    <xf numFmtId="0" fontId="33" fillId="8" borderId="29" xfId="1" applyFont="1" applyFill="1" applyBorder="1" applyAlignment="1">
      <alignment horizontal="center" vertical="center"/>
    </xf>
    <xf numFmtId="0" fontId="33" fillId="8" borderId="24" xfId="1" applyFont="1" applyFill="1" applyBorder="1" applyAlignment="1">
      <alignment horizontal="center" vertical="center"/>
    </xf>
    <xf numFmtId="0" fontId="33" fillId="8" borderId="47" xfId="1" applyFont="1" applyFill="1" applyBorder="1" applyAlignment="1">
      <alignment horizontal="center" vertical="center"/>
    </xf>
    <xf numFmtId="0" fontId="33" fillId="8" borderId="25" xfId="1" applyFont="1" applyFill="1" applyBorder="1" applyAlignment="1">
      <alignment horizontal="center" vertical="center"/>
    </xf>
    <xf numFmtId="0" fontId="34" fillId="4" borderId="28" xfId="1" applyFont="1" applyFill="1" applyBorder="1" applyAlignment="1">
      <alignment horizontal="center" vertical="center" wrapText="1"/>
    </xf>
    <xf numFmtId="0" fontId="34" fillId="4" borderId="1" xfId="1" applyFont="1" applyFill="1" applyBorder="1" applyAlignment="1">
      <alignment horizontal="center" vertical="center" wrapText="1"/>
    </xf>
    <xf numFmtId="0" fontId="33" fillId="4" borderId="22" xfId="1" applyFont="1" applyFill="1" applyBorder="1" applyAlignment="1">
      <alignment horizontal="center" vertical="center" wrapText="1"/>
    </xf>
    <xf numFmtId="0" fontId="47" fillId="4" borderId="32" xfId="1" applyFont="1" applyFill="1" applyBorder="1" applyAlignment="1">
      <alignment horizontal="center" vertical="center"/>
    </xf>
    <xf numFmtId="0" fontId="47" fillId="4" borderId="28" xfId="1" applyFont="1" applyFill="1" applyBorder="1" applyAlignment="1">
      <alignment horizontal="center" vertical="center"/>
    </xf>
    <xf numFmtId="0" fontId="47" fillId="4" borderId="29" xfId="1" applyFont="1" applyFill="1" applyBorder="1" applyAlignment="1">
      <alignment horizontal="center" vertical="center"/>
    </xf>
    <xf numFmtId="0" fontId="34" fillId="4" borderId="33" xfId="1" applyFont="1" applyFill="1" applyBorder="1" applyAlignment="1">
      <alignment horizontal="left" vertical="center" wrapText="1"/>
    </xf>
    <xf numFmtId="0" fontId="34" fillId="4" borderId="34" xfId="1" applyFont="1" applyFill="1" applyBorder="1" applyAlignment="1">
      <alignment horizontal="left" vertical="center" wrapText="1"/>
    </xf>
    <xf numFmtId="0" fontId="48" fillId="4" borderId="1" xfId="1" applyFont="1" applyFill="1" applyBorder="1" applyAlignment="1">
      <alignment horizontal="center" vertical="center"/>
    </xf>
    <xf numFmtId="0" fontId="48" fillId="4" borderId="22" xfId="1" applyFont="1" applyFill="1" applyBorder="1" applyAlignment="1">
      <alignment horizontal="center" vertical="center"/>
    </xf>
    <xf numFmtId="0" fontId="47" fillId="8" borderId="32" xfId="1" applyFont="1" applyFill="1" applyBorder="1" applyAlignment="1">
      <alignment horizontal="center" vertical="center"/>
    </xf>
    <xf numFmtId="0" fontId="47" fillId="8" borderId="28" xfId="1" applyFont="1" applyFill="1" applyBorder="1" applyAlignment="1">
      <alignment horizontal="center" vertical="center"/>
    </xf>
    <xf numFmtId="0" fontId="47" fillId="8" borderId="29" xfId="1" applyFont="1" applyFill="1" applyBorder="1" applyAlignment="1">
      <alignment horizontal="center" vertical="center"/>
    </xf>
    <xf numFmtId="0" fontId="47" fillId="8" borderId="33" xfId="1" applyFont="1" applyFill="1" applyBorder="1" applyAlignment="1">
      <alignment horizontal="center" vertical="center"/>
    </xf>
    <xf numFmtId="0" fontId="47" fillId="8" borderId="1" xfId="1" applyFont="1" applyFill="1" applyBorder="1" applyAlignment="1">
      <alignment horizontal="center" vertical="center"/>
    </xf>
    <xf numFmtId="0" fontId="47" fillId="8" borderId="24" xfId="1" applyFont="1" applyFill="1" applyBorder="1" applyAlignment="1">
      <alignment horizontal="center" vertical="center"/>
    </xf>
    <xf numFmtId="0" fontId="47" fillId="8" borderId="53" xfId="1" applyFont="1" applyFill="1" applyBorder="1" applyAlignment="1">
      <alignment horizontal="center" vertical="center"/>
    </xf>
    <xf numFmtId="0" fontId="47" fillId="8" borderId="49" xfId="1" applyFont="1" applyFill="1" applyBorder="1" applyAlignment="1">
      <alignment horizontal="center" vertical="center"/>
    </xf>
    <xf numFmtId="0" fontId="47" fillId="8" borderId="50" xfId="1" applyFont="1" applyFill="1" applyBorder="1" applyAlignment="1">
      <alignment horizontal="center" vertical="center"/>
    </xf>
    <xf numFmtId="0" fontId="47" fillId="8" borderId="17" xfId="1" applyFont="1" applyFill="1" applyBorder="1" applyAlignment="1">
      <alignment horizontal="center" vertical="center"/>
    </xf>
    <xf numFmtId="0" fontId="47" fillId="8" borderId="2" xfId="1" applyFont="1" applyFill="1" applyBorder="1" applyAlignment="1">
      <alignment horizontal="center" vertical="center"/>
    </xf>
    <xf numFmtId="0" fontId="47" fillId="8" borderId="47" xfId="1" applyFont="1" applyFill="1" applyBorder="1" applyAlignment="1">
      <alignment horizontal="center" vertical="center"/>
    </xf>
    <xf numFmtId="1" fontId="34" fillId="5" borderId="32" xfId="1" applyNumberFormat="1" applyFont="1" applyFill="1" applyBorder="1" applyAlignment="1">
      <alignment horizontal="center" vertical="center"/>
    </xf>
    <xf numFmtId="1" fontId="34" fillId="5" borderId="34" xfId="1" applyNumberFormat="1" applyFont="1" applyFill="1" applyBorder="1" applyAlignment="1">
      <alignment horizontal="center" vertical="center"/>
    </xf>
    <xf numFmtId="0" fontId="33" fillId="5" borderId="28" xfId="1" applyFont="1" applyFill="1" applyBorder="1" applyAlignment="1">
      <alignment horizontal="center" vertical="center"/>
    </xf>
    <xf numFmtId="0" fontId="33" fillId="5" borderId="22" xfId="1" applyFont="1" applyFill="1" applyBorder="1" applyAlignment="1">
      <alignment horizontal="center" vertical="center"/>
    </xf>
    <xf numFmtId="0" fontId="47" fillId="8" borderId="48" xfId="1" applyFont="1" applyFill="1" applyBorder="1" applyAlignment="1">
      <alignment horizontal="center" vertical="center"/>
    </xf>
    <xf numFmtId="0" fontId="47" fillId="8" borderId="3" xfId="1" applyFont="1" applyFill="1" applyBorder="1" applyAlignment="1">
      <alignment horizontal="center" vertical="center"/>
    </xf>
    <xf numFmtId="1" fontId="43" fillId="8" borderId="32" xfId="1" applyNumberFormat="1" applyFont="1" applyFill="1" applyBorder="1" applyAlignment="1">
      <alignment horizontal="center" vertical="center"/>
    </xf>
    <xf numFmtId="1" fontId="43" fillId="8" borderId="34" xfId="1" applyNumberFormat="1" applyFont="1" applyFill="1" applyBorder="1" applyAlignment="1">
      <alignment horizontal="center" vertical="center"/>
    </xf>
    <xf numFmtId="0" fontId="4" fillId="8" borderId="14" xfId="1" applyFont="1" applyFill="1" applyBorder="1" applyAlignment="1">
      <alignment horizontal="center" vertical="center"/>
    </xf>
    <xf numFmtId="0" fontId="4" fillId="8" borderId="42" xfId="1" applyFont="1" applyFill="1" applyBorder="1" applyAlignment="1">
      <alignment horizontal="center" vertical="center"/>
    </xf>
    <xf numFmtId="0" fontId="4" fillId="8" borderId="43" xfId="1" applyFont="1" applyFill="1" applyBorder="1" applyAlignment="1">
      <alignment horizontal="center" vertical="center"/>
    </xf>
    <xf numFmtId="0" fontId="4" fillId="8" borderId="15" xfId="1" applyFont="1" applyFill="1" applyBorder="1" applyAlignment="1">
      <alignment horizontal="center" vertical="center"/>
    </xf>
    <xf numFmtId="0" fontId="4" fillId="8" borderId="39" xfId="1" applyFont="1" applyFill="1" applyBorder="1" applyAlignment="1">
      <alignment horizontal="center" vertical="center"/>
    </xf>
    <xf numFmtId="0" fontId="4" fillId="8" borderId="45" xfId="1" applyFont="1" applyFill="1" applyBorder="1" applyAlignment="1">
      <alignment horizontal="center" vertical="center"/>
    </xf>
    <xf numFmtId="0" fontId="48" fillId="8" borderId="1" xfId="1" applyFont="1" applyFill="1" applyBorder="1" applyAlignment="1">
      <alignment horizontal="center" vertical="center"/>
    </xf>
    <xf numFmtId="0" fontId="48" fillId="8" borderId="22" xfId="1" applyFont="1" applyFill="1" applyBorder="1" applyAlignment="1">
      <alignment horizontal="center" vertical="center"/>
    </xf>
    <xf numFmtId="0" fontId="47" fillId="7" borderId="0" xfId="1" applyFont="1" applyFill="1" applyAlignment="1">
      <alignment horizontal="center"/>
    </xf>
    <xf numFmtId="0" fontId="3" fillId="8" borderId="14" xfId="1" applyFont="1" applyFill="1" applyBorder="1" applyAlignment="1">
      <alignment horizontal="center" vertical="center"/>
    </xf>
    <xf numFmtId="0" fontId="3" fillId="8" borderId="42" xfId="1" applyFont="1" applyFill="1" applyBorder="1" applyAlignment="1">
      <alignment horizontal="center" vertical="center"/>
    </xf>
    <xf numFmtId="0" fontId="28" fillId="8" borderId="37" xfId="1" applyFont="1" applyFill="1" applyBorder="1" applyAlignment="1">
      <alignment horizontal="center" vertical="center"/>
    </xf>
    <xf numFmtId="0" fontId="3" fillId="8" borderId="46" xfId="1" applyFont="1" applyFill="1" applyBorder="1" applyAlignment="1">
      <alignment horizontal="center" vertical="center"/>
    </xf>
    <xf numFmtId="0" fontId="33" fillId="8" borderId="32" xfId="1" applyFont="1" applyFill="1" applyBorder="1" applyAlignment="1">
      <alignment horizontal="center" vertical="center"/>
    </xf>
    <xf numFmtId="0" fontId="33" fillId="8" borderId="28" xfId="1" applyFont="1" applyFill="1" applyBorder="1" applyAlignment="1">
      <alignment horizontal="center" vertical="center"/>
    </xf>
    <xf numFmtId="0" fontId="33" fillId="8" borderId="33" xfId="1" applyFont="1" applyFill="1" applyBorder="1" applyAlignment="1">
      <alignment horizontal="center" vertical="center" wrapText="1"/>
    </xf>
    <xf numFmtId="0" fontId="33" fillId="8" borderId="1" xfId="1" applyFont="1" applyFill="1" applyBorder="1" applyAlignment="1">
      <alignment horizontal="center" vertical="center" wrapText="1"/>
    </xf>
    <xf numFmtId="0" fontId="34" fillId="8" borderId="33" xfId="1" applyFont="1" applyFill="1" applyBorder="1" applyAlignment="1">
      <alignment horizontal="center" vertical="center"/>
    </xf>
    <xf numFmtId="0" fontId="33" fillId="8" borderId="33" xfId="1" applyFont="1" applyFill="1" applyBorder="1" applyAlignment="1">
      <alignment horizontal="center" vertical="center"/>
    </xf>
    <xf numFmtId="0" fontId="33" fillId="8" borderId="1" xfId="1" applyFont="1" applyFill="1" applyBorder="1" applyAlignment="1">
      <alignment horizontal="center" vertical="center"/>
    </xf>
    <xf numFmtId="0" fontId="34" fillId="8" borderId="34" xfId="1" applyFont="1" applyFill="1" applyBorder="1" applyAlignment="1">
      <alignment horizontal="center" vertical="center"/>
    </xf>
    <xf numFmtId="0" fontId="2" fillId="0" borderId="39" xfId="1" applyBorder="1" applyAlignment="1">
      <alignment horizontal="center" vertical="center"/>
    </xf>
    <xf numFmtId="0" fontId="2" fillId="0" borderId="41" xfId="1" applyBorder="1" applyAlignment="1">
      <alignment horizontal="center" vertical="center"/>
    </xf>
    <xf numFmtId="0" fontId="2" fillId="0" borderId="45" xfId="1" applyBorder="1" applyAlignment="1">
      <alignment horizontal="center" vertical="center"/>
    </xf>
    <xf numFmtId="0" fontId="34" fillId="8" borderId="31" xfId="1" applyFont="1" applyFill="1" applyBorder="1" applyAlignment="1">
      <alignment horizontal="center" vertical="center"/>
    </xf>
    <xf numFmtId="0" fontId="34" fillId="8" borderId="35" xfId="1" applyFont="1" applyFill="1" applyBorder="1" applyAlignment="1">
      <alignment horizontal="center" vertical="center"/>
    </xf>
    <xf numFmtId="0" fontId="34" fillId="8" borderId="40" xfId="1" applyFont="1" applyFill="1" applyBorder="1" applyAlignment="1">
      <alignment horizontal="center" vertical="center"/>
    </xf>
    <xf numFmtId="0" fontId="34" fillId="8" borderId="14" xfId="1" applyFont="1" applyFill="1" applyBorder="1" applyAlignment="1">
      <alignment horizontal="center" vertical="center"/>
    </xf>
    <xf numFmtId="0" fontId="34" fillId="8" borderId="15" xfId="1" applyFont="1" applyFill="1" applyBorder="1" applyAlignment="1">
      <alignment horizontal="center" vertical="center"/>
    </xf>
    <xf numFmtId="0" fontId="34" fillId="8" borderId="16" xfId="1" applyFont="1" applyFill="1" applyBorder="1" applyAlignment="1">
      <alignment horizontal="center" vertical="center"/>
    </xf>
    <xf numFmtId="0" fontId="2" fillId="0" borderId="31" xfId="1" applyBorder="1" applyAlignment="1">
      <alignment horizontal="center" vertical="center"/>
    </xf>
    <xf numFmtId="0" fontId="2" fillId="0" borderId="30" xfId="1" applyBorder="1" applyAlignment="1">
      <alignment horizontal="center" vertical="center"/>
    </xf>
    <xf numFmtId="0" fontId="2" fillId="0" borderId="37" xfId="1" applyBorder="1" applyAlignment="1">
      <alignment horizontal="center" vertical="center"/>
    </xf>
    <xf numFmtId="0" fontId="34" fillId="8" borderId="32" xfId="1" applyFont="1" applyFill="1" applyBorder="1" applyAlignment="1">
      <alignment horizontal="center" vertical="center"/>
    </xf>
    <xf numFmtId="0" fontId="4" fillId="8" borderId="28" xfId="1" applyFont="1" applyFill="1" applyBorder="1" applyAlignment="1">
      <alignment horizontal="center" vertical="center"/>
    </xf>
    <xf numFmtId="0" fontId="4" fillId="8" borderId="1" xfId="1" applyFont="1" applyFill="1" applyBorder="1" applyAlignment="1">
      <alignment horizontal="center" vertical="center"/>
    </xf>
    <xf numFmtId="0" fontId="4" fillId="8" borderId="22" xfId="1" applyFont="1" applyFill="1" applyBorder="1" applyAlignment="1">
      <alignment horizontal="center" vertical="center"/>
    </xf>
    <xf numFmtId="0" fontId="3" fillId="8" borderId="28" xfId="1" applyFont="1" applyFill="1" applyBorder="1" applyAlignment="1">
      <alignment horizontal="center" vertical="center"/>
    </xf>
    <xf numFmtId="0" fontId="3" fillId="8" borderId="1" xfId="1" applyFont="1" applyFill="1" applyBorder="1" applyAlignment="1">
      <alignment horizontal="center" vertical="center"/>
    </xf>
    <xf numFmtId="0" fontId="28" fillId="8" borderId="28" xfId="1" applyFont="1" applyFill="1" applyBorder="1" applyAlignment="1">
      <alignment horizontal="center" vertical="center"/>
    </xf>
    <xf numFmtId="0" fontId="46" fillId="7" borderId="30" xfId="1" applyFont="1" applyFill="1" applyBorder="1" applyAlignment="1">
      <alignment horizontal="center" vertical="center"/>
    </xf>
    <xf numFmtId="0" fontId="46" fillId="7" borderId="0" xfId="1" applyFont="1" applyFill="1" applyAlignment="1">
      <alignment horizontal="center" vertical="center"/>
    </xf>
    <xf numFmtId="0" fontId="54" fillId="0" borderId="3" xfId="0" applyFont="1" applyBorder="1" applyAlignment="1">
      <alignment horizontal="center" vertical="center" wrapText="1"/>
    </xf>
    <xf numFmtId="0" fontId="54" fillId="0" borderId="2" xfId="0" applyFont="1" applyBorder="1" applyAlignment="1">
      <alignment horizontal="center" vertical="center" wrapText="1"/>
    </xf>
    <xf numFmtId="0" fontId="54" fillId="0" borderId="4" xfId="0" applyFont="1" applyBorder="1" applyAlignment="1">
      <alignment horizontal="center" vertical="center" wrapText="1"/>
    </xf>
    <xf numFmtId="0" fontId="43" fillId="6" borderId="8" xfId="1" applyFont="1" applyFill="1" applyBorder="1" applyAlignment="1">
      <alignment horizontal="center" vertical="center" wrapText="1"/>
    </xf>
    <xf numFmtId="0" fontId="43" fillId="6" borderId="13" xfId="1" applyFont="1" applyFill="1" applyBorder="1" applyAlignment="1">
      <alignment horizontal="center" vertical="center" wrapText="1"/>
    </xf>
    <xf numFmtId="0" fontId="43" fillId="6" borderId="9" xfId="1" applyFont="1" applyFill="1" applyBorder="1" applyAlignment="1">
      <alignment horizontal="center" vertical="center" wrapText="1"/>
    </xf>
    <xf numFmtId="0" fontId="54" fillId="4" borderId="0" xfId="0" applyFont="1" applyFill="1" applyAlignment="1">
      <alignment horizontal="center" vertical="center" wrapText="1"/>
    </xf>
    <xf numFmtId="0" fontId="75" fillId="2" borderId="1" xfId="1" applyFont="1" applyFill="1" applyBorder="1" applyAlignment="1">
      <alignment horizontal="center" vertical="center" wrapText="1"/>
    </xf>
    <xf numFmtId="0" fontId="43" fillId="2" borderId="3" xfId="1" applyFont="1" applyFill="1" applyBorder="1" applyAlignment="1">
      <alignment horizontal="center" vertical="center"/>
    </xf>
    <xf numFmtId="0" fontId="43" fillId="2" borderId="2" xfId="1" applyFont="1" applyFill="1" applyBorder="1" applyAlignment="1">
      <alignment horizontal="center" vertical="center"/>
    </xf>
    <xf numFmtId="0" fontId="43" fillId="2" borderId="4" xfId="1" applyFont="1" applyFill="1" applyBorder="1" applyAlignment="1">
      <alignment horizontal="center" vertical="center"/>
    </xf>
    <xf numFmtId="0" fontId="35" fillId="2" borderId="0" xfId="1" applyFont="1" applyFill="1" applyAlignment="1">
      <alignment horizontal="center" vertical="center" wrapText="1"/>
    </xf>
    <xf numFmtId="0" fontId="74" fillId="2" borderId="1" xfId="1" applyFont="1" applyFill="1" applyBorder="1" applyAlignment="1">
      <alignment horizontal="center"/>
    </xf>
    <xf numFmtId="0" fontId="43" fillId="6" borderId="1" xfId="1" applyFont="1" applyFill="1" applyBorder="1" applyAlignment="1">
      <alignment horizontal="center" vertical="center" wrapText="1"/>
    </xf>
    <xf numFmtId="0" fontId="32" fillId="6" borderId="8" xfId="1" applyFont="1" applyFill="1" applyBorder="1" applyAlignment="1">
      <alignment horizontal="center" vertical="center" wrapText="1"/>
    </xf>
    <xf numFmtId="0" fontId="32" fillId="6" borderId="13" xfId="1" applyFont="1" applyFill="1" applyBorder="1" applyAlignment="1">
      <alignment horizontal="center" vertical="center" wrapText="1"/>
    </xf>
    <xf numFmtId="0" fontId="32" fillId="6" borderId="9" xfId="1" applyFont="1" applyFill="1" applyBorder="1" applyAlignment="1">
      <alignment horizontal="center" vertical="center" wrapText="1"/>
    </xf>
    <xf numFmtId="0" fontId="43" fillId="4" borderId="0" xfId="1" applyFont="1" applyFill="1" applyAlignment="1">
      <alignment horizontal="center" vertical="top" wrapText="1"/>
    </xf>
    <xf numFmtId="0" fontId="35" fillId="2" borderId="0" xfId="1" applyFont="1" applyFill="1" applyAlignment="1">
      <alignment horizontal="center" wrapText="1"/>
    </xf>
    <xf numFmtId="0" fontId="74" fillId="0" borderId="0" xfId="1" applyFont="1" applyAlignment="1">
      <alignment horizontal="center"/>
    </xf>
    <xf numFmtId="0" fontId="43" fillId="0" borderId="0" xfId="1" applyFont="1" applyAlignment="1">
      <alignment horizontal="center" vertical="center"/>
    </xf>
    <xf numFmtId="0" fontId="75" fillId="2" borderId="9" xfId="1" applyFont="1" applyFill="1" applyBorder="1" applyAlignment="1">
      <alignment horizontal="center" vertical="center" wrapText="1"/>
    </xf>
    <xf numFmtId="0" fontId="75" fillId="0" borderId="0" xfId="1" applyFont="1" applyAlignment="1">
      <alignment horizontal="center" vertical="center" wrapText="1"/>
    </xf>
    <xf numFmtId="0" fontId="74" fillId="2" borderId="9" xfId="1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1" fillId="0" borderId="1" xfId="0" applyFont="1" applyBorder="1" applyAlignment="1">
      <alignment horizontal="center" vertical="top" wrapText="1"/>
    </xf>
    <xf numFmtId="0" fontId="37" fillId="3" borderId="8" xfId="0" applyFont="1" applyFill="1" applyBorder="1" applyAlignment="1" applyProtection="1">
      <alignment horizontal="center" vertical="center" wrapText="1"/>
      <protection locked="0"/>
    </xf>
    <xf numFmtId="0" fontId="37" fillId="3" borderId="9" xfId="0" applyFont="1" applyFill="1" applyBorder="1" applyAlignment="1" applyProtection="1">
      <alignment horizontal="center" vertical="center" wrapText="1"/>
      <protection locked="0"/>
    </xf>
    <xf numFmtId="0" fontId="37" fillId="5" borderId="8" xfId="0" applyFont="1" applyFill="1" applyBorder="1" applyAlignment="1" applyProtection="1">
      <alignment horizontal="center" vertical="center" wrapText="1"/>
      <protection locked="0"/>
    </xf>
    <xf numFmtId="0" fontId="37" fillId="5" borderId="9" xfId="0" applyFont="1" applyFill="1" applyBorder="1" applyAlignment="1" applyProtection="1">
      <alignment horizontal="center" vertical="center" wrapText="1"/>
      <protection locked="0"/>
    </xf>
    <xf numFmtId="0" fontId="37" fillId="5" borderId="8" xfId="0" applyFont="1" applyFill="1" applyBorder="1" applyAlignment="1" applyProtection="1">
      <alignment horizontal="right" vertical="center" wrapText="1"/>
      <protection locked="0"/>
    </xf>
    <xf numFmtId="0" fontId="37" fillId="5" borderId="13" xfId="0" applyFont="1" applyFill="1" applyBorder="1" applyAlignment="1" applyProtection="1">
      <alignment horizontal="right" vertical="center" wrapText="1"/>
      <protection locked="0"/>
    </xf>
    <xf numFmtId="0" fontId="18" fillId="3" borderId="8" xfId="0" applyFont="1" applyFill="1" applyBorder="1" applyAlignment="1" applyProtection="1">
      <alignment horizontal="center" vertical="top" wrapText="1"/>
      <protection locked="0"/>
    </xf>
    <xf numFmtId="0" fontId="18" fillId="3" borderId="13" xfId="0" applyFont="1" applyFill="1" applyBorder="1" applyAlignment="1" applyProtection="1">
      <alignment horizontal="center" vertical="top" wrapText="1"/>
      <protection locked="0"/>
    </xf>
    <xf numFmtId="0" fontId="18" fillId="3" borderId="1" xfId="0" applyFont="1" applyFill="1" applyBorder="1" applyAlignment="1" applyProtection="1">
      <alignment horizontal="center" vertical="top" wrapText="1"/>
      <protection locked="0"/>
    </xf>
    <xf numFmtId="0" fontId="11" fillId="0" borderId="1" xfId="0" applyFont="1" applyBorder="1" applyAlignment="1">
      <alignment horizontal="center" vertical="top"/>
    </xf>
    <xf numFmtId="0" fontId="18" fillId="3" borderId="9" xfId="0" applyFont="1" applyFill="1" applyBorder="1" applyAlignment="1" applyProtection="1">
      <alignment horizontal="center" vertical="top" wrapText="1"/>
      <protection locked="0"/>
    </xf>
    <xf numFmtId="0" fontId="11" fillId="0" borderId="5" xfId="0" applyFont="1" applyBorder="1" applyAlignment="1">
      <alignment horizontal="center" vertical="top" wrapText="1"/>
    </xf>
    <xf numFmtId="0" fontId="11" fillId="0" borderId="10" xfId="0" applyFont="1" applyBorder="1" applyAlignment="1">
      <alignment horizontal="center" vertical="top" wrapText="1"/>
    </xf>
    <xf numFmtId="0" fontId="11" fillId="0" borderId="11" xfId="0" applyFont="1" applyBorder="1" applyAlignment="1">
      <alignment horizontal="center" vertical="top" wrapText="1"/>
    </xf>
    <xf numFmtId="0" fontId="11" fillId="0" borderId="12" xfId="0" applyFont="1" applyBorder="1" applyAlignment="1">
      <alignment horizontal="center" vertical="top" wrapText="1"/>
    </xf>
    <xf numFmtId="0" fontId="19" fillId="5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2" applyFont="1" applyAlignment="1"/>
    <xf numFmtId="0" fontId="11" fillId="0" borderId="3" xfId="0" applyFont="1" applyBorder="1" applyAlignment="1">
      <alignment horizontal="center" vertical="top" wrapText="1"/>
    </xf>
    <xf numFmtId="0" fontId="11" fillId="0" borderId="4" xfId="0" applyFont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18" fillId="3" borderId="0" xfId="0" applyFont="1" applyFill="1" applyAlignment="1" applyProtection="1">
      <protection locked="0"/>
    </xf>
    <xf numFmtId="0" fontId="18" fillId="5" borderId="8" xfId="0" applyFont="1" applyFill="1" applyBorder="1" applyAlignment="1" applyProtection="1">
      <alignment horizontal="center" wrapText="1"/>
      <protection locked="0"/>
    </xf>
    <xf numFmtId="0" fontId="18" fillId="5" borderId="13" xfId="0" applyFont="1" applyFill="1" applyBorder="1" applyAlignment="1" applyProtection="1">
      <alignment horizontal="center" wrapText="1"/>
      <protection locked="0"/>
    </xf>
    <xf numFmtId="0" fontId="18" fillId="5" borderId="9" xfId="0" applyFont="1" applyFill="1" applyBorder="1" applyAlignment="1" applyProtection="1">
      <alignment horizontal="center" wrapText="1"/>
      <protection locked="0"/>
    </xf>
    <xf numFmtId="0" fontId="31" fillId="3" borderId="8" xfId="0" applyFont="1" applyFill="1" applyBorder="1" applyAlignment="1" applyProtection="1">
      <alignment horizontal="center" vertical="center" wrapText="1"/>
      <protection locked="0"/>
    </xf>
    <xf numFmtId="0" fontId="18" fillId="3" borderId="13" xfId="0" applyFont="1" applyFill="1" applyBorder="1" applyAlignment="1" applyProtection="1">
      <alignment horizontal="center" vertical="center" wrapText="1"/>
      <protection locked="0"/>
    </xf>
    <xf numFmtId="0" fontId="18" fillId="3" borderId="9" xfId="0" applyFont="1" applyFill="1" applyBorder="1" applyAlignment="1" applyProtection="1">
      <alignment horizontal="center" vertical="center" wrapText="1"/>
      <protection locked="0"/>
    </xf>
    <xf numFmtId="0" fontId="11" fillId="0" borderId="8" xfId="0" applyFont="1" applyBorder="1" applyAlignment="1">
      <alignment horizontal="center" vertical="top" wrapText="1"/>
    </xf>
    <xf numFmtId="0" fontId="11" fillId="0" borderId="13" xfId="0" applyFont="1" applyBorder="1" applyAlignment="1">
      <alignment horizontal="center" vertical="top" wrapText="1"/>
    </xf>
    <xf numFmtId="0" fontId="11" fillId="0" borderId="9" xfId="0" applyFont="1" applyBorder="1" applyAlignment="1">
      <alignment horizontal="center" vertical="top" wrapText="1"/>
    </xf>
    <xf numFmtId="0" fontId="37" fillId="3" borderId="8" xfId="0" applyFont="1" applyFill="1" applyBorder="1" applyAlignment="1" applyProtection="1">
      <alignment horizontal="right" vertical="center" wrapText="1"/>
      <protection locked="0"/>
    </xf>
    <xf numFmtId="0" fontId="37" fillId="3" borderId="13" xfId="0" applyFont="1" applyFill="1" applyBorder="1" applyAlignment="1" applyProtection="1">
      <alignment horizontal="right" vertical="center" wrapText="1"/>
      <protection locked="0"/>
    </xf>
    <xf numFmtId="0" fontId="0" fillId="0" borderId="0" xfId="0" applyFont="1" applyAlignment="1">
      <alignment horizontal="left"/>
    </xf>
    <xf numFmtId="164" fontId="82" fillId="0" borderId="1" xfId="0" applyNumberFormat="1" applyFont="1" applyBorder="1" applyAlignment="1">
      <alignment horizontal="center"/>
    </xf>
    <xf numFmtId="164" fontId="82" fillId="0" borderId="8" xfId="0" applyNumberFormat="1" applyFont="1" applyBorder="1" applyAlignment="1">
      <alignment horizontal="center"/>
    </xf>
    <xf numFmtId="164" fontId="82" fillId="0" borderId="9" xfId="0" applyNumberFormat="1" applyFont="1" applyBorder="1" applyAlignment="1">
      <alignment horizontal="center"/>
    </xf>
    <xf numFmtId="0" fontId="82" fillId="0" borderId="0" xfId="0" applyFont="1" applyAlignment="1">
      <alignment horizontal="left"/>
    </xf>
    <xf numFmtId="0" fontId="11" fillId="3" borderId="8" xfId="0" applyFont="1" applyFill="1" applyBorder="1" applyAlignment="1" applyProtection="1">
      <alignment horizontal="center" vertical="top" wrapText="1"/>
      <protection locked="0"/>
    </xf>
    <xf numFmtId="0" fontId="11" fillId="3" borderId="13" xfId="0" applyFont="1" applyFill="1" applyBorder="1" applyAlignment="1" applyProtection="1">
      <alignment horizontal="center" vertical="top" wrapText="1"/>
      <protection locked="0"/>
    </xf>
    <xf numFmtId="0" fontId="82" fillId="0" borderId="1" xfId="0" applyFont="1" applyBorder="1" applyAlignment="1">
      <alignment horizontal="center"/>
    </xf>
    <xf numFmtId="1" fontId="82" fillId="0" borderId="8" xfId="0" applyNumberFormat="1" applyFont="1" applyBorder="1" applyAlignment="1">
      <alignment horizontal="center"/>
    </xf>
    <xf numFmtId="1" fontId="82" fillId="0" borderId="9" xfId="0" applyNumberFormat="1" applyFont="1" applyBorder="1" applyAlignment="1">
      <alignment horizontal="center"/>
    </xf>
    <xf numFmtId="1" fontId="82" fillId="0" borderId="1" xfId="0" applyNumberFormat="1" applyFont="1" applyBorder="1" applyAlignment="1">
      <alignment horizontal="center"/>
    </xf>
    <xf numFmtId="0" fontId="11" fillId="3" borderId="1" xfId="0" applyFont="1" applyFill="1" applyBorder="1" applyAlignment="1" applyProtection="1">
      <alignment horizontal="center" vertical="top" wrapText="1"/>
      <protection locked="0"/>
    </xf>
    <xf numFmtId="0" fontId="82" fillId="0" borderId="8" xfId="0" applyFont="1" applyBorder="1" applyAlignment="1">
      <alignment horizontal="center"/>
    </xf>
    <xf numFmtId="0" fontId="82" fillId="0" borderId="9" xfId="0" applyFont="1" applyBorder="1" applyAlignment="1">
      <alignment horizontal="center"/>
    </xf>
    <xf numFmtId="0" fontId="11" fillId="5" borderId="1" xfId="0" applyFont="1" applyFill="1" applyBorder="1" applyAlignment="1" applyProtection="1">
      <alignment horizontal="center" wrapText="1"/>
      <protection locked="0"/>
    </xf>
    <xf numFmtId="0" fontId="54" fillId="3" borderId="8" xfId="0" applyFont="1" applyFill="1" applyBorder="1" applyAlignment="1" applyProtection="1">
      <alignment horizontal="left" vertical="center" wrapText="1"/>
      <protection locked="0"/>
    </xf>
    <xf numFmtId="0" fontId="54" fillId="3" borderId="13" xfId="0" applyFont="1" applyFill="1" applyBorder="1" applyAlignment="1" applyProtection="1">
      <alignment horizontal="left" vertical="center" wrapText="1"/>
      <protection locked="0"/>
    </xf>
    <xf numFmtId="0" fontId="82" fillId="5" borderId="1" xfId="0" applyFont="1" applyFill="1" applyBorder="1" applyAlignment="1">
      <alignment horizontal="center"/>
    </xf>
    <xf numFmtId="0" fontId="54" fillId="5" borderId="8" xfId="0" applyFont="1" applyFill="1" applyBorder="1" applyAlignment="1" applyProtection="1">
      <alignment horizontal="left" vertical="center" wrapText="1"/>
      <protection locked="0"/>
    </xf>
    <xf numFmtId="0" fontId="54" fillId="5" borderId="13" xfId="0" applyFont="1" applyFill="1" applyBorder="1" applyAlignment="1" applyProtection="1">
      <alignment horizontal="left" vertical="center" wrapText="1"/>
      <protection locked="0"/>
    </xf>
    <xf numFmtId="0" fontId="68" fillId="3" borderId="8" xfId="0" applyFont="1" applyFill="1" applyBorder="1" applyAlignment="1" applyProtection="1">
      <alignment horizontal="center" vertical="center" wrapText="1"/>
      <protection locked="0"/>
    </xf>
    <xf numFmtId="0" fontId="11" fillId="3" borderId="13" xfId="0" applyFont="1" applyFill="1" applyBorder="1" applyAlignment="1" applyProtection="1">
      <alignment horizontal="center" vertical="center" wrapText="1"/>
      <protection locked="0"/>
    </xf>
    <xf numFmtId="0" fontId="54" fillId="3" borderId="0" xfId="0" applyFont="1" applyFill="1" applyAlignment="1" applyProtection="1">
      <alignment horizontal="left" vertical="center" wrapText="1"/>
      <protection locked="0"/>
    </xf>
    <xf numFmtId="0" fontId="81" fillId="0" borderId="1" xfId="0" applyFont="1" applyBorder="1" applyAlignment="1">
      <alignment horizontal="center"/>
    </xf>
    <xf numFmtId="0" fontId="11" fillId="3" borderId="0" xfId="0" applyFont="1" applyFill="1" applyAlignment="1" applyProtection="1">
      <protection locked="0"/>
    </xf>
    <xf numFmtId="0" fontId="11" fillId="0" borderId="0" xfId="2" applyFont="1" applyAlignment="1"/>
    <xf numFmtId="0" fontId="70" fillId="0" borderId="0" xfId="0" applyFont="1" applyAlignment="1">
      <alignment horizontal="center"/>
    </xf>
    <xf numFmtId="0" fontId="4" fillId="2" borderId="1" xfId="1" applyFont="1" applyFill="1" applyBorder="1" applyAlignment="1">
      <alignment horizontal="center" vertical="center" wrapText="1"/>
    </xf>
    <xf numFmtId="0" fontId="32" fillId="2" borderId="3" xfId="1" applyFont="1" applyFill="1" applyBorder="1" applyAlignment="1">
      <alignment horizontal="center" vertical="center"/>
    </xf>
    <xf numFmtId="0" fontId="32" fillId="2" borderId="2" xfId="1" applyFont="1" applyFill="1" applyBorder="1" applyAlignment="1">
      <alignment horizontal="center" vertical="center"/>
    </xf>
    <xf numFmtId="0" fontId="32" fillId="2" borderId="4" xfId="1" applyFont="1" applyFill="1" applyBorder="1" applyAlignment="1">
      <alignment horizontal="center" vertical="center"/>
    </xf>
    <xf numFmtId="0" fontId="2" fillId="2" borderId="0" xfId="1" applyFill="1" applyAlignment="1">
      <alignment horizontal="center" wrapText="1"/>
    </xf>
    <xf numFmtId="0" fontId="2" fillId="2" borderId="0" xfId="1" applyFill="1" applyAlignment="1">
      <alignment horizontal="center" vertical="center" wrapText="1"/>
    </xf>
    <xf numFmtId="0" fontId="3" fillId="2" borderId="1" xfId="1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32" fillId="0" borderId="0" xfId="1" applyFont="1" applyAlignment="1">
      <alignment horizontal="center" vertical="center"/>
    </xf>
    <xf numFmtId="0" fontId="4" fillId="2" borderId="9" xfId="1" applyFont="1" applyFill="1" applyBorder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3" fillId="2" borderId="9" xfId="1" applyFont="1" applyFill="1" applyBorder="1" applyAlignment="1">
      <alignment horizontal="center"/>
    </xf>
    <xf numFmtId="0" fontId="72" fillId="0" borderId="8" xfId="3" applyFont="1" applyBorder="1" applyAlignment="1">
      <alignment horizontal="center" vertical="center"/>
    </xf>
    <xf numFmtId="0" fontId="72" fillId="0" borderId="13" xfId="3" applyFont="1" applyBorder="1" applyAlignment="1">
      <alignment horizontal="center" vertical="center"/>
    </xf>
    <xf numFmtId="0" fontId="72" fillId="0" borderId="9" xfId="3" applyFont="1" applyBorder="1" applyAlignment="1">
      <alignment horizontal="center" vertical="center"/>
    </xf>
    <xf numFmtId="0" fontId="11" fillId="0" borderId="61" xfId="0" applyFont="1" applyBorder="1" applyAlignment="1">
      <alignment horizontal="center" vertical="top" wrapText="1"/>
    </xf>
    <xf numFmtId="0" fontId="11" fillId="0" borderId="62" xfId="0" applyFont="1" applyBorder="1" applyAlignment="1">
      <alignment horizontal="center" vertical="top" wrapText="1"/>
    </xf>
    <xf numFmtId="164" fontId="19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1" fontId="19" fillId="0" borderId="1" xfId="0" applyNumberFormat="1" applyFont="1" applyBorder="1" applyAlignment="1">
      <alignment horizontal="center" vertical="center"/>
    </xf>
    <xf numFmtId="0" fontId="10" fillId="0" borderId="0" xfId="2" applyFont="1" applyAlignment="1">
      <alignment vertical="center"/>
    </xf>
    <xf numFmtId="0" fontId="18" fillId="3" borderId="3" xfId="0" applyFont="1" applyFill="1" applyBorder="1" applyAlignment="1" applyProtection="1">
      <alignment horizontal="center" vertical="top" wrapText="1"/>
      <protection locked="0"/>
    </xf>
    <xf numFmtId="0" fontId="18" fillId="3" borderId="59" xfId="0" applyFont="1" applyFill="1" applyBorder="1" applyAlignment="1" applyProtection="1">
      <alignment horizontal="center" vertical="top" wrapText="1"/>
      <protection locked="0"/>
    </xf>
    <xf numFmtId="164" fontId="19" fillId="0" borderId="8" xfId="0" applyNumberFormat="1" applyFont="1" applyBorder="1" applyAlignment="1">
      <alignment horizontal="center" vertical="center"/>
    </xf>
    <xf numFmtId="164" fontId="19" fillId="0" borderId="9" xfId="0" applyNumberFormat="1" applyFont="1" applyBorder="1" applyAlignment="1">
      <alignment horizontal="center" vertical="center"/>
    </xf>
    <xf numFmtId="1" fontId="19" fillId="0" borderId="8" xfId="0" applyNumberFormat="1" applyFont="1" applyBorder="1" applyAlignment="1">
      <alignment horizontal="center" vertical="center"/>
    </xf>
    <xf numFmtId="1" fontId="19" fillId="0" borderId="9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8" fillId="3" borderId="0" xfId="0" applyFont="1" applyFill="1" applyAlignment="1" applyProtection="1">
      <alignment vertical="center"/>
      <protection locked="0"/>
    </xf>
    <xf numFmtId="0" fontId="18" fillId="5" borderId="13" xfId="0" applyFont="1" applyFill="1" applyBorder="1" applyAlignment="1" applyProtection="1">
      <alignment horizontal="center" vertical="center" wrapText="1"/>
      <protection locked="0"/>
    </xf>
    <xf numFmtId="0" fontId="18" fillId="5" borderId="9" xfId="0" applyFont="1" applyFill="1" applyBorder="1" applyAlignment="1" applyProtection="1">
      <alignment horizontal="center" vertical="center" wrapText="1"/>
      <protection locked="0"/>
    </xf>
    <xf numFmtId="2" fontId="19" fillId="5" borderId="1" xfId="0" applyNumberFormat="1" applyFont="1" applyFill="1" applyBorder="1" applyAlignment="1">
      <alignment horizontal="center" vertical="center"/>
    </xf>
    <xf numFmtId="166" fontId="19" fillId="0" borderId="1" xfId="0" applyNumberFormat="1" applyFont="1" applyBorder="1" applyAlignment="1">
      <alignment horizontal="center" vertical="center"/>
    </xf>
    <xf numFmtId="166" fontId="19" fillId="0" borderId="8" xfId="0" applyNumberFormat="1" applyFont="1" applyBorder="1" applyAlignment="1">
      <alignment horizontal="center" vertical="center"/>
    </xf>
    <xf numFmtId="166" fontId="19" fillId="0" borderId="9" xfId="0" applyNumberFormat="1" applyFont="1" applyBorder="1" applyAlignment="1">
      <alignment horizontal="center" vertical="center"/>
    </xf>
    <xf numFmtId="2" fontId="19" fillId="0" borderId="8" xfId="0" applyNumberFormat="1" applyFont="1" applyBorder="1" applyAlignment="1">
      <alignment horizontal="center" vertical="center"/>
    </xf>
    <xf numFmtId="2" fontId="19" fillId="0" borderId="9" xfId="0" applyNumberFormat="1" applyFont="1" applyBorder="1" applyAlignment="1">
      <alignment horizontal="center" vertical="center"/>
    </xf>
    <xf numFmtId="2" fontId="19" fillId="0" borderId="1" xfId="0" applyNumberFormat="1" applyFont="1" applyBorder="1" applyAlignment="1">
      <alignment horizontal="center" vertical="center"/>
    </xf>
    <xf numFmtId="0" fontId="69" fillId="0" borderId="0" xfId="0" applyFont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18" fillId="3" borderId="8" xfId="0" applyFont="1" applyFill="1" applyBorder="1" applyAlignment="1" applyProtection="1">
      <alignment horizontal="center" vertical="center" wrapText="1"/>
      <protection locked="0"/>
    </xf>
    <xf numFmtId="0" fontId="18" fillId="3" borderId="65" xfId="0" applyFont="1" applyFill="1" applyBorder="1" applyAlignment="1" applyProtection="1">
      <alignment horizontal="center" vertical="center" wrapText="1"/>
      <protection locked="0"/>
    </xf>
    <xf numFmtId="0" fontId="18" fillId="3" borderId="67" xfId="0" applyFont="1" applyFill="1" applyBorder="1" applyAlignment="1" applyProtection="1">
      <alignment horizontal="center" vertical="center" wrapText="1"/>
      <protection locked="0"/>
    </xf>
    <xf numFmtId="0" fontId="18" fillId="3" borderId="11" xfId="0" applyFont="1" applyFill="1" applyBorder="1" applyAlignment="1" applyProtection="1">
      <alignment horizontal="center" vertical="center" wrapText="1"/>
      <protection locked="0"/>
    </xf>
    <xf numFmtId="0" fontId="18" fillId="3" borderId="58" xfId="0" applyFont="1" applyFill="1" applyBorder="1" applyAlignment="1" applyProtection="1">
      <alignment horizontal="center" vertical="center" wrapText="1"/>
      <protection locked="0"/>
    </xf>
    <xf numFmtId="0" fontId="18" fillId="3" borderId="12" xfId="0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Alignment="1">
      <alignment horizontal="left" vertical="center"/>
    </xf>
    <xf numFmtId="0" fontId="53" fillId="0" borderId="0" xfId="3" applyFont="1" applyAlignment="1">
      <alignment horizontal="center" vertical="center"/>
    </xf>
    <xf numFmtId="164" fontId="82" fillId="0" borderId="1" xfId="0" applyNumberFormat="1" applyFont="1" applyBorder="1" applyAlignment="1">
      <alignment horizontal="center" vertical="center"/>
    </xf>
    <xf numFmtId="0" fontId="11" fillId="3" borderId="8" xfId="0" applyFont="1" applyFill="1" applyBorder="1" applyAlignment="1" applyProtection="1">
      <alignment horizontal="center" vertical="center" wrapText="1"/>
      <protection locked="0"/>
    </xf>
    <xf numFmtId="1" fontId="82" fillId="0" borderId="1" xfId="0" applyNumberFormat="1" applyFont="1" applyBorder="1" applyAlignment="1">
      <alignment horizontal="center" vertical="center"/>
    </xf>
    <xf numFmtId="0" fontId="11" fillId="3" borderId="3" xfId="0" applyFont="1" applyFill="1" applyBorder="1" applyAlignment="1" applyProtection="1">
      <alignment horizontal="center" vertical="top" wrapText="1"/>
      <protection locked="0"/>
    </xf>
    <xf numFmtId="0" fontId="11" fillId="3" borderId="59" xfId="0" applyFont="1" applyFill="1" applyBorder="1" applyAlignment="1" applyProtection="1">
      <alignment horizontal="center" vertical="top" wrapText="1"/>
      <protection locked="0"/>
    </xf>
    <xf numFmtId="166" fontId="82" fillId="4" borderId="1" xfId="0" applyNumberFormat="1" applyFont="1" applyFill="1" applyBorder="1" applyAlignment="1">
      <alignment horizontal="center" vertical="center"/>
    </xf>
    <xf numFmtId="2" fontId="82" fillId="0" borderId="1" xfId="0" applyNumberFormat="1" applyFont="1" applyBorder="1" applyAlignment="1">
      <alignment horizontal="center" vertical="center"/>
    </xf>
    <xf numFmtId="166" fontId="82" fillId="0" borderId="65" xfId="0" applyNumberFormat="1" applyFont="1" applyBorder="1" applyAlignment="1">
      <alignment horizontal="center" vertical="center"/>
    </xf>
    <xf numFmtId="166" fontId="82" fillId="0" borderId="66" xfId="0" applyNumberFormat="1" applyFont="1" applyBorder="1" applyAlignment="1">
      <alignment horizontal="center" vertical="center"/>
    </xf>
    <xf numFmtId="166" fontId="82" fillId="0" borderId="8" xfId="0" applyNumberFormat="1" applyFont="1" applyBorder="1" applyAlignment="1">
      <alignment horizontal="center" vertical="center"/>
    </xf>
    <xf numFmtId="166" fontId="82" fillId="0" borderId="9" xfId="0" applyNumberFormat="1" applyFont="1" applyBorder="1" applyAlignment="1">
      <alignment horizontal="center" vertical="center"/>
    </xf>
    <xf numFmtId="0" fontId="11" fillId="4" borderId="13" xfId="0" applyFont="1" applyFill="1" applyBorder="1" applyAlignment="1" applyProtection="1">
      <alignment horizontal="center" vertical="center" wrapText="1"/>
      <protection locked="0"/>
    </xf>
    <xf numFmtId="0" fontId="11" fillId="4" borderId="9" xfId="0" applyFont="1" applyFill="1" applyBorder="1" applyAlignment="1" applyProtection="1">
      <alignment horizontal="center" vertical="center" wrapText="1"/>
      <protection locked="0"/>
    </xf>
    <xf numFmtId="0" fontId="11" fillId="3" borderId="0" xfId="0" applyFont="1" applyFill="1" applyAlignment="1" applyProtection="1">
      <alignment vertical="center"/>
      <protection locked="0"/>
    </xf>
    <xf numFmtId="166" fontId="82" fillId="0" borderId="1" xfId="0" applyNumberFormat="1" applyFont="1" applyBorder="1" applyAlignment="1">
      <alignment horizontal="center" vertical="center"/>
    </xf>
    <xf numFmtId="0" fontId="11" fillId="0" borderId="0" xfId="2" applyFont="1" applyAlignment="1">
      <alignment vertical="center"/>
    </xf>
    <xf numFmtId="0" fontId="54" fillId="4" borderId="1" xfId="0" applyFont="1" applyFill="1" applyBorder="1" applyAlignment="1">
      <alignment horizontal="center" vertical="center" wrapText="1"/>
    </xf>
    <xf numFmtId="0" fontId="1" fillId="2" borderId="8" xfId="1" applyFont="1" applyFill="1" applyBorder="1" applyAlignment="1" applyProtection="1">
      <alignment horizontal="center" vertical="center" wrapText="1"/>
      <protection locked="0"/>
    </xf>
    <xf numFmtId="0" fontId="1" fillId="2" borderId="13" xfId="1" applyFont="1" applyFill="1" applyBorder="1" applyAlignment="1" applyProtection="1">
      <alignment horizontal="center" vertical="center" wrapText="1"/>
      <protection locked="0"/>
    </xf>
    <xf numFmtId="0" fontId="1" fillId="2" borderId="9" xfId="1" applyFont="1" applyFill="1" applyBorder="1" applyAlignment="1" applyProtection="1">
      <alignment horizontal="center" vertical="center" wrapText="1"/>
      <protection locked="0"/>
    </xf>
    <xf numFmtId="0" fontId="54" fillId="0" borderId="1" xfId="0" applyFont="1" applyBorder="1" applyAlignment="1">
      <alignment horizontal="center" vertical="center" wrapText="1"/>
    </xf>
    <xf numFmtId="0" fontId="54" fillId="0" borderId="0" xfId="0" applyFont="1" applyAlignment="1">
      <alignment horizontal="center" vertical="center" wrapText="1"/>
    </xf>
  </cellXfs>
  <cellStyles count="4">
    <cellStyle name="Normal" xfId="0" builtinId="0"/>
    <cellStyle name="Normal 2 2" xfId="1" xr:uid="{B15881A7-993D-4629-8C0C-6705B8F9EA5C}"/>
    <cellStyle name="Normal 3" xfId="2" xr:uid="{9EFDB40D-AE41-4637-8176-FB0F4565DFA3}"/>
    <cellStyle name="Normal_Daftar kelistrikan (ecg)" xfId="3" xr:uid="{283829BC-8FE4-4C53-80CC-27C0104A9F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4F5CE-793A-4DA7-87C0-6C0E835CC5B5}">
  <sheetPr>
    <tabColor rgb="FF00B0F0"/>
  </sheetPr>
  <dimension ref="A1:W413"/>
  <sheetViews>
    <sheetView view="pageBreakPreview" topLeftCell="A378" zoomScale="80" zoomScaleNormal="100" zoomScaleSheetLayoutView="80" workbookViewId="0">
      <selection activeCell="Q394" sqref="Q394"/>
    </sheetView>
  </sheetViews>
  <sheetFormatPr defaultColWidth="8.7265625" defaultRowHeight="12.5" x14ac:dyDescent="0.25"/>
  <cols>
    <col min="1" max="5" width="8.7265625" style="73"/>
    <col min="6" max="6" width="11.54296875" style="73" customWidth="1"/>
    <col min="7" max="16384" width="8.7265625" style="73"/>
  </cols>
  <sheetData>
    <row r="1" spans="1:21" ht="18" thickBot="1" x14ac:dyDescent="0.3">
      <c r="A1" s="784" t="s">
        <v>0</v>
      </c>
      <c r="B1" s="785"/>
      <c r="C1" s="785"/>
      <c r="D1" s="785"/>
      <c r="E1" s="785"/>
      <c r="F1" s="785"/>
      <c r="G1" s="785"/>
      <c r="H1" s="785"/>
      <c r="I1" s="785"/>
      <c r="J1" s="785"/>
      <c r="K1" s="785"/>
      <c r="L1" s="785"/>
      <c r="M1" s="785"/>
      <c r="N1" s="785"/>
      <c r="O1" s="785"/>
      <c r="P1" s="785"/>
      <c r="Q1" s="785"/>
      <c r="R1" s="785"/>
      <c r="S1" s="785"/>
      <c r="T1" s="785"/>
      <c r="U1" s="785"/>
    </row>
    <row r="2" spans="1:21" ht="13" x14ac:dyDescent="0.25">
      <c r="A2" s="774">
        <v>1</v>
      </c>
      <c r="B2" s="777" t="s">
        <v>1</v>
      </c>
      <c r="C2" s="761"/>
      <c r="D2" s="761"/>
      <c r="E2" s="761"/>
      <c r="F2" s="764"/>
      <c r="G2" s="155"/>
      <c r="H2" s="777" t="str">
        <f>B2</f>
        <v>KOREKSI KIMO THERMOHYGROMETER 15062873</v>
      </c>
      <c r="I2" s="761"/>
      <c r="J2" s="761"/>
      <c r="K2" s="761"/>
      <c r="L2" s="764"/>
      <c r="M2" s="155"/>
      <c r="N2" s="777" t="str">
        <f>H2</f>
        <v>KOREKSI KIMO THERMOHYGROMETER 15062873</v>
      </c>
      <c r="O2" s="761"/>
      <c r="P2" s="761"/>
      <c r="Q2" s="761"/>
      <c r="R2" s="764"/>
      <c r="T2" s="156">
        <v>0.6</v>
      </c>
      <c r="U2" s="156">
        <v>0.6</v>
      </c>
    </row>
    <row r="3" spans="1:21" ht="13" x14ac:dyDescent="0.25">
      <c r="A3" s="775"/>
      <c r="B3" s="778" t="s">
        <v>2</v>
      </c>
      <c r="C3" s="779"/>
      <c r="D3" s="779" t="s">
        <v>3</v>
      </c>
      <c r="E3" s="779"/>
      <c r="F3" s="780" t="s">
        <v>4</v>
      </c>
      <c r="H3" s="778" t="s">
        <v>5</v>
      </c>
      <c r="I3" s="779"/>
      <c r="J3" s="779" t="s">
        <v>3</v>
      </c>
      <c r="K3" s="779"/>
      <c r="L3" s="780" t="s">
        <v>4</v>
      </c>
      <c r="N3" s="778" t="s">
        <v>6</v>
      </c>
      <c r="O3" s="779"/>
      <c r="P3" s="779" t="s">
        <v>3</v>
      </c>
      <c r="Q3" s="779"/>
      <c r="R3" s="780" t="s">
        <v>4</v>
      </c>
      <c r="T3" s="156">
        <v>3.1</v>
      </c>
      <c r="U3" s="156">
        <v>3.1</v>
      </c>
    </row>
    <row r="4" spans="1:21" ht="14.5" x14ac:dyDescent="0.25">
      <c r="A4" s="775"/>
      <c r="B4" s="781" t="s">
        <v>7</v>
      </c>
      <c r="C4" s="782"/>
      <c r="D4" s="157">
        <v>2020</v>
      </c>
      <c r="E4" s="157">
        <v>2017</v>
      </c>
      <c r="F4" s="780"/>
      <c r="H4" s="783" t="s">
        <v>8</v>
      </c>
      <c r="I4" s="782"/>
      <c r="J4" s="158">
        <f>D4</f>
        <v>2020</v>
      </c>
      <c r="K4" s="158">
        <f>E4</f>
        <v>2017</v>
      </c>
      <c r="L4" s="780"/>
      <c r="N4" s="783" t="s">
        <v>9</v>
      </c>
      <c r="O4" s="782"/>
      <c r="P4" s="158">
        <f>J4</f>
        <v>2020</v>
      </c>
      <c r="Q4" s="158">
        <f>K4</f>
        <v>2017</v>
      </c>
      <c r="R4" s="780"/>
      <c r="T4" s="159" t="s">
        <v>8</v>
      </c>
      <c r="U4" s="156">
        <v>3.3</v>
      </c>
    </row>
    <row r="5" spans="1:21" ht="13.5" thickBot="1" x14ac:dyDescent="0.3">
      <c r="A5" s="775"/>
      <c r="B5" s="160">
        <v>1</v>
      </c>
      <c r="C5" s="161">
        <v>15</v>
      </c>
      <c r="D5" s="161">
        <v>-0.5</v>
      </c>
      <c r="E5" s="161">
        <v>0.3</v>
      </c>
      <c r="F5" s="162">
        <f t="shared" ref="F5:F11" si="0">0.5*(MAX(D5:E5)-MIN(D5:E5))</f>
        <v>0.4</v>
      </c>
      <c r="H5" s="160">
        <v>1</v>
      </c>
      <c r="I5" s="161">
        <v>35</v>
      </c>
      <c r="J5" s="161">
        <v>-6</v>
      </c>
      <c r="K5" s="161">
        <v>-9.4</v>
      </c>
      <c r="L5" s="162">
        <f t="shared" ref="L5:L11" si="1">0.5*(MAX(J5:K5)-MIN(J5:K5))</f>
        <v>1.7000000000000002</v>
      </c>
      <c r="N5" s="160">
        <v>1</v>
      </c>
      <c r="O5" s="163">
        <v>750</v>
      </c>
      <c r="P5" s="164" t="s">
        <v>10</v>
      </c>
      <c r="Q5" s="164" t="s">
        <v>10</v>
      </c>
      <c r="R5" s="162">
        <f t="shared" ref="R5:R11" si="2">0.5*(MAX(P5:Q5)-MIN(P5:Q5))</f>
        <v>0</v>
      </c>
      <c r="T5" s="165" t="s">
        <v>9</v>
      </c>
      <c r="U5" s="166">
        <v>0</v>
      </c>
    </row>
    <row r="6" spans="1:21" ht="13" x14ac:dyDescent="0.25">
      <c r="A6" s="775"/>
      <c r="B6" s="160">
        <v>2</v>
      </c>
      <c r="C6" s="161">
        <v>20</v>
      </c>
      <c r="D6" s="161">
        <v>-0.2</v>
      </c>
      <c r="E6" s="161">
        <v>0.2</v>
      </c>
      <c r="F6" s="162">
        <f>0.5*(MAX(D6:E6)-MIN(D6:E6))</f>
        <v>0.2</v>
      </c>
      <c r="H6" s="160">
        <v>2</v>
      </c>
      <c r="I6" s="161">
        <v>40</v>
      </c>
      <c r="J6" s="161">
        <v>-6</v>
      </c>
      <c r="K6" s="161">
        <v>-8.6</v>
      </c>
      <c r="L6" s="162">
        <f t="shared" si="1"/>
        <v>1.2999999999999998</v>
      </c>
      <c r="N6" s="160">
        <v>2</v>
      </c>
      <c r="O6" s="167">
        <v>800</v>
      </c>
      <c r="P6" s="168" t="s">
        <v>10</v>
      </c>
      <c r="Q6" s="168" t="s">
        <v>10</v>
      </c>
      <c r="R6" s="162">
        <f t="shared" si="2"/>
        <v>0</v>
      </c>
    </row>
    <row r="7" spans="1:21" ht="13" x14ac:dyDescent="0.25">
      <c r="A7" s="775"/>
      <c r="B7" s="160">
        <v>3</v>
      </c>
      <c r="C7" s="161">
        <v>25</v>
      </c>
      <c r="D7" s="161">
        <v>0</v>
      </c>
      <c r="E7" s="161">
        <v>0.1</v>
      </c>
      <c r="F7" s="162">
        <f t="shared" si="0"/>
        <v>0.05</v>
      </c>
      <c r="H7" s="160">
        <v>3</v>
      </c>
      <c r="I7" s="161">
        <v>50</v>
      </c>
      <c r="J7" s="161">
        <v>-5.8</v>
      </c>
      <c r="K7" s="161">
        <v>-7.2</v>
      </c>
      <c r="L7" s="162">
        <f t="shared" si="1"/>
        <v>0.70000000000000018</v>
      </c>
      <c r="N7" s="160">
        <v>3</v>
      </c>
      <c r="O7" s="167">
        <v>850</v>
      </c>
      <c r="P7" s="168" t="s">
        <v>10</v>
      </c>
      <c r="Q7" s="168" t="s">
        <v>10</v>
      </c>
      <c r="R7" s="162">
        <f t="shared" si="2"/>
        <v>0</v>
      </c>
    </row>
    <row r="8" spans="1:21" ht="13" x14ac:dyDescent="0.25">
      <c r="A8" s="775"/>
      <c r="B8" s="160">
        <v>4</v>
      </c>
      <c r="C8" s="169">
        <v>30</v>
      </c>
      <c r="D8" s="170">
        <v>0</v>
      </c>
      <c r="E8" s="171">
        <v>-0.2</v>
      </c>
      <c r="F8" s="162">
        <f t="shared" si="0"/>
        <v>0.1</v>
      </c>
      <c r="H8" s="160">
        <v>4</v>
      </c>
      <c r="I8" s="169">
        <v>60</v>
      </c>
      <c r="J8" s="171">
        <v>-5.3</v>
      </c>
      <c r="K8" s="171">
        <v>-5.2</v>
      </c>
      <c r="L8" s="162">
        <f t="shared" si="1"/>
        <v>4.9999999999999822E-2</v>
      </c>
      <c r="N8" s="160">
        <v>4</v>
      </c>
      <c r="O8" s="172">
        <v>900</v>
      </c>
      <c r="P8" s="171" t="s">
        <v>10</v>
      </c>
      <c r="Q8" s="170" t="s">
        <v>10</v>
      </c>
      <c r="R8" s="162">
        <f t="shared" si="2"/>
        <v>0</v>
      </c>
    </row>
    <row r="9" spans="1:21" ht="13" x14ac:dyDescent="0.25">
      <c r="A9" s="775"/>
      <c r="B9" s="160">
        <v>5</v>
      </c>
      <c r="C9" s="169">
        <v>35</v>
      </c>
      <c r="D9" s="171">
        <v>-0.1</v>
      </c>
      <c r="E9" s="171">
        <v>-0.5</v>
      </c>
      <c r="F9" s="162">
        <f t="shared" si="0"/>
        <v>0.2</v>
      </c>
      <c r="H9" s="160">
        <v>5</v>
      </c>
      <c r="I9" s="169">
        <v>70</v>
      </c>
      <c r="J9" s="171">
        <v>-4.4000000000000004</v>
      </c>
      <c r="K9" s="171">
        <v>-2.6</v>
      </c>
      <c r="L9" s="162">
        <f t="shared" si="1"/>
        <v>0.90000000000000013</v>
      </c>
      <c r="N9" s="160">
        <v>5</v>
      </c>
      <c r="O9" s="172">
        <v>1000</v>
      </c>
      <c r="P9" s="171" t="s">
        <v>10</v>
      </c>
      <c r="Q9" s="170" t="s">
        <v>10</v>
      </c>
      <c r="R9" s="162">
        <f t="shared" si="2"/>
        <v>0</v>
      </c>
    </row>
    <row r="10" spans="1:21" ht="13" x14ac:dyDescent="0.25">
      <c r="A10" s="775"/>
      <c r="B10" s="160">
        <v>6</v>
      </c>
      <c r="C10" s="169">
        <v>37</v>
      </c>
      <c r="D10" s="171">
        <v>-0.2</v>
      </c>
      <c r="E10" s="171">
        <v>-0.6</v>
      </c>
      <c r="F10" s="162">
        <f t="shared" si="0"/>
        <v>0.19999999999999998</v>
      </c>
      <c r="H10" s="160">
        <v>6</v>
      </c>
      <c r="I10" s="169">
        <v>80</v>
      </c>
      <c r="J10" s="171">
        <v>-3.2</v>
      </c>
      <c r="K10" s="171">
        <v>0.7</v>
      </c>
      <c r="L10" s="162">
        <f t="shared" si="1"/>
        <v>1.9500000000000002</v>
      </c>
      <c r="N10" s="160">
        <v>6</v>
      </c>
      <c r="O10" s="172">
        <v>1005</v>
      </c>
      <c r="P10" s="171" t="s">
        <v>10</v>
      </c>
      <c r="Q10" s="170" t="s">
        <v>10</v>
      </c>
      <c r="R10" s="162">
        <f t="shared" si="2"/>
        <v>0</v>
      </c>
    </row>
    <row r="11" spans="1:21" ht="13.5" thickBot="1" x14ac:dyDescent="0.3">
      <c r="A11" s="776"/>
      <c r="B11" s="173">
        <v>7</v>
      </c>
      <c r="C11" s="174">
        <v>40</v>
      </c>
      <c r="D11" s="175">
        <v>-0.3</v>
      </c>
      <c r="E11" s="175">
        <v>-0.8</v>
      </c>
      <c r="F11" s="176">
        <f t="shared" si="0"/>
        <v>0.25</v>
      </c>
      <c r="G11" s="177"/>
      <c r="H11" s="173">
        <v>7</v>
      </c>
      <c r="I11" s="174">
        <v>90</v>
      </c>
      <c r="J11" s="175">
        <v>-1.6</v>
      </c>
      <c r="K11" s="175">
        <v>4.5</v>
      </c>
      <c r="L11" s="176">
        <f t="shared" si="1"/>
        <v>3.05</v>
      </c>
      <c r="M11" s="177"/>
      <c r="N11" s="173">
        <v>7</v>
      </c>
      <c r="O11" s="178">
        <v>1020</v>
      </c>
      <c r="P11" s="175" t="s">
        <v>10</v>
      </c>
      <c r="Q11" s="179" t="s">
        <v>10</v>
      </c>
      <c r="R11" s="176">
        <f t="shared" si="2"/>
        <v>0</v>
      </c>
    </row>
    <row r="12" spans="1:21" ht="13.5" thickBot="1" x14ac:dyDescent="0.35">
      <c r="A12" s="180"/>
      <c r="B12" s="180"/>
      <c r="O12" s="74"/>
      <c r="P12" s="181"/>
    </row>
    <row r="13" spans="1:21" x14ac:dyDescent="0.25">
      <c r="A13" s="774">
        <v>2</v>
      </c>
      <c r="B13" s="777" t="s">
        <v>11</v>
      </c>
      <c r="C13" s="761"/>
      <c r="D13" s="761"/>
      <c r="E13" s="761"/>
      <c r="F13" s="764"/>
      <c r="G13" s="155"/>
      <c r="H13" s="777" t="str">
        <f>B13</f>
        <v>KOREKSI KIMO THERMOHYGROMETER 15062874</v>
      </c>
      <c r="I13" s="761"/>
      <c r="J13" s="761"/>
      <c r="K13" s="761"/>
      <c r="L13" s="764"/>
      <c r="M13" s="155"/>
      <c r="N13" s="777" t="str">
        <f>H13</f>
        <v>KOREKSI KIMO THERMOHYGROMETER 15062874</v>
      </c>
      <c r="O13" s="761"/>
      <c r="P13" s="761"/>
      <c r="Q13" s="761"/>
      <c r="R13" s="764"/>
      <c r="T13" s="742" t="s">
        <v>12</v>
      </c>
      <c r="U13" s="743"/>
    </row>
    <row r="14" spans="1:21" ht="13" x14ac:dyDescent="0.25">
      <c r="A14" s="775"/>
      <c r="B14" s="778" t="s">
        <v>2</v>
      </c>
      <c r="C14" s="779"/>
      <c r="D14" s="779" t="s">
        <v>3</v>
      </c>
      <c r="E14" s="779"/>
      <c r="F14" s="780" t="s">
        <v>4</v>
      </c>
      <c r="H14" s="778" t="s">
        <v>5</v>
      </c>
      <c r="I14" s="779"/>
      <c r="J14" s="779" t="s">
        <v>3</v>
      </c>
      <c r="K14" s="779"/>
      <c r="L14" s="780" t="s">
        <v>4</v>
      </c>
      <c r="N14" s="778" t="s">
        <v>6</v>
      </c>
      <c r="O14" s="779"/>
      <c r="P14" s="779" t="s">
        <v>3</v>
      </c>
      <c r="Q14" s="779"/>
      <c r="R14" s="780" t="s">
        <v>4</v>
      </c>
      <c r="T14" s="159" t="s">
        <v>2</v>
      </c>
      <c r="U14" s="182">
        <v>0.8</v>
      </c>
    </row>
    <row r="15" spans="1:21" ht="14.5" x14ac:dyDescent="0.25">
      <c r="A15" s="775"/>
      <c r="B15" s="781" t="s">
        <v>7</v>
      </c>
      <c r="C15" s="782"/>
      <c r="D15" s="157">
        <v>2021</v>
      </c>
      <c r="E15" s="157">
        <v>2018</v>
      </c>
      <c r="F15" s="780"/>
      <c r="H15" s="783" t="s">
        <v>8</v>
      </c>
      <c r="I15" s="782"/>
      <c r="J15" s="158">
        <f>D15</f>
        <v>2021</v>
      </c>
      <c r="K15" s="158">
        <f>E15</f>
        <v>2018</v>
      </c>
      <c r="L15" s="780"/>
      <c r="N15" s="783" t="s">
        <v>9</v>
      </c>
      <c r="O15" s="782"/>
      <c r="P15" s="158">
        <f>J15</f>
        <v>2021</v>
      </c>
      <c r="Q15" s="158">
        <f>K15</f>
        <v>2018</v>
      </c>
      <c r="R15" s="780"/>
      <c r="T15" s="159" t="s">
        <v>8</v>
      </c>
      <c r="U15" s="182">
        <v>2.2000000000000002</v>
      </c>
    </row>
    <row r="16" spans="1:21" ht="13.5" thickBot="1" x14ac:dyDescent="0.3">
      <c r="A16" s="775"/>
      <c r="B16" s="160">
        <v>1</v>
      </c>
      <c r="C16" s="161">
        <v>15</v>
      </c>
      <c r="D16" s="161">
        <v>0.4</v>
      </c>
      <c r="E16" s="161">
        <v>0</v>
      </c>
      <c r="F16" s="162">
        <f t="shared" ref="F16:F22" si="3">0.5*(MAX(D16:E16)-MIN(D16:E16))</f>
        <v>0.2</v>
      </c>
      <c r="H16" s="160">
        <v>1</v>
      </c>
      <c r="I16" s="161">
        <v>35</v>
      </c>
      <c r="J16" s="161">
        <v>-6.9</v>
      </c>
      <c r="K16" s="161">
        <v>-1.6</v>
      </c>
      <c r="L16" s="162">
        <f t="shared" ref="L16:L22" si="4">0.5*(MAX(J16:K16)-MIN(J16:K16))</f>
        <v>2.6500000000000004</v>
      </c>
      <c r="N16" s="160">
        <v>1</v>
      </c>
      <c r="O16" s="163">
        <v>750</v>
      </c>
      <c r="P16" s="164" t="s">
        <v>10</v>
      </c>
      <c r="Q16" s="164" t="s">
        <v>10</v>
      </c>
      <c r="R16" s="162">
        <f t="shared" ref="R16:R22" si="5">0.5*(MAX(P16:Q16)-MIN(P16:Q16))</f>
        <v>0</v>
      </c>
      <c r="T16" s="165" t="s">
        <v>9</v>
      </c>
      <c r="U16" s="166">
        <v>0</v>
      </c>
    </row>
    <row r="17" spans="1:21" ht="13" x14ac:dyDescent="0.25">
      <c r="A17" s="775"/>
      <c r="B17" s="160">
        <v>2</v>
      </c>
      <c r="C17" s="161">
        <v>20</v>
      </c>
      <c r="D17" s="161">
        <v>0.7</v>
      </c>
      <c r="E17" s="161">
        <v>-0.1</v>
      </c>
      <c r="F17" s="162">
        <f t="shared" si="3"/>
        <v>0.39999999999999997</v>
      </c>
      <c r="H17" s="160">
        <v>2</v>
      </c>
      <c r="I17" s="161">
        <v>40</v>
      </c>
      <c r="J17" s="161">
        <v>-6.2</v>
      </c>
      <c r="K17" s="161">
        <v>-1.6</v>
      </c>
      <c r="L17" s="162">
        <f t="shared" si="4"/>
        <v>2.2999999999999998</v>
      </c>
      <c r="N17" s="160">
        <v>2</v>
      </c>
      <c r="O17" s="167">
        <v>800</v>
      </c>
      <c r="P17" s="168" t="s">
        <v>10</v>
      </c>
      <c r="Q17" s="168" t="s">
        <v>10</v>
      </c>
      <c r="R17" s="162">
        <f t="shared" si="5"/>
        <v>0</v>
      </c>
    </row>
    <row r="18" spans="1:21" ht="13" x14ac:dyDescent="0.25">
      <c r="A18" s="775"/>
      <c r="B18" s="160">
        <v>3</v>
      </c>
      <c r="C18" s="161">
        <v>25</v>
      </c>
      <c r="D18" s="161">
        <v>0.5</v>
      </c>
      <c r="E18" s="161">
        <v>-0.2</v>
      </c>
      <c r="F18" s="162">
        <f t="shared" si="3"/>
        <v>0.35</v>
      </c>
      <c r="H18" s="160">
        <v>3</v>
      </c>
      <c r="I18" s="161">
        <v>50</v>
      </c>
      <c r="J18" s="161">
        <v>-5.3</v>
      </c>
      <c r="K18" s="161">
        <v>-1.5</v>
      </c>
      <c r="L18" s="162">
        <f t="shared" si="4"/>
        <v>1.9</v>
      </c>
      <c r="N18" s="160">
        <v>3</v>
      </c>
      <c r="O18" s="167">
        <v>850</v>
      </c>
      <c r="P18" s="168" t="s">
        <v>10</v>
      </c>
      <c r="Q18" s="168" t="s">
        <v>10</v>
      </c>
      <c r="R18" s="162">
        <f t="shared" si="5"/>
        <v>0</v>
      </c>
    </row>
    <row r="19" spans="1:21" ht="13" x14ac:dyDescent="0.25">
      <c r="A19" s="775"/>
      <c r="B19" s="160">
        <v>4</v>
      </c>
      <c r="C19" s="169">
        <v>30</v>
      </c>
      <c r="D19" s="170">
        <v>0.2</v>
      </c>
      <c r="E19" s="170">
        <v>-0.3</v>
      </c>
      <c r="F19" s="162">
        <f t="shared" si="3"/>
        <v>0.25</v>
      </c>
      <c r="H19" s="160">
        <v>4</v>
      </c>
      <c r="I19" s="169">
        <v>60</v>
      </c>
      <c r="J19" s="170">
        <v>-4</v>
      </c>
      <c r="K19" s="170">
        <v>-1.3</v>
      </c>
      <c r="L19" s="162">
        <f t="shared" si="4"/>
        <v>1.35</v>
      </c>
      <c r="N19" s="160">
        <v>4</v>
      </c>
      <c r="O19" s="172">
        <v>900</v>
      </c>
      <c r="P19" s="171" t="s">
        <v>10</v>
      </c>
      <c r="Q19" s="170" t="s">
        <v>10</v>
      </c>
      <c r="R19" s="162">
        <f t="shared" si="5"/>
        <v>0</v>
      </c>
    </row>
    <row r="20" spans="1:21" ht="13" x14ac:dyDescent="0.25">
      <c r="A20" s="775"/>
      <c r="B20" s="160">
        <v>5</v>
      </c>
      <c r="C20" s="169">
        <v>35</v>
      </c>
      <c r="D20" s="170">
        <v>-0.1</v>
      </c>
      <c r="E20" s="170">
        <v>-0.3</v>
      </c>
      <c r="F20" s="162">
        <f t="shared" si="3"/>
        <v>9.9999999999999992E-2</v>
      </c>
      <c r="H20" s="160">
        <v>5</v>
      </c>
      <c r="I20" s="169">
        <v>70</v>
      </c>
      <c r="J20" s="170">
        <v>-2.4</v>
      </c>
      <c r="K20" s="170">
        <v>-1.1000000000000001</v>
      </c>
      <c r="L20" s="162">
        <f t="shared" si="4"/>
        <v>0.64999999999999991</v>
      </c>
      <c r="N20" s="160">
        <v>5</v>
      </c>
      <c r="O20" s="172">
        <v>1000</v>
      </c>
      <c r="P20" s="171" t="s">
        <v>10</v>
      </c>
      <c r="Q20" s="170" t="s">
        <v>10</v>
      </c>
      <c r="R20" s="162">
        <f t="shared" si="5"/>
        <v>0</v>
      </c>
    </row>
    <row r="21" spans="1:21" ht="13" x14ac:dyDescent="0.25">
      <c r="A21" s="775"/>
      <c r="B21" s="160">
        <v>6</v>
      </c>
      <c r="C21" s="169">
        <v>37</v>
      </c>
      <c r="D21" s="170">
        <v>-0.2</v>
      </c>
      <c r="E21" s="170">
        <v>-0.3</v>
      </c>
      <c r="F21" s="162">
        <f t="shared" si="3"/>
        <v>4.9999999999999989E-2</v>
      </c>
      <c r="H21" s="160">
        <v>6</v>
      </c>
      <c r="I21" s="169">
        <v>80</v>
      </c>
      <c r="J21" s="170">
        <v>-0.5</v>
      </c>
      <c r="K21" s="170">
        <v>-0.7</v>
      </c>
      <c r="L21" s="162">
        <f t="shared" si="4"/>
        <v>9.9999999999999978E-2</v>
      </c>
      <c r="N21" s="160">
        <v>6</v>
      </c>
      <c r="O21" s="172">
        <v>1005</v>
      </c>
      <c r="P21" s="171" t="s">
        <v>10</v>
      </c>
      <c r="Q21" s="170" t="s">
        <v>10</v>
      </c>
      <c r="R21" s="162">
        <f t="shared" si="5"/>
        <v>0</v>
      </c>
    </row>
    <row r="22" spans="1:21" ht="13.5" thickBot="1" x14ac:dyDescent="0.3">
      <c r="A22" s="776"/>
      <c r="B22" s="173">
        <v>7</v>
      </c>
      <c r="C22" s="174">
        <v>40</v>
      </c>
      <c r="D22" s="179">
        <v>-0.1</v>
      </c>
      <c r="E22" s="179">
        <v>-0.3</v>
      </c>
      <c r="F22" s="176">
        <f t="shared" si="3"/>
        <v>9.9999999999999992E-2</v>
      </c>
      <c r="G22" s="177"/>
      <c r="H22" s="173">
        <v>7</v>
      </c>
      <c r="I22" s="174">
        <v>90</v>
      </c>
      <c r="J22" s="179">
        <v>1.7</v>
      </c>
      <c r="K22" s="179">
        <v>-0.3</v>
      </c>
      <c r="L22" s="176">
        <f t="shared" si="4"/>
        <v>1</v>
      </c>
      <c r="M22" s="177"/>
      <c r="N22" s="173">
        <v>7</v>
      </c>
      <c r="O22" s="178">
        <v>1020</v>
      </c>
      <c r="P22" s="175" t="s">
        <v>10</v>
      </c>
      <c r="Q22" s="179" t="s">
        <v>10</v>
      </c>
      <c r="R22" s="176">
        <f t="shared" si="5"/>
        <v>0</v>
      </c>
    </row>
    <row r="23" spans="1:21" ht="13.5" thickBot="1" x14ac:dyDescent="0.35">
      <c r="A23" s="180"/>
      <c r="B23" s="180"/>
      <c r="O23" s="74"/>
      <c r="P23" s="181"/>
    </row>
    <row r="24" spans="1:21" x14ac:dyDescent="0.25">
      <c r="A24" s="774">
        <v>3</v>
      </c>
      <c r="B24" s="777" t="s">
        <v>13</v>
      </c>
      <c r="C24" s="761"/>
      <c r="D24" s="761"/>
      <c r="E24" s="761"/>
      <c r="F24" s="764"/>
      <c r="G24" s="155"/>
      <c r="H24" s="777" t="str">
        <f>B24</f>
        <v>KOREKSI KIMO THERMOHYGROMETER 14082463</v>
      </c>
      <c r="I24" s="761"/>
      <c r="J24" s="761"/>
      <c r="K24" s="761"/>
      <c r="L24" s="764"/>
      <c r="M24" s="155"/>
      <c r="N24" s="777" t="str">
        <f>H24</f>
        <v>KOREKSI KIMO THERMOHYGROMETER 14082463</v>
      </c>
      <c r="O24" s="761"/>
      <c r="P24" s="761"/>
      <c r="Q24" s="761"/>
      <c r="R24" s="764"/>
      <c r="T24" s="742" t="s">
        <v>12</v>
      </c>
      <c r="U24" s="743"/>
    </row>
    <row r="25" spans="1:21" ht="13" x14ac:dyDescent="0.25">
      <c r="A25" s="775"/>
      <c r="B25" s="778" t="s">
        <v>2</v>
      </c>
      <c r="C25" s="779"/>
      <c r="D25" s="779" t="s">
        <v>3</v>
      </c>
      <c r="E25" s="779"/>
      <c r="F25" s="780" t="s">
        <v>4</v>
      </c>
      <c r="H25" s="778" t="s">
        <v>5</v>
      </c>
      <c r="I25" s="779"/>
      <c r="J25" s="779" t="s">
        <v>3</v>
      </c>
      <c r="K25" s="779"/>
      <c r="L25" s="780" t="s">
        <v>4</v>
      </c>
      <c r="N25" s="778" t="s">
        <v>6</v>
      </c>
      <c r="O25" s="779"/>
      <c r="P25" s="779" t="s">
        <v>3</v>
      </c>
      <c r="Q25" s="779"/>
      <c r="R25" s="780" t="s">
        <v>4</v>
      </c>
      <c r="T25" s="159" t="s">
        <v>2</v>
      </c>
      <c r="U25" s="182">
        <v>0.5</v>
      </c>
    </row>
    <row r="26" spans="1:21" ht="14.5" x14ac:dyDescent="0.25">
      <c r="A26" s="775"/>
      <c r="B26" s="781" t="s">
        <v>7</v>
      </c>
      <c r="C26" s="782"/>
      <c r="D26" s="157">
        <v>2021</v>
      </c>
      <c r="E26" s="157">
        <v>2018</v>
      </c>
      <c r="F26" s="780"/>
      <c r="H26" s="783" t="s">
        <v>8</v>
      </c>
      <c r="I26" s="782"/>
      <c r="J26" s="158">
        <f>D26</f>
        <v>2021</v>
      </c>
      <c r="K26" s="158">
        <f>E26</f>
        <v>2018</v>
      </c>
      <c r="L26" s="780"/>
      <c r="N26" s="783" t="s">
        <v>9</v>
      </c>
      <c r="O26" s="782"/>
      <c r="P26" s="158">
        <f>J26</f>
        <v>2021</v>
      </c>
      <c r="Q26" s="158">
        <f>K26</f>
        <v>2018</v>
      </c>
      <c r="R26" s="780"/>
      <c r="T26" s="159" t="s">
        <v>8</v>
      </c>
      <c r="U26" s="182">
        <v>3.1</v>
      </c>
    </row>
    <row r="27" spans="1:21" ht="13.5" thickBot="1" x14ac:dyDescent="0.3">
      <c r="A27" s="775"/>
      <c r="B27" s="160">
        <v>1</v>
      </c>
      <c r="C27" s="161">
        <v>15</v>
      </c>
      <c r="D27" s="161">
        <v>0.4</v>
      </c>
      <c r="E27" s="161">
        <v>0</v>
      </c>
      <c r="F27" s="162">
        <f t="shared" ref="F27:F33" si="6">0.5*(MAX(D27:E27)-MIN(D27:E27))</f>
        <v>0.2</v>
      </c>
      <c r="H27" s="160">
        <v>1</v>
      </c>
      <c r="I27" s="161">
        <v>30</v>
      </c>
      <c r="J27" s="161">
        <v>-7.3</v>
      </c>
      <c r="K27" s="161">
        <v>-5.7</v>
      </c>
      <c r="L27" s="162">
        <f t="shared" ref="L27:L33" si="7">0.5*(MAX(J27:K27)-MIN(J27:K27))</f>
        <v>0.79999999999999982</v>
      </c>
      <c r="N27" s="160">
        <v>1</v>
      </c>
      <c r="O27" s="163">
        <v>750</v>
      </c>
      <c r="P27" s="164" t="s">
        <v>10</v>
      </c>
      <c r="Q27" s="164" t="s">
        <v>10</v>
      </c>
      <c r="R27" s="162">
        <f t="shared" ref="R27:R33" si="8">0.5*(MAX(P27:Q27)-MIN(P27:Q27))</f>
        <v>0</v>
      </c>
      <c r="T27" s="165" t="s">
        <v>9</v>
      </c>
      <c r="U27" s="166">
        <v>0</v>
      </c>
    </row>
    <row r="28" spans="1:21" ht="13" x14ac:dyDescent="0.25">
      <c r="A28" s="775"/>
      <c r="B28" s="160">
        <v>2</v>
      </c>
      <c r="C28" s="161">
        <v>20</v>
      </c>
      <c r="D28" s="161">
        <v>1</v>
      </c>
      <c r="E28" s="161">
        <v>0</v>
      </c>
      <c r="F28" s="162">
        <f t="shared" si="6"/>
        <v>0.5</v>
      </c>
      <c r="H28" s="160">
        <v>2</v>
      </c>
      <c r="I28" s="161">
        <v>40</v>
      </c>
      <c r="J28" s="161">
        <v>-5.9</v>
      </c>
      <c r="K28" s="161">
        <v>-5.3</v>
      </c>
      <c r="L28" s="162">
        <f t="shared" si="7"/>
        <v>0.30000000000000027</v>
      </c>
      <c r="N28" s="160">
        <v>2</v>
      </c>
      <c r="O28" s="167">
        <v>800</v>
      </c>
      <c r="P28" s="168" t="s">
        <v>10</v>
      </c>
      <c r="Q28" s="168" t="s">
        <v>10</v>
      </c>
      <c r="R28" s="162">
        <f t="shared" si="8"/>
        <v>0</v>
      </c>
    </row>
    <row r="29" spans="1:21" ht="13" x14ac:dyDescent="0.25">
      <c r="A29" s="775"/>
      <c r="B29" s="160">
        <v>3</v>
      </c>
      <c r="C29" s="161">
        <v>25</v>
      </c>
      <c r="D29" s="161">
        <v>0.7</v>
      </c>
      <c r="E29" s="161">
        <v>-0.1</v>
      </c>
      <c r="F29" s="162">
        <f t="shared" si="6"/>
        <v>0.39999999999999997</v>
      </c>
      <c r="H29" s="160">
        <v>3</v>
      </c>
      <c r="I29" s="161">
        <v>50</v>
      </c>
      <c r="J29" s="161">
        <v>-4.5</v>
      </c>
      <c r="K29" s="161">
        <v>-4.9000000000000004</v>
      </c>
      <c r="L29" s="162">
        <f t="shared" si="7"/>
        <v>0.20000000000000018</v>
      </c>
      <c r="N29" s="160">
        <v>3</v>
      </c>
      <c r="O29" s="167">
        <v>850</v>
      </c>
      <c r="P29" s="168" t="s">
        <v>10</v>
      </c>
      <c r="Q29" s="168" t="s">
        <v>10</v>
      </c>
      <c r="R29" s="162">
        <f t="shared" si="8"/>
        <v>0</v>
      </c>
    </row>
    <row r="30" spans="1:21" ht="13" x14ac:dyDescent="0.25">
      <c r="A30" s="775"/>
      <c r="B30" s="160">
        <v>4</v>
      </c>
      <c r="C30" s="169">
        <v>30</v>
      </c>
      <c r="D30" s="170">
        <v>0</v>
      </c>
      <c r="E30" s="170">
        <v>-0.3</v>
      </c>
      <c r="F30" s="162">
        <f t="shared" si="6"/>
        <v>0.15</v>
      </c>
      <c r="H30" s="160">
        <v>4</v>
      </c>
      <c r="I30" s="169">
        <v>60</v>
      </c>
      <c r="J30" s="170">
        <v>-3.2</v>
      </c>
      <c r="K30" s="170">
        <v>-4.3</v>
      </c>
      <c r="L30" s="162">
        <f t="shared" si="7"/>
        <v>0.54999999999999982</v>
      </c>
      <c r="N30" s="160">
        <v>4</v>
      </c>
      <c r="O30" s="172">
        <v>900</v>
      </c>
      <c r="P30" s="171" t="s">
        <v>10</v>
      </c>
      <c r="Q30" s="170" t="s">
        <v>10</v>
      </c>
      <c r="R30" s="162">
        <f t="shared" si="8"/>
        <v>0</v>
      </c>
    </row>
    <row r="31" spans="1:21" ht="13" x14ac:dyDescent="0.25">
      <c r="A31" s="775"/>
      <c r="B31" s="160">
        <v>5</v>
      </c>
      <c r="C31" s="169">
        <v>35</v>
      </c>
      <c r="D31" s="170">
        <v>-0.3</v>
      </c>
      <c r="E31" s="170">
        <v>-0.5</v>
      </c>
      <c r="F31" s="162">
        <f t="shared" si="6"/>
        <v>0.1</v>
      </c>
      <c r="H31" s="160">
        <v>5</v>
      </c>
      <c r="I31" s="169">
        <v>70</v>
      </c>
      <c r="J31" s="170">
        <v>-2</v>
      </c>
      <c r="K31" s="170">
        <v>-3.6</v>
      </c>
      <c r="L31" s="162">
        <f t="shared" si="7"/>
        <v>0.8</v>
      </c>
      <c r="N31" s="160">
        <v>5</v>
      </c>
      <c r="O31" s="172">
        <v>1000</v>
      </c>
      <c r="P31" s="171" t="s">
        <v>10</v>
      </c>
      <c r="Q31" s="170" t="s">
        <v>10</v>
      </c>
      <c r="R31" s="162">
        <f t="shared" si="8"/>
        <v>0</v>
      </c>
    </row>
    <row r="32" spans="1:21" ht="13" x14ac:dyDescent="0.25">
      <c r="A32" s="775"/>
      <c r="B32" s="160">
        <v>6</v>
      </c>
      <c r="C32" s="169">
        <v>37</v>
      </c>
      <c r="D32" s="170">
        <v>-0.2</v>
      </c>
      <c r="E32" s="170">
        <v>-0.6</v>
      </c>
      <c r="F32" s="162">
        <f t="shared" si="6"/>
        <v>0.19999999999999998</v>
      </c>
      <c r="H32" s="160">
        <v>6</v>
      </c>
      <c r="I32" s="169">
        <v>80</v>
      </c>
      <c r="J32" s="170">
        <v>-0.8</v>
      </c>
      <c r="K32" s="170">
        <v>-2.9</v>
      </c>
      <c r="L32" s="162">
        <f t="shared" si="7"/>
        <v>1.0499999999999998</v>
      </c>
      <c r="N32" s="160">
        <v>6</v>
      </c>
      <c r="O32" s="172">
        <v>1005</v>
      </c>
      <c r="P32" s="171" t="s">
        <v>10</v>
      </c>
      <c r="Q32" s="170" t="s">
        <v>10</v>
      </c>
      <c r="R32" s="162">
        <f t="shared" si="8"/>
        <v>0</v>
      </c>
    </row>
    <row r="33" spans="1:21" ht="13.5" thickBot="1" x14ac:dyDescent="0.3">
      <c r="A33" s="776"/>
      <c r="B33" s="173">
        <v>7</v>
      </c>
      <c r="C33" s="174">
        <v>40</v>
      </c>
      <c r="D33" s="179">
        <v>0.2</v>
      </c>
      <c r="E33" s="179">
        <v>-0.7</v>
      </c>
      <c r="F33" s="176">
        <f t="shared" si="6"/>
        <v>0.44999999999999996</v>
      </c>
      <c r="G33" s="177"/>
      <c r="H33" s="173">
        <v>7</v>
      </c>
      <c r="I33" s="174">
        <v>90</v>
      </c>
      <c r="J33" s="179">
        <v>0.3</v>
      </c>
      <c r="K33" s="179">
        <v>-2</v>
      </c>
      <c r="L33" s="176">
        <f t="shared" si="7"/>
        <v>1.1499999999999999</v>
      </c>
      <c r="M33" s="177"/>
      <c r="N33" s="173">
        <v>7</v>
      </c>
      <c r="O33" s="178">
        <v>1020</v>
      </c>
      <c r="P33" s="175" t="s">
        <v>10</v>
      </c>
      <c r="Q33" s="179" t="s">
        <v>10</v>
      </c>
      <c r="R33" s="176">
        <f t="shared" si="8"/>
        <v>0</v>
      </c>
    </row>
    <row r="34" spans="1:21" ht="13.5" thickBot="1" x14ac:dyDescent="0.35">
      <c r="A34" s="180"/>
      <c r="B34" s="180"/>
      <c r="H34" s="183"/>
      <c r="O34" s="74"/>
      <c r="P34" s="181"/>
    </row>
    <row r="35" spans="1:21" ht="13" thickBot="1" x14ac:dyDescent="0.3">
      <c r="A35" s="765">
        <v>4</v>
      </c>
      <c r="B35" s="768" t="s">
        <v>14</v>
      </c>
      <c r="C35" s="769"/>
      <c r="D35" s="769"/>
      <c r="E35" s="769"/>
      <c r="F35" s="770"/>
      <c r="G35" s="155"/>
      <c r="H35" s="768" t="str">
        <f>B35</f>
        <v>KOREKSI KIMO THERMOHYGROMETER 15062872</v>
      </c>
      <c r="I35" s="769"/>
      <c r="J35" s="769"/>
      <c r="K35" s="769"/>
      <c r="L35" s="770"/>
      <c r="M35" s="155"/>
      <c r="N35" s="768" t="str">
        <f>H35</f>
        <v>KOREKSI KIMO THERMOHYGROMETER 15062872</v>
      </c>
      <c r="O35" s="769"/>
      <c r="P35" s="769"/>
      <c r="Q35" s="769"/>
      <c r="R35" s="770"/>
    </row>
    <row r="36" spans="1:21" ht="13.5" thickBot="1" x14ac:dyDescent="0.3">
      <c r="A36" s="766"/>
      <c r="B36" s="744" t="s">
        <v>2</v>
      </c>
      <c r="C36" s="745"/>
      <c r="D36" s="746" t="s">
        <v>3</v>
      </c>
      <c r="E36" s="747"/>
      <c r="F36" s="748" t="s">
        <v>4</v>
      </c>
      <c r="H36" s="744" t="s">
        <v>5</v>
      </c>
      <c r="I36" s="745"/>
      <c r="J36" s="746" t="s">
        <v>3</v>
      </c>
      <c r="K36" s="747"/>
      <c r="L36" s="748" t="s">
        <v>4</v>
      </c>
      <c r="N36" s="744" t="s">
        <v>6</v>
      </c>
      <c r="O36" s="745"/>
      <c r="P36" s="746" t="s">
        <v>3</v>
      </c>
      <c r="Q36" s="747"/>
      <c r="R36" s="748" t="s">
        <v>4</v>
      </c>
      <c r="T36" s="742" t="s">
        <v>12</v>
      </c>
      <c r="U36" s="743"/>
    </row>
    <row r="37" spans="1:21" ht="15" thickBot="1" x14ac:dyDescent="0.3">
      <c r="A37" s="766"/>
      <c r="B37" s="753" t="s">
        <v>7</v>
      </c>
      <c r="C37" s="754"/>
      <c r="D37" s="184">
        <v>2019</v>
      </c>
      <c r="E37" s="184">
        <v>2017</v>
      </c>
      <c r="F37" s="749"/>
      <c r="H37" s="755" t="s">
        <v>8</v>
      </c>
      <c r="I37" s="756"/>
      <c r="J37" s="185">
        <f>D37</f>
        <v>2019</v>
      </c>
      <c r="K37" s="185">
        <f>E37</f>
        <v>2017</v>
      </c>
      <c r="L37" s="749"/>
      <c r="N37" s="755" t="s">
        <v>9</v>
      </c>
      <c r="O37" s="756"/>
      <c r="P37" s="185">
        <f>J37</f>
        <v>2019</v>
      </c>
      <c r="Q37" s="185">
        <f>K37</f>
        <v>2017</v>
      </c>
      <c r="R37" s="749"/>
      <c r="T37" s="159" t="s">
        <v>2</v>
      </c>
      <c r="U37" s="182">
        <v>0.3</v>
      </c>
    </row>
    <row r="38" spans="1:21" ht="13" x14ac:dyDescent="0.25">
      <c r="A38" s="766"/>
      <c r="B38" s="160">
        <v>1</v>
      </c>
      <c r="C38" s="163">
        <v>15</v>
      </c>
      <c r="D38" s="186">
        <v>-0.2</v>
      </c>
      <c r="E38" s="186">
        <v>-0.1</v>
      </c>
      <c r="F38" s="187">
        <f t="shared" ref="F38:F44" si="9">0.5*(MAX(D38:E38)-MIN(D38:E38))</f>
        <v>0.05</v>
      </c>
      <c r="H38" s="160">
        <v>1</v>
      </c>
      <c r="I38" s="163">
        <v>35</v>
      </c>
      <c r="J38" s="186">
        <v>-4.5</v>
      </c>
      <c r="K38" s="186">
        <v>-1.7</v>
      </c>
      <c r="L38" s="187">
        <f t="shared" ref="L38:L44" si="10">0.5*(MAX(J38:K38)-MIN(J38:K38))</f>
        <v>1.4</v>
      </c>
      <c r="N38" s="160">
        <v>1</v>
      </c>
      <c r="O38" s="163">
        <v>750</v>
      </c>
      <c r="P38" s="164" t="s">
        <v>10</v>
      </c>
      <c r="Q38" s="164" t="s">
        <v>10</v>
      </c>
      <c r="R38" s="187">
        <f t="shared" ref="R38:R44" si="11">0.5*(MAX(P38:Q38)-MIN(P38:Q38))</f>
        <v>0</v>
      </c>
      <c r="T38" s="159" t="s">
        <v>8</v>
      </c>
      <c r="U38" s="182">
        <v>1.3</v>
      </c>
    </row>
    <row r="39" spans="1:21" ht="13.5" thickBot="1" x14ac:dyDescent="0.3">
      <c r="A39" s="766"/>
      <c r="B39" s="160">
        <v>2</v>
      </c>
      <c r="C39" s="167">
        <v>20</v>
      </c>
      <c r="D39" s="161">
        <v>-0.1</v>
      </c>
      <c r="E39" s="161">
        <v>-0.3</v>
      </c>
      <c r="F39" s="162">
        <f>0.5*(MAX(D39:E39)-MIN(D39:E39))</f>
        <v>9.9999999999999992E-2</v>
      </c>
      <c r="H39" s="160">
        <v>2</v>
      </c>
      <c r="I39" s="167">
        <v>40</v>
      </c>
      <c r="J39" s="161">
        <v>-4.4000000000000004</v>
      </c>
      <c r="K39" s="161">
        <v>-1.5</v>
      </c>
      <c r="L39" s="162">
        <f t="shared" si="10"/>
        <v>1.4500000000000002</v>
      </c>
      <c r="N39" s="160">
        <v>2</v>
      </c>
      <c r="O39" s="167">
        <v>800</v>
      </c>
      <c r="P39" s="168" t="s">
        <v>10</v>
      </c>
      <c r="Q39" s="168" t="s">
        <v>10</v>
      </c>
      <c r="R39" s="162">
        <f t="shared" si="11"/>
        <v>0</v>
      </c>
      <c r="T39" s="165" t="s">
        <v>9</v>
      </c>
      <c r="U39" s="166">
        <v>0</v>
      </c>
    </row>
    <row r="40" spans="1:21" ht="13" x14ac:dyDescent="0.25">
      <c r="A40" s="766"/>
      <c r="B40" s="160">
        <v>3</v>
      </c>
      <c r="C40" s="167">
        <v>25</v>
      </c>
      <c r="D40" s="161">
        <v>-0.1</v>
      </c>
      <c r="E40" s="161">
        <v>-0.5</v>
      </c>
      <c r="F40" s="162">
        <f t="shared" si="9"/>
        <v>0.2</v>
      </c>
      <c r="H40" s="160">
        <v>3</v>
      </c>
      <c r="I40" s="167">
        <v>50</v>
      </c>
      <c r="J40" s="161">
        <v>-4.3</v>
      </c>
      <c r="K40" s="161">
        <v>-1</v>
      </c>
      <c r="L40" s="162">
        <f t="shared" si="10"/>
        <v>1.65</v>
      </c>
      <c r="N40" s="160">
        <v>3</v>
      </c>
      <c r="O40" s="167">
        <v>850</v>
      </c>
      <c r="P40" s="168" t="s">
        <v>10</v>
      </c>
      <c r="Q40" s="168" t="s">
        <v>10</v>
      </c>
      <c r="R40" s="162">
        <f t="shared" si="11"/>
        <v>0</v>
      </c>
    </row>
    <row r="41" spans="1:21" ht="13" x14ac:dyDescent="0.25">
      <c r="A41" s="766"/>
      <c r="B41" s="160">
        <v>4</v>
      </c>
      <c r="C41" s="172">
        <v>30</v>
      </c>
      <c r="D41" s="171">
        <v>-0.1</v>
      </c>
      <c r="E41" s="171">
        <v>-0.6</v>
      </c>
      <c r="F41" s="162">
        <f t="shared" si="9"/>
        <v>0.25</v>
      </c>
      <c r="H41" s="160">
        <v>4</v>
      </c>
      <c r="I41" s="172">
        <v>60</v>
      </c>
      <c r="J41" s="171">
        <v>-4.2</v>
      </c>
      <c r="K41" s="171">
        <v>-0.3</v>
      </c>
      <c r="L41" s="162">
        <f t="shared" si="10"/>
        <v>1.9500000000000002</v>
      </c>
      <c r="N41" s="160">
        <v>4</v>
      </c>
      <c r="O41" s="172">
        <v>900</v>
      </c>
      <c r="P41" s="171" t="s">
        <v>10</v>
      </c>
      <c r="Q41" s="170" t="s">
        <v>10</v>
      </c>
      <c r="R41" s="162">
        <f t="shared" si="11"/>
        <v>0</v>
      </c>
    </row>
    <row r="42" spans="1:21" ht="13" x14ac:dyDescent="0.25">
      <c r="A42" s="766"/>
      <c r="B42" s="160">
        <v>5</v>
      </c>
      <c r="C42" s="172">
        <v>35</v>
      </c>
      <c r="D42" s="171">
        <v>-0.3</v>
      </c>
      <c r="E42" s="171">
        <v>-0.6</v>
      </c>
      <c r="F42" s="162">
        <f t="shared" si="9"/>
        <v>0.15</v>
      </c>
      <c r="H42" s="160">
        <v>5</v>
      </c>
      <c r="I42" s="172">
        <v>70</v>
      </c>
      <c r="J42" s="170">
        <v>-4</v>
      </c>
      <c r="K42" s="171">
        <v>0.7</v>
      </c>
      <c r="L42" s="162">
        <f t="shared" si="10"/>
        <v>2.35</v>
      </c>
      <c r="N42" s="160">
        <v>5</v>
      </c>
      <c r="O42" s="172">
        <v>1000</v>
      </c>
      <c r="P42" s="171" t="s">
        <v>10</v>
      </c>
      <c r="Q42" s="170" t="s">
        <v>10</v>
      </c>
      <c r="R42" s="162">
        <f t="shared" si="11"/>
        <v>0</v>
      </c>
    </row>
    <row r="43" spans="1:21" ht="13" x14ac:dyDescent="0.25">
      <c r="A43" s="766"/>
      <c r="B43" s="160">
        <v>6</v>
      </c>
      <c r="C43" s="172">
        <v>37</v>
      </c>
      <c r="D43" s="171">
        <v>-0.4</v>
      </c>
      <c r="E43" s="171">
        <v>-0.6</v>
      </c>
      <c r="F43" s="162">
        <f t="shared" si="9"/>
        <v>9.9999999999999978E-2</v>
      </c>
      <c r="H43" s="160">
        <v>6</v>
      </c>
      <c r="I43" s="172">
        <v>80</v>
      </c>
      <c r="J43" s="171">
        <v>-3.8</v>
      </c>
      <c r="K43" s="171">
        <v>1.9</v>
      </c>
      <c r="L43" s="162">
        <f t="shared" si="10"/>
        <v>2.8499999999999996</v>
      </c>
      <c r="N43" s="160">
        <v>6</v>
      </c>
      <c r="O43" s="172">
        <v>1005</v>
      </c>
      <c r="P43" s="171" t="s">
        <v>10</v>
      </c>
      <c r="Q43" s="170" t="s">
        <v>10</v>
      </c>
      <c r="R43" s="162">
        <f t="shared" si="11"/>
        <v>0</v>
      </c>
    </row>
    <row r="44" spans="1:21" ht="13.5" thickBot="1" x14ac:dyDescent="0.3">
      <c r="A44" s="767"/>
      <c r="B44" s="173">
        <v>7</v>
      </c>
      <c r="C44" s="178">
        <v>40</v>
      </c>
      <c r="D44" s="171">
        <v>-0.5</v>
      </c>
      <c r="E44" s="171">
        <v>-0.6</v>
      </c>
      <c r="F44" s="176">
        <f t="shared" si="9"/>
        <v>4.9999999999999989E-2</v>
      </c>
      <c r="G44" s="177"/>
      <c r="H44" s="173">
        <v>7</v>
      </c>
      <c r="I44" s="178">
        <v>90</v>
      </c>
      <c r="J44" s="175">
        <v>-3.5</v>
      </c>
      <c r="K44" s="175">
        <v>3.3</v>
      </c>
      <c r="L44" s="176">
        <f t="shared" si="10"/>
        <v>3.4</v>
      </c>
      <c r="M44" s="177"/>
      <c r="N44" s="173">
        <v>7</v>
      </c>
      <c r="O44" s="178">
        <v>1020</v>
      </c>
      <c r="P44" s="175" t="s">
        <v>10</v>
      </c>
      <c r="Q44" s="179" t="s">
        <v>10</v>
      </c>
      <c r="R44" s="176">
        <f t="shared" si="11"/>
        <v>0</v>
      </c>
    </row>
    <row r="45" spans="1:21" ht="13.5" thickBot="1" x14ac:dyDescent="0.35">
      <c r="A45" s="180"/>
      <c r="B45" s="180"/>
      <c r="O45" s="74"/>
      <c r="P45" s="181"/>
    </row>
    <row r="46" spans="1:21" ht="13" thickBot="1" x14ac:dyDescent="0.3">
      <c r="A46" s="765">
        <v>5</v>
      </c>
      <c r="B46" s="768" t="s">
        <v>15</v>
      </c>
      <c r="C46" s="769"/>
      <c r="D46" s="769"/>
      <c r="E46" s="769"/>
      <c r="F46" s="770"/>
      <c r="G46" s="155"/>
      <c r="H46" s="768" t="str">
        <f>B46</f>
        <v>KOREKSI KIMO THERMOHYGROMETER 15062875</v>
      </c>
      <c r="I46" s="769"/>
      <c r="J46" s="769"/>
      <c r="K46" s="769"/>
      <c r="L46" s="770"/>
      <c r="M46" s="155"/>
      <c r="N46" s="768" t="str">
        <f>H46</f>
        <v>KOREKSI KIMO THERMOHYGROMETER 15062875</v>
      </c>
      <c r="O46" s="769"/>
      <c r="P46" s="769"/>
      <c r="Q46" s="769"/>
      <c r="R46" s="770"/>
      <c r="T46" s="742" t="s">
        <v>12</v>
      </c>
      <c r="U46" s="743"/>
    </row>
    <row r="47" spans="1:21" ht="13.5" thickBot="1" x14ac:dyDescent="0.3">
      <c r="A47" s="766"/>
      <c r="B47" s="744" t="s">
        <v>2</v>
      </c>
      <c r="C47" s="745"/>
      <c r="D47" s="746" t="s">
        <v>3</v>
      </c>
      <c r="E47" s="747"/>
      <c r="F47" s="748" t="s">
        <v>4</v>
      </c>
      <c r="H47" s="744" t="s">
        <v>5</v>
      </c>
      <c r="I47" s="745"/>
      <c r="J47" s="746" t="s">
        <v>3</v>
      </c>
      <c r="K47" s="747"/>
      <c r="L47" s="748" t="s">
        <v>4</v>
      </c>
      <c r="N47" s="744" t="s">
        <v>6</v>
      </c>
      <c r="O47" s="745"/>
      <c r="P47" s="746" t="s">
        <v>3</v>
      </c>
      <c r="Q47" s="747"/>
      <c r="R47" s="748" t="s">
        <v>4</v>
      </c>
      <c r="T47" s="159" t="s">
        <v>2</v>
      </c>
      <c r="U47" s="182">
        <v>0.4</v>
      </c>
    </row>
    <row r="48" spans="1:21" ht="15" thickBot="1" x14ac:dyDescent="0.3">
      <c r="A48" s="766"/>
      <c r="B48" s="753" t="s">
        <v>7</v>
      </c>
      <c r="C48" s="754"/>
      <c r="D48" s="184">
        <v>2020</v>
      </c>
      <c r="E48" s="184">
        <v>2017</v>
      </c>
      <c r="F48" s="749"/>
      <c r="H48" s="755" t="s">
        <v>8</v>
      </c>
      <c r="I48" s="756"/>
      <c r="J48" s="185">
        <f>D48</f>
        <v>2020</v>
      </c>
      <c r="K48" s="185">
        <f>E48</f>
        <v>2017</v>
      </c>
      <c r="L48" s="749"/>
      <c r="N48" s="755" t="s">
        <v>9</v>
      </c>
      <c r="O48" s="756"/>
      <c r="P48" s="185">
        <f>J48</f>
        <v>2020</v>
      </c>
      <c r="Q48" s="185">
        <f>K48</f>
        <v>2017</v>
      </c>
      <c r="R48" s="749"/>
      <c r="T48" s="159" t="s">
        <v>8</v>
      </c>
      <c r="U48" s="182">
        <v>2.8</v>
      </c>
    </row>
    <row r="49" spans="1:21" ht="13.5" thickBot="1" x14ac:dyDescent="0.3">
      <c r="A49" s="766"/>
      <c r="B49" s="160">
        <v>1</v>
      </c>
      <c r="C49" s="163">
        <v>15</v>
      </c>
      <c r="D49" s="186">
        <v>-0.3</v>
      </c>
      <c r="E49" s="186">
        <v>0.3</v>
      </c>
      <c r="F49" s="187">
        <f t="shared" ref="F49:F55" si="12">0.5*(MAX(D49:E49)-MIN(D49:E49))</f>
        <v>0.3</v>
      </c>
      <c r="H49" s="160">
        <v>1</v>
      </c>
      <c r="I49" s="163">
        <v>35</v>
      </c>
      <c r="J49" s="186">
        <v>-7.7</v>
      </c>
      <c r="K49" s="186">
        <v>-9.6</v>
      </c>
      <c r="L49" s="187">
        <f t="shared" ref="L49:L55" si="13">0.5*(MAX(J49:K49)-MIN(J49:K49))</f>
        <v>0.94999999999999973</v>
      </c>
      <c r="N49" s="160">
        <v>1</v>
      </c>
      <c r="O49" s="163">
        <v>750</v>
      </c>
      <c r="P49" s="164" t="s">
        <v>10</v>
      </c>
      <c r="Q49" s="164" t="s">
        <v>10</v>
      </c>
      <c r="R49" s="187">
        <f t="shared" ref="R49:R55" si="14">0.5*(MAX(P49:Q49)-MIN(P49:Q49))</f>
        <v>0</v>
      </c>
      <c r="T49" s="165" t="s">
        <v>9</v>
      </c>
      <c r="U49" s="166">
        <v>0</v>
      </c>
    </row>
    <row r="50" spans="1:21" ht="13" x14ac:dyDescent="0.25">
      <c r="A50" s="766"/>
      <c r="B50" s="160">
        <v>2</v>
      </c>
      <c r="C50" s="167">
        <v>20</v>
      </c>
      <c r="D50" s="161">
        <v>0.1</v>
      </c>
      <c r="E50" s="161">
        <v>0.3</v>
      </c>
      <c r="F50" s="162">
        <f t="shared" si="12"/>
        <v>9.9999999999999992E-2</v>
      </c>
      <c r="H50" s="160">
        <v>2</v>
      </c>
      <c r="I50" s="167">
        <v>40</v>
      </c>
      <c r="J50" s="161">
        <v>-7.2</v>
      </c>
      <c r="K50" s="161">
        <v>-8</v>
      </c>
      <c r="L50" s="162">
        <f t="shared" si="13"/>
        <v>0.39999999999999991</v>
      </c>
      <c r="N50" s="160">
        <v>2</v>
      </c>
      <c r="O50" s="167">
        <v>800</v>
      </c>
      <c r="P50" s="168" t="s">
        <v>10</v>
      </c>
      <c r="Q50" s="168" t="s">
        <v>10</v>
      </c>
      <c r="R50" s="162">
        <f t="shared" si="14"/>
        <v>0</v>
      </c>
    </row>
    <row r="51" spans="1:21" ht="13" x14ac:dyDescent="0.25">
      <c r="A51" s="766"/>
      <c r="B51" s="160">
        <v>3</v>
      </c>
      <c r="C51" s="167">
        <v>25</v>
      </c>
      <c r="D51" s="161">
        <v>0.4</v>
      </c>
      <c r="E51" s="161">
        <v>0.2</v>
      </c>
      <c r="F51" s="162">
        <f t="shared" si="12"/>
        <v>0.1</v>
      </c>
      <c r="H51" s="160">
        <v>3</v>
      </c>
      <c r="I51" s="167">
        <v>50</v>
      </c>
      <c r="J51" s="161">
        <v>-6.2</v>
      </c>
      <c r="K51" s="161">
        <v>-6.2</v>
      </c>
      <c r="L51" s="162">
        <f t="shared" si="13"/>
        <v>0</v>
      </c>
      <c r="N51" s="160">
        <v>3</v>
      </c>
      <c r="O51" s="167">
        <v>850</v>
      </c>
      <c r="P51" s="168" t="s">
        <v>10</v>
      </c>
      <c r="Q51" s="168" t="s">
        <v>10</v>
      </c>
      <c r="R51" s="162">
        <f t="shared" si="14"/>
        <v>0</v>
      </c>
    </row>
    <row r="52" spans="1:21" ht="13" x14ac:dyDescent="0.25">
      <c r="A52" s="766"/>
      <c r="B52" s="160">
        <v>4</v>
      </c>
      <c r="C52" s="172">
        <v>30</v>
      </c>
      <c r="D52" s="171">
        <v>0.6</v>
      </c>
      <c r="E52" s="170">
        <v>0.1</v>
      </c>
      <c r="F52" s="162">
        <f t="shared" si="12"/>
        <v>0.25</v>
      </c>
      <c r="H52" s="160">
        <v>4</v>
      </c>
      <c r="I52" s="172">
        <v>60</v>
      </c>
      <c r="J52" s="171">
        <v>-5.2</v>
      </c>
      <c r="K52" s="171">
        <v>-4.2</v>
      </c>
      <c r="L52" s="162">
        <f t="shared" si="13"/>
        <v>0.5</v>
      </c>
      <c r="N52" s="160">
        <v>4</v>
      </c>
      <c r="O52" s="172">
        <v>900</v>
      </c>
      <c r="P52" s="171" t="s">
        <v>10</v>
      </c>
      <c r="Q52" s="170" t="s">
        <v>10</v>
      </c>
      <c r="R52" s="162">
        <f t="shared" si="14"/>
        <v>0</v>
      </c>
    </row>
    <row r="53" spans="1:21" ht="13" x14ac:dyDescent="0.25">
      <c r="A53" s="766"/>
      <c r="B53" s="160">
        <v>5</v>
      </c>
      <c r="C53" s="172">
        <v>35</v>
      </c>
      <c r="D53" s="171">
        <v>0.7</v>
      </c>
      <c r="E53" s="170">
        <v>0</v>
      </c>
      <c r="F53" s="162">
        <f t="shared" si="12"/>
        <v>0.35</v>
      </c>
      <c r="H53" s="160">
        <v>5</v>
      </c>
      <c r="I53" s="172">
        <v>70</v>
      </c>
      <c r="J53" s="171">
        <v>-4.0999999999999996</v>
      </c>
      <c r="K53" s="171">
        <v>-2.1</v>
      </c>
      <c r="L53" s="162">
        <f t="shared" si="13"/>
        <v>0.99999999999999978</v>
      </c>
      <c r="N53" s="160">
        <v>5</v>
      </c>
      <c r="O53" s="172">
        <v>1000</v>
      </c>
      <c r="P53" s="171" t="s">
        <v>10</v>
      </c>
      <c r="Q53" s="170" t="s">
        <v>10</v>
      </c>
      <c r="R53" s="162">
        <f t="shared" si="14"/>
        <v>0</v>
      </c>
    </row>
    <row r="54" spans="1:21" ht="13" x14ac:dyDescent="0.25">
      <c r="A54" s="766"/>
      <c r="B54" s="160">
        <v>6</v>
      </c>
      <c r="C54" s="172">
        <v>37</v>
      </c>
      <c r="D54" s="171">
        <v>0.7</v>
      </c>
      <c r="E54" s="170">
        <v>0</v>
      </c>
      <c r="F54" s="162">
        <f t="shared" si="12"/>
        <v>0.35</v>
      </c>
      <c r="H54" s="160">
        <v>6</v>
      </c>
      <c r="I54" s="172">
        <v>80</v>
      </c>
      <c r="J54" s="170">
        <v>-3</v>
      </c>
      <c r="K54" s="171">
        <v>0.2</v>
      </c>
      <c r="L54" s="162">
        <f t="shared" si="13"/>
        <v>1.6</v>
      </c>
      <c r="N54" s="160">
        <v>6</v>
      </c>
      <c r="O54" s="172">
        <v>1005</v>
      </c>
      <c r="P54" s="171" t="s">
        <v>10</v>
      </c>
      <c r="Q54" s="170" t="s">
        <v>10</v>
      </c>
      <c r="R54" s="162">
        <f t="shared" si="14"/>
        <v>0</v>
      </c>
    </row>
    <row r="55" spans="1:21" ht="13.5" thickBot="1" x14ac:dyDescent="0.3">
      <c r="A55" s="767"/>
      <c r="B55" s="173">
        <v>7</v>
      </c>
      <c r="C55" s="178">
        <v>40</v>
      </c>
      <c r="D55" s="175">
        <v>0.7</v>
      </c>
      <c r="E55" s="179">
        <v>-0.1</v>
      </c>
      <c r="F55" s="176">
        <f t="shared" si="12"/>
        <v>0.39999999999999997</v>
      </c>
      <c r="G55" s="177"/>
      <c r="H55" s="173">
        <v>7</v>
      </c>
      <c r="I55" s="178">
        <v>90</v>
      </c>
      <c r="J55" s="175">
        <v>-1.8</v>
      </c>
      <c r="K55" s="175">
        <v>2.7</v>
      </c>
      <c r="L55" s="176">
        <f t="shared" si="13"/>
        <v>2.25</v>
      </c>
      <c r="M55" s="177"/>
      <c r="N55" s="173">
        <v>7</v>
      </c>
      <c r="O55" s="178">
        <v>1020</v>
      </c>
      <c r="P55" s="175" t="s">
        <v>10</v>
      </c>
      <c r="Q55" s="179" t="s">
        <v>10</v>
      </c>
      <c r="R55" s="176">
        <f t="shared" si="14"/>
        <v>0</v>
      </c>
    </row>
    <row r="56" spans="1:21" ht="13.5" thickBot="1" x14ac:dyDescent="0.35">
      <c r="A56" s="188"/>
      <c r="B56" s="189"/>
      <c r="C56" s="189"/>
      <c r="D56" s="189"/>
      <c r="E56" s="190"/>
      <c r="F56" s="191"/>
      <c r="G56" s="133"/>
      <c r="H56" s="189"/>
      <c r="I56" s="189"/>
      <c r="J56" s="189"/>
      <c r="K56" s="190"/>
      <c r="L56" s="191"/>
      <c r="O56" s="74"/>
      <c r="P56" s="181"/>
    </row>
    <row r="57" spans="1:21" ht="13" thickBot="1" x14ac:dyDescent="0.3">
      <c r="A57" s="765">
        <v>6</v>
      </c>
      <c r="B57" s="768" t="s">
        <v>16</v>
      </c>
      <c r="C57" s="769"/>
      <c r="D57" s="769"/>
      <c r="E57" s="769"/>
      <c r="F57" s="770"/>
      <c r="G57" s="155"/>
      <c r="H57" s="768" t="str">
        <f>B57</f>
        <v>KOREKSI GREISINGER 34903046</v>
      </c>
      <c r="I57" s="769"/>
      <c r="J57" s="769"/>
      <c r="K57" s="769"/>
      <c r="L57" s="770"/>
      <c r="M57" s="155"/>
      <c r="N57" s="768" t="str">
        <f>H57</f>
        <v>KOREKSI GREISINGER 34903046</v>
      </c>
      <c r="O57" s="769"/>
      <c r="P57" s="769"/>
      <c r="Q57" s="769"/>
      <c r="R57" s="770"/>
      <c r="T57" s="742" t="s">
        <v>12</v>
      </c>
      <c r="U57" s="743"/>
    </row>
    <row r="58" spans="1:21" ht="13.5" thickBot="1" x14ac:dyDescent="0.3">
      <c r="A58" s="766"/>
      <c r="B58" s="744" t="s">
        <v>2</v>
      </c>
      <c r="C58" s="745"/>
      <c r="D58" s="746" t="s">
        <v>3</v>
      </c>
      <c r="E58" s="747"/>
      <c r="F58" s="748" t="s">
        <v>4</v>
      </c>
      <c r="H58" s="744" t="s">
        <v>5</v>
      </c>
      <c r="I58" s="745"/>
      <c r="J58" s="746" t="s">
        <v>3</v>
      </c>
      <c r="K58" s="747"/>
      <c r="L58" s="748" t="s">
        <v>4</v>
      </c>
      <c r="N58" s="744" t="s">
        <v>6</v>
      </c>
      <c r="O58" s="745"/>
      <c r="P58" s="746" t="s">
        <v>3</v>
      </c>
      <c r="Q58" s="747"/>
      <c r="R58" s="748" t="s">
        <v>4</v>
      </c>
      <c r="T58" s="159" t="s">
        <v>2</v>
      </c>
      <c r="U58" s="182">
        <v>0.8</v>
      </c>
    </row>
    <row r="59" spans="1:21" ht="15" thickBot="1" x14ac:dyDescent="0.3">
      <c r="A59" s="766"/>
      <c r="B59" s="753" t="s">
        <v>7</v>
      </c>
      <c r="C59" s="754"/>
      <c r="D59" s="184">
        <v>2019</v>
      </c>
      <c r="E59" s="184">
        <v>2018</v>
      </c>
      <c r="F59" s="749"/>
      <c r="H59" s="755" t="s">
        <v>8</v>
      </c>
      <c r="I59" s="756"/>
      <c r="J59" s="185">
        <f>D59</f>
        <v>2019</v>
      </c>
      <c r="K59" s="185">
        <f>E59</f>
        <v>2018</v>
      </c>
      <c r="L59" s="749"/>
      <c r="N59" s="755" t="s">
        <v>9</v>
      </c>
      <c r="O59" s="756"/>
      <c r="P59" s="185">
        <f>J59</f>
        <v>2019</v>
      </c>
      <c r="Q59" s="185">
        <f>K59</f>
        <v>2018</v>
      </c>
      <c r="R59" s="749"/>
      <c r="T59" s="159" t="s">
        <v>8</v>
      </c>
      <c r="U59" s="156">
        <v>2.6</v>
      </c>
    </row>
    <row r="60" spans="1:21" ht="13.5" thickBot="1" x14ac:dyDescent="0.3">
      <c r="A60" s="766"/>
      <c r="B60" s="160">
        <v>1</v>
      </c>
      <c r="C60" s="163">
        <v>15</v>
      </c>
      <c r="D60" s="186">
        <v>0.4</v>
      </c>
      <c r="E60" s="186">
        <v>0.4</v>
      </c>
      <c r="F60" s="187">
        <f t="shared" ref="F60:F66" si="15">0.5*(MAX(D60:E60)-MIN(D60:E60))</f>
        <v>0</v>
      </c>
      <c r="H60" s="160">
        <v>1</v>
      </c>
      <c r="I60" s="163">
        <v>30</v>
      </c>
      <c r="J60" s="186">
        <v>-1.5</v>
      </c>
      <c r="K60" s="186">
        <v>1.7</v>
      </c>
      <c r="L60" s="187">
        <f t="shared" ref="L60:L66" si="16">0.5*(MAX(J60:K60)-MIN(J60:K60))</f>
        <v>1.6</v>
      </c>
      <c r="N60" s="160">
        <v>1</v>
      </c>
      <c r="O60" s="163">
        <v>750</v>
      </c>
      <c r="P60" s="186">
        <v>0.9</v>
      </c>
      <c r="Q60" s="186">
        <v>2.1</v>
      </c>
      <c r="R60" s="187">
        <f t="shared" ref="R60:R66" si="17">0.5*(MAX(P60:Q60)-MIN(P60:Q60))</f>
        <v>0.60000000000000009</v>
      </c>
      <c r="T60" s="165" t="s">
        <v>9</v>
      </c>
      <c r="U60" s="192">
        <v>1.6</v>
      </c>
    </row>
    <row r="61" spans="1:21" ht="13" x14ac:dyDescent="0.25">
      <c r="A61" s="766"/>
      <c r="B61" s="160">
        <v>2</v>
      </c>
      <c r="C61" s="167">
        <v>20</v>
      </c>
      <c r="D61" s="161">
        <v>0.3</v>
      </c>
      <c r="E61" s="161">
        <v>0.2</v>
      </c>
      <c r="F61" s="162">
        <f t="shared" si="15"/>
        <v>4.9999999999999989E-2</v>
      </c>
      <c r="H61" s="160">
        <v>2</v>
      </c>
      <c r="I61" s="167">
        <v>40</v>
      </c>
      <c r="J61" s="161">
        <v>-3.8</v>
      </c>
      <c r="K61" s="161">
        <v>1.5</v>
      </c>
      <c r="L61" s="162">
        <f t="shared" si="16"/>
        <v>2.65</v>
      </c>
      <c r="N61" s="160">
        <v>2</v>
      </c>
      <c r="O61" s="167">
        <v>800</v>
      </c>
      <c r="P61" s="161">
        <v>0.9</v>
      </c>
      <c r="Q61" s="161">
        <v>1.6</v>
      </c>
      <c r="R61" s="162">
        <f t="shared" si="17"/>
        <v>0.35000000000000003</v>
      </c>
    </row>
    <row r="62" spans="1:21" ht="13" x14ac:dyDescent="0.25">
      <c r="A62" s="766"/>
      <c r="B62" s="160">
        <v>3</v>
      </c>
      <c r="C62" s="167">
        <v>25</v>
      </c>
      <c r="D62" s="161">
        <v>0.2</v>
      </c>
      <c r="E62" s="161">
        <v>-0.1</v>
      </c>
      <c r="F62" s="162">
        <f t="shared" si="15"/>
        <v>0.15000000000000002</v>
      </c>
      <c r="H62" s="160">
        <v>3</v>
      </c>
      <c r="I62" s="167">
        <v>50</v>
      </c>
      <c r="J62" s="161">
        <v>-5.4</v>
      </c>
      <c r="K62" s="161">
        <v>1.2</v>
      </c>
      <c r="L62" s="162">
        <f t="shared" si="16"/>
        <v>3.3000000000000003</v>
      </c>
      <c r="N62" s="160">
        <v>3</v>
      </c>
      <c r="O62" s="167">
        <v>850</v>
      </c>
      <c r="P62" s="161">
        <v>0.9</v>
      </c>
      <c r="Q62" s="161">
        <v>1.1000000000000001</v>
      </c>
      <c r="R62" s="162">
        <f t="shared" si="17"/>
        <v>0.10000000000000003</v>
      </c>
    </row>
    <row r="63" spans="1:21" ht="13" x14ac:dyDescent="0.25">
      <c r="A63" s="766"/>
      <c r="B63" s="160">
        <v>4</v>
      </c>
      <c r="C63" s="172">
        <v>30</v>
      </c>
      <c r="D63" s="169">
        <v>0.1</v>
      </c>
      <c r="E63" s="169">
        <v>-0.5</v>
      </c>
      <c r="F63" s="162">
        <f t="shared" si="15"/>
        <v>0.3</v>
      </c>
      <c r="H63" s="160">
        <v>4</v>
      </c>
      <c r="I63" s="172">
        <v>60</v>
      </c>
      <c r="J63" s="169">
        <v>-6.4</v>
      </c>
      <c r="K63" s="169">
        <v>1.1000000000000001</v>
      </c>
      <c r="L63" s="162">
        <f t="shared" si="16"/>
        <v>3.75</v>
      </c>
      <c r="N63" s="160">
        <v>4</v>
      </c>
      <c r="O63" s="172">
        <v>900</v>
      </c>
      <c r="P63" s="169">
        <v>0.9</v>
      </c>
      <c r="Q63" s="169">
        <v>0.7</v>
      </c>
      <c r="R63" s="162">
        <f t="shared" si="17"/>
        <v>0.10000000000000003</v>
      </c>
    </row>
    <row r="64" spans="1:21" ht="13" x14ac:dyDescent="0.25">
      <c r="A64" s="766"/>
      <c r="B64" s="160">
        <v>5</v>
      </c>
      <c r="C64" s="172">
        <v>35</v>
      </c>
      <c r="D64" s="169">
        <v>0.1</v>
      </c>
      <c r="E64" s="169">
        <v>-0.9</v>
      </c>
      <c r="F64" s="162">
        <f t="shared" si="15"/>
        <v>0.5</v>
      </c>
      <c r="H64" s="160">
        <v>5</v>
      </c>
      <c r="I64" s="172">
        <v>70</v>
      </c>
      <c r="J64" s="169">
        <v>-6.7</v>
      </c>
      <c r="K64" s="169">
        <v>0.9</v>
      </c>
      <c r="L64" s="162">
        <f t="shared" si="16"/>
        <v>3.8000000000000003</v>
      </c>
      <c r="N64" s="160">
        <v>5</v>
      </c>
      <c r="O64" s="172">
        <v>1000</v>
      </c>
      <c r="P64" s="169">
        <v>0.9</v>
      </c>
      <c r="Q64" s="169">
        <v>-0.3</v>
      </c>
      <c r="R64" s="162">
        <f t="shared" si="17"/>
        <v>0.6</v>
      </c>
    </row>
    <row r="65" spans="1:21" ht="13" x14ac:dyDescent="0.25">
      <c r="A65" s="766"/>
      <c r="B65" s="160">
        <v>6</v>
      </c>
      <c r="C65" s="172">
        <v>37</v>
      </c>
      <c r="D65" s="169">
        <v>0.1</v>
      </c>
      <c r="E65" s="169">
        <v>-1.1000000000000001</v>
      </c>
      <c r="F65" s="162">
        <f t="shared" si="15"/>
        <v>0.60000000000000009</v>
      </c>
      <c r="H65" s="160">
        <v>6</v>
      </c>
      <c r="I65" s="172">
        <v>80</v>
      </c>
      <c r="J65" s="169">
        <v>-6.3</v>
      </c>
      <c r="K65" s="169">
        <v>0.8</v>
      </c>
      <c r="L65" s="162">
        <f t="shared" si="16"/>
        <v>3.55</v>
      </c>
      <c r="N65" s="160">
        <v>6</v>
      </c>
      <c r="O65" s="172">
        <v>1005</v>
      </c>
      <c r="P65" s="169">
        <v>0.9</v>
      </c>
      <c r="Q65" s="169">
        <v>-0.3</v>
      </c>
      <c r="R65" s="162">
        <f t="shared" si="17"/>
        <v>0.6</v>
      </c>
    </row>
    <row r="66" spans="1:21" ht="13.5" thickBot="1" x14ac:dyDescent="0.3">
      <c r="A66" s="767"/>
      <c r="B66" s="173">
        <v>7</v>
      </c>
      <c r="C66" s="178">
        <v>40</v>
      </c>
      <c r="D66" s="174">
        <v>0.1</v>
      </c>
      <c r="E66" s="174">
        <v>-1.4</v>
      </c>
      <c r="F66" s="176">
        <f t="shared" si="15"/>
        <v>0.75</v>
      </c>
      <c r="G66" s="177"/>
      <c r="H66" s="173">
        <v>7</v>
      </c>
      <c r="I66" s="178">
        <v>90</v>
      </c>
      <c r="J66" s="174">
        <v>-5.2</v>
      </c>
      <c r="K66" s="174">
        <v>0.7</v>
      </c>
      <c r="L66" s="176">
        <f t="shared" si="16"/>
        <v>2.95</v>
      </c>
      <c r="M66" s="177"/>
      <c r="N66" s="173">
        <v>7</v>
      </c>
      <c r="O66" s="178">
        <v>1020</v>
      </c>
      <c r="P66" s="174">
        <v>0.9</v>
      </c>
      <c r="Q66" s="174">
        <v>0</v>
      </c>
      <c r="R66" s="176">
        <f t="shared" si="17"/>
        <v>0.45</v>
      </c>
    </row>
    <row r="67" spans="1:21" ht="13.5" thickBot="1" x14ac:dyDescent="0.35">
      <c r="A67" s="188"/>
      <c r="B67" s="189"/>
      <c r="C67" s="189"/>
      <c r="D67" s="189"/>
      <c r="E67" s="190"/>
      <c r="F67" s="191"/>
      <c r="G67" s="133"/>
      <c r="H67" s="189"/>
      <c r="I67" s="189"/>
      <c r="J67" s="189"/>
      <c r="K67" s="190"/>
      <c r="L67" s="191"/>
      <c r="O67" s="74"/>
      <c r="P67" s="181"/>
    </row>
    <row r="68" spans="1:21" ht="13" thickBot="1" x14ac:dyDescent="0.3">
      <c r="A68" s="765">
        <v>7</v>
      </c>
      <c r="B68" s="768" t="s">
        <v>17</v>
      </c>
      <c r="C68" s="769"/>
      <c r="D68" s="769"/>
      <c r="E68" s="769"/>
      <c r="F68" s="770"/>
      <c r="G68" s="155"/>
      <c r="H68" s="768" t="str">
        <f>B68</f>
        <v>KOREKSI GREISINGER 34903053</v>
      </c>
      <c r="I68" s="769"/>
      <c r="J68" s="769"/>
      <c r="K68" s="769"/>
      <c r="L68" s="770"/>
      <c r="M68" s="155"/>
      <c r="N68" s="768" t="str">
        <f>H68</f>
        <v>KOREKSI GREISINGER 34903053</v>
      </c>
      <c r="O68" s="769"/>
      <c r="P68" s="769"/>
      <c r="Q68" s="769"/>
      <c r="R68" s="770"/>
      <c r="T68" s="742" t="s">
        <v>12</v>
      </c>
      <c r="U68" s="743"/>
    </row>
    <row r="69" spans="1:21" ht="13.5" thickBot="1" x14ac:dyDescent="0.3">
      <c r="A69" s="766"/>
      <c r="B69" s="744" t="s">
        <v>2</v>
      </c>
      <c r="C69" s="745"/>
      <c r="D69" s="746" t="s">
        <v>3</v>
      </c>
      <c r="E69" s="747"/>
      <c r="F69" s="748" t="s">
        <v>4</v>
      </c>
      <c r="H69" s="744" t="s">
        <v>5</v>
      </c>
      <c r="I69" s="745"/>
      <c r="J69" s="746" t="s">
        <v>3</v>
      </c>
      <c r="K69" s="747"/>
      <c r="L69" s="748" t="s">
        <v>4</v>
      </c>
      <c r="N69" s="744" t="s">
        <v>6</v>
      </c>
      <c r="O69" s="745"/>
      <c r="P69" s="746" t="s">
        <v>3</v>
      </c>
      <c r="Q69" s="747"/>
      <c r="R69" s="748" t="s">
        <v>4</v>
      </c>
      <c r="T69" s="159" t="s">
        <v>2</v>
      </c>
      <c r="U69" s="182">
        <v>0.2</v>
      </c>
    </row>
    <row r="70" spans="1:21" ht="15" thickBot="1" x14ac:dyDescent="0.3">
      <c r="A70" s="766"/>
      <c r="B70" s="753" t="s">
        <v>7</v>
      </c>
      <c r="C70" s="754"/>
      <c r="D70" s="184">
        <v>2021</v>
      </c>
      <c r="E70" s="184">
        <v>2018</v>
      </c>
      <c r="F70" s="749"/>
      <c r="H70" s="755" t="s">
        <v>8</v>
      </c>
      <c r="I70" s="756"/>
      <c r="J70" s="185">
        <f>D70</f>
        <v>2021</v>
      </c>
      <c r="K70" s="185">
        <f>E70</f>
        <v>2018</v>
      </c>
      <c r="L70" s="749"/>
      <c r="N70" s="755" t="s">
        <v>9</v>
      </c>
      <c r="O70" s="756"/>
      <c r="P70" s="185">
        <f>J70</f>
        <v>2021</v>
      </c>
      <c r="Q70" s="185">
        <f>K70</f>
        <v>2018</v>
      </c>
      <c r="R70" s="749"/>
      <c r="T70" s="159" t="s">
        <v>8</v>
      </c>
      <c r="U70" s="182">
        <v>2.4</v>
      </c>
    </row>
    <row r="71" spans="1:21" ht="13.5" thickBot="1" x14ac:dyDescent="0.3">
      <c r="A71" s="766"/>
      <c r="B71" s="160">
        <v>1</v>
      </c>
      <c r="C71" s="163">
        <v>15</v>
      </c>
      <c r="D71" s="186">
        <v>0.1</v>
      </c>
      <c r="E71" s="186">
        <v>0.3</v>
      </c>
      <c r="F71" s="187">
        <f t="shared" ref="F71:F77" si="18">0.5*(MAX(D71:E71)-MIN(D71:E71))</f>
        <v>9.9999999999999992E-2</v>
      </c>
      <c r="H71" s="160">
        <v>1</v>
      </c>
      <c r="I71" s="163">
        <v>30</v>
      </c>
      <c r="J71" s="186">
        <v>-1.9</v>
      </c>
      <c r="K71" s="186">
        <v>1.8</v>
      </c>
      <c r="L71" s="187">
        <f t="shared" ref="L71:L77" si="19">0.5*(MAX(J71:K71)-MIN(J71:K71))</f>
        <v>1.85</v>
      </c>
      <c r="N71" s="160">
        <v>1</v>
      </c>
      <c r="O71" s="163">
        <v>750</v>
      </c>
      <c r="P71" s="186">
        <v>0</v>
      </c>
      <c r="Q71" s="186">
        <v>3.2</v>
      </c>
      <c r="R71" s="187">
        <f t="shared" ref="R71:R77" si="20">0.5*(MAX(P71:Q71)-MIN(P71:Q71))</f>
        <v>1.6</v>
      </c>
      <c r="T71" s="165" t="s">
        <v>9</v>
      </c>
      <c r="U71" s="192">
        <v>2.4</v>
      </c>
    </row>
    <row r="72" spans="1:21" ht="13" x14ac:dyDescent="0.25">
      <c r="A72" s="766"/>
      <c r="B72" s="160">
        <v>2</v>
      </c>
      <c r="C72" s="167">
        <v>20</v>
      </c>
      <c r="D72" s="161">
        <v>0</v>
      </c>
      <c r="E72" s="161">
        <v>0.1</v>
      </c>
      <c r="F72" s="162">
        <f t="shared" si="18"/>
        <v>0.05</v>
      </c>
      <c r="H72" s="160">
        <v>2</v>
      </c>
      <c r="I72" s="167">
        <v>40</v>
      </c>
      <c r="J72" s="161">
        <v>-1.9</v>
      </c>
      <c r="K72" s="161">
        <v>1.2</v>
      </c>
      <c r="L72" s="162">
        <f t="shared" si="19"/>
        <v>1.5499999999999998</v>
      </c>
      <c r="N72" s="160">
        <v>2</v>
      </c>
      <c r="O72" s="167">
        <v>800</v>
      </c>
      <c r="P72" s="161">
        <v>0</v>
      </c>
      <c r="Q72" s="161">
        <v>2.5</v>
      </c>
      <c r="R72" s="162">
        <f t="shared" si="20"/>
        <v>1.25</v>
      </c>
    </row>
    <row r="73" spans="1:21" ht="13" x14ac:dyDescent="0.25">
      <c r="A73" s="766"/>
      <c r="B73" s="160">
        <v>3</v>
      </c>
      <c r="C73" s="167">
        <v>25</v>
      </c>
      <c r="D73" s="161">
        <v>0</v>
      </c>
      <c r="E73" s="161">
        <v>-0.2</v>
      </c>
      <c r="F73" s="162">
        <f t="shared" si="18"/>
        <v>0.1</v>
      </c>
      <c r="H73" s="160">
        <v>3</v>
      </c>
      <c r="I73" s="167">
        <v>50</v>
      </c>
      <c r="J73" s="161">
        <v>-1.9</v>
      </c>
      <c r="K73" s="161">
        <v>0.8</v>
      </c>
      <c r="L73" s="162">
        <f t="shared" si="19"/>
        <v>1.35</v>
      </c>
      <c r="N73" s="160">
        <v>3</v>
      </c>
      <c r="O73" s="167">
        <v>850</v>
      </c>
      <c r="P73" s="161">
        <v>0</v>
      </c>
      <c r="Q73" s="161">
        <v>1.7</v>
      </c>
      <c r="R73" s="162">
        <f t="shared" si="20"/>
        <v>0.85</v>
      </c>
    </row>
    <row r="74" spans="1:21" ht="13" x14ac:dyDescent="0.25">
      <c r="A74" s="766"/>
      <c r="B74" s="160">
        <v>4</v>
      </c>
      <c r="C74" s="172">
        <v>30</v>
      </c>
      <c r="D74" s="169">
        <v>0</v>
      </c>
      <c r="E74" s="169">
        <v>-0.6</v>
      </c>
      <c r="F74" s="162">
        <f t="shared" si="18"/>
        <v>0.3</v>
      </c>
      <c r="H74" s="160">
        <v>4</v>
      </c>
      <c r="I74" s="172">
        <v>60</v>
      </c>
      <c r="J74" s="169">
        <v>-2.1</v>
      </c>
      <c r="K74" s="169">
        <v>0.7</v>
      </c>
      <c r="L74" s="162">
        <f t="shared" si="19"/>
        <v>1.4</v>
      </c>
      <c r="N74" s="160">
        <v>4</v>
      </c>
      <c r="O74" s="172">
        <v>900</v>
      </c>
      <c r="P74" s="169">
        <v>0</v>
      </c>
      <c r="Q74" s="169">
        <v>1</v>
      </c>
      <c r="R74" s="162">
        <f t="shared" si="20"/>
        <v>0.5</v>
      </c>
    </row>
    <row r="75" spans="1:21" ht="13" x14ac:dyDescent="0.25">
      <c r="A75" s="766"/>
      <c r="B75" s="160">
        <v>5</v>
      </c>
      <c r="C75" s="172">
        <v>35</v>
      </c>
      <c r="D75" s="169">
        <v>0</v>
      </c>
      <c r="E75" s="169">
        <v>-1.1000000000000001</v>
      </c>
      <c r="F75" s="162">
        <f t="shared" si="18"/>
        <v>0.55000000000000004</v>
      </c>
      <c r="H75" s="160">
        <v>5</v>
      </c>
      <c r="I75" s="172">
        <v>70</v>
      </c>
      <c r="J75" s="169">
        <v>-2.2999999999999998</v>
      </c>
      <c r="K75" s="169">
        <v>0.9</v>
      </c>
      <c r="L75" s="162">
        <f t="shared" si="19"/>
        <v>1.5999999999999999</v>
      </c>
      <c r="N75" s="160">
        <v>5</v>
      </c>
      <c r="O75" s="172">
        <v>1000</v>
      </c>
      <c r="P75" s="169">
        <v>-3.9</v>
      </c>
      <c r="Q75" s="169">
        <v>-0.4</v>
      </c>
      <c r="R75" s="162">
        <f t="shared" si="20"/>
        <v>1.75</v>
      </c>
    </row>
    <row r="76" spans="1:21" ht="13" x14ac:dyDescent="0.25">
      <c r="A76" s="766"/>
      <c r="B76" s="160">
        <v>6</v>
      </c>
      <c r="C76" s="172">
        <v>37</v>
      </c>
      <c r="D76" s="169">
        <v>0</v>
      </c>
      <c r="E76" s="169">
        <v>-1.4</v>
      </c>
      <c r="F76" s="162">
        <f t="shared" si="18"/>
        <v>0.7</v>
      </c>
      <c r="H76" s="160">
        <v>6</v>
      </c>
      <c r="I76" s="172">
        <v>80</v>
      </c>
      <c r="J76" s="169">
        <v>-2.6</v>
      </c>
      <c r="K76" s="169">
        <v>1.2</v>
      </c>
      <c r="L76" s="162">
        <f t="shared" si="19"/>
        <v>1.9</v>
      </c>
      <c r="N76" s="160">
        <v>6</v>
      </c>
      <c r="O76" s="172">
        <v>1005</v>
      </c>
      <c r="P76" s="169">
        <v>-3.8</v>
      </c>
      <c r="Q76" s="169">
        <v>-0.5</v>
      </c>
      <c r="R76" s="162">
        <f t="shared" si="20"/>
        <v>1.65</v>
      </c>
    </row>
    <row r="77" spans="1:21" ht="13.5" thickBot="1" x14ac:dyDescent="0.3">
      <c r="A77" s="767"/>
      <c r="B77" s="173">
        <v>7</v>
      </c>
      <c r="C77" s="178">
        <v>40</v>
      </c>
      <c r="D77" s="174">
        <v>0.1</v>
      </c>
      <c r="E77" s="174">
        <v>-1.7</v>
      </c>
      <c r="F77" s="176">
        <f t="shared" si="18"/>
        <v>0.9</v>
      </c>
      <c r="G77" s="177"/>
      <c r="H77" s="173">
        <v>7</v>
      </c>
      <c r="I77" s="178">
        <v>90</v>
      </c>
      <c r="J77" s="174">
        <v>-3</v>
      </c>
      <c r="K77" s="174">
        <v>1.8</v>
      </c>
      <c r="L77" s="176">
        <f t="shared" si="19"/>
        <v>2.4</v>
      </c>
      <c r="M77" s="177"/>
      <c r="N77" s="173">
        <v>7</v>
      </c>
      <c r="O77" s="178">
        <v>1020</v>
      </c>
      <c r="P77" s="174">
        <v>-3.8</v>
      </c>
      <c r="Q77" s="174">
        <v>0</v>
      </c>
      <c r="R77" s="176">
        <f t="shared" si="20"/>
        <v>1.9</v>
      </c>
    </row>
    <row r="78" spans="1:21" ht="13.5" thickBot="1" x14ac:dyDescent="0.35">
      <c r="A78" s="188"/>
      <c r="B78" s="189"/>
      <c r="C78" s="189"/>
      <c r="D78" s="189"/>
      <c r="E78" s="190"/>
      <c r="F78" s="191"/>
      <c r="G78" s="133"/>
      <c r="H78" s="189"/>
      <c r="I78" s="189"/>
      <c r="J78" s="189"/>
      <c r="K78" s="190"/>
      <c r="L78" s="191"/>
      <c r="O78" s="74"/>
      <c r="P78" s="181"/>
    </row>
    <row r="79" spans="1:21" ht="13" thickBot="1" x14ac:dyDescent="0.3">
      <c r="A79" s="765">
        <v>8</v>
      </c>
      <c r="B79" s="768" t="s">
        <v>18</v>
      </c>
      <c r="C79" s="769"/>
      <c r="D79" s="769"/>
      <c r="E79" s="769"/>
      <c r="F79" s="770"/>
      <c r="G79" s="155"/>
      <c r="H79" s="768" t="str">
        <f>B79</f>
        <v>KOREKSI GREISINGER 34903051</v>
      </c>
      <c r="I79" s="769"/>
      <c r="J79" s="769"/>
      <c r="K79" s="769"/>
      <c r="L79" s="770"/>
      <c r="M79" s="155"/>
      <c r="N79" s="768" t="str">
        <f>H79</f>
        <v>KOREKSI GREISINGER 34903051</v>
      </c>
      <c r="O79" s="769"/>
      <c r="P79" s="769"/>
      <c r="Q79" s="769"/>
      <c r="R79" s="770"/>
      <c r="T79" s="742" t="s">
        <v>12</v>
      </c>
      <c r="U79" s="743"/>
    </row>
    <row r="80" spans="1:21" ht="13.5" thickBot="1" x14ac:dyDescent="0.3">
      <c r="A80" s="766"/>
      <c r="B80" s="744" t="s">
        <v>2</v>
      </c>
      <c r="C80" s="745"/>
      <c r="D80" s="746" t="s">
        <v>3</v>
      </c>
      <c r="E80" s="747"/>
      <c r="F80" s="748" t="s">
        <v>4</v>
      </c>
      <c r="H80" s="744" t="s">
        <v>5</v>
      </c>
      <c r="I80" s="745"/>
      <c r="J80" s="746" t="s">
        <v>3</v>
      </c>
      <c r="K80" s="747"/>
      <c r="L80" s="748" t="s">
        <v>4</v>
      </c>
      <c r="N80" s="744" t="s">
        <v>6</v>
      </c>
      <c r="O80" s="745"/>
      <c r="P80" s="746" t="s">
        <v>3</v>
      </c>
      <c r="Q80" s="747"/>
      <c r="R80" s="748" t="s">
        <v>4</v>
      </c>
      <c r="T80" s="159" t="s">
        <v>2</v>
      </c>
      <c r="U80" s="156">
        <v>0.3</v>
      </c>
    </row>
    <row r="81" spans="1:21" ht="15" thickBot="1" x14ac:dyDescent="0.3">
      <c r="A81" s="766"/>
      <c r="B81" s="753" t="s">
        <v>7</v>
      </c>
      <c r="C81" s="754"/>
      <c r="D81" s="184">
        <v>2021</v>
      </c>
      <c r="E81" s="184">
        <v>2019</v>
      </c>
      <c r="F81" s="749"/>
      <c r="H81" s="755" t="s">
        <v>8</v>
      </c>
      <c r="I81" s="756"/>
      <c r="J81" s="185">
        <f>D81</f>
        <v>2021</v>
      </c>
      <c r="K81" s="185">
        <f>E81</f>
        <v>2019</v>
      </c>
      <c r="L81" s="749"/>
      <c r="N81" s="755" t="s">
        <v>9</v>
      </c>
      <c r="O81" s="756"/>
      <c r="P81" s="185">
        <f>J81</f>
        <v>2021</v>
      </c>
      <c r="Q81" s="185">
        <f>K81</f>
        <v>2019</v>
      </c>
      <c r="R81" s="749"/>
      <c r="T81" s="159" t="s">
        <v>8</v>
      </c>
      <c r="U81" s="156">
        <v>2.5</v>
      </c>
    </row>
    <row r="82" spans="1:21" ht="13.5" thickBot="1" x14ac:dyDescent="0.3">
      <c r="A82" s="766"/>
      <c r="B82" s="160">
        <v>1</v>
      </c>
      <c r="C82" s="193">
        <v>15</v>
      </c>
      <c r="D82" s="186">
        <v>0.1</v>
      </c>
      <c r="E82" s="186">
        <v>0</v>
      </c>
      <c r="F82" s="187">
        <f t="shared" ref="F82:F88" si="21">0.5*(MAX(D82:E82)-MIN(D82:E82))</f>
        <v>0.05</v>
      </c>
      <c r="H82" s="160">
        <v>1</v>
      </c>
      <c r="I82" s="193">
        <v>30</v>
      </c>
      <c r="J82" s="186">
        <v>-4</v>
      </c>
      <c r="K82" s="186">
        <v>-1.4</v>
      </c>
      <c r="L82" s="187">
        <f t="shared" ref="L82:L88" si="22">0.5*(MAX(J82:K82)-MIN(J82:K82))</f>
        <v>1.3</v>
      </c>
      <c r="N82" s="160">
        <v>1</v>
      </c>
      <c r="O82" s="163">
        <v>750</v>
      </c>
      <c r="P82" s="164">
        <v>0</v>
      </c>
      <c r="Q82" s="164">
        <v>0</v>
      </c>
      <c r="R82" s="187">
        <f t="shared" ref="R82:R88" si="23">0.5*(MAX(P82:Q82)-MIN(P82:Q82))</f>
        <v>0</v>
      </c>
      <c r="T82" s="165" t="s">
        <v>9</v>
      </c>
      <c r="U82" s="166">
        <v>2.1</v>
      </c>
    </row>
    <row r="83" spans="1:21" ht="13" x14ac:dyDescent="0.25">
      <c r="A83" s="766"/>
      <c r="B83" s="160">
        <v>2</v>
      </c>
      <c r="C83" s="194">
        <v>20</v>
      </c>
      <c r="D83" s="186">
        <v>0</v>
      </c>
      <c r="E83" s="186">
        <v>-0.2</v>
      </c>
      <c r="F83" s="162">
        <f>0.5*(MAX(D83:E83)-MIN(D83:E83))</f>
        <v>0.1</v>
      </c>
      <c r="H83" s="160">
        <v>2</v>
      </c>
      <c r="I83" s="194">
        <v>40</v>
      </c>
      <c r="J83" s="161">
        <v>-3.8</v>
      </c>
      <c r="K83" s="161">
        <v>-1.2</v>
      </c>
      <c r="L83" s="162">
        <f t="shared" si="22"/>
        <v>1.2999999999999998</v>
      </c>
      <c r="N83" s="160">
        <v>2</v>
      </c>
      <c r="O83" s="167">
        <v>800</v>
      </c>
      <c r="P83" s="168">
        <v>0</v>
      </c>
      <c r="Q83" s="168">
        <v>0</v>
      </c>
      <c r="R83" s="162">
        <f t="shared" si="23"/>
        <v>0</v>
      </c>
    </row>
    <row r="84" spans="1:21" ht="13" x14ac:dyDescent="0.25">
      <c r="A84" s="766"/>
      <c r="B84" s="160">
        <v>3</v>
      </c>
      <c r="C84" s="194">
        <v>25</v>
      </c>
      <c r="D84" s="186">
        <v>-0.1</v>
      </c>
      <c r="E84" s="186">
        <v>-0.4</v>
      </c>
      <c r="F84" s="162">
        <f t="shared" si="21"/>
        <v>0.15000000000000002</v>
      </c>
      <c r="H84" s="160">
        <v>3</v>
      </c>
      <c r="I84" s="194">
        <v>50</v>
      </c>
      <c r="J84" s="161">
        <v>-3.8</v>
      </c>
      <c r="K84" s="161">
        <v>-1.2</v>
      </c>
      <c r="L84" s="162">
        <f t="shared" si="22"/>
        <v>1.2999999999999998</v>
      </c>
      <c r="N84" s="160">
        <v>3</v>
      </c>
      <c r="O84" s="167">
        <v>850</v>
      </c>
      <c r="P84" s="168">
        <v>0</v>
      </c>
      <c r="Q84" s="168">
        <v>0</v>
      </c>
      <c r="R84" s="162">
        <f t="shared" si="23"/>
        <v>0</v>
      </c>
    </row>
    <row r="85" spans="1:21" ht="13" x14ac:dyDescent="0.25">
      <c r="A85" s="766"/>
      <c r="B85" s="160">
        <v>4</v>
      </c>
      <c r="C85" s="195">
        <v>30</v>
      </c>
      <c r="D85" s="186">
        <v>-0.2</v>
      </c>
      <c r="E85" s="186">
        <v>-0.4</v>
      </c>
      <c r="F85" s="162">
        <f t="shared" si="21"/>
        <v>0.1</v>
      </c>
      <c r="H85" s="160">
        <v>4</v>
      </c>
      <c r="I85" s="195">
        <v>60</v>
      </c>
      <c r="J85" s="169">
        <v>-3.9</v>
      </c>
      <c r="K85" s="169">
        <v>-1.1000000000000001</v>
      </c>
      <c r="L85" s="162">
        <f t="shared" si="22"/>
        <v>1.4</v>
      </c>
      <c r="N85" s="160">
        <v>4</v>
      </c>
      <c r="O85" s="172">
        <v>900</v>
      </c>
      <c r="P85" s="170">
        <v>-4.4000000000000004</v>
      </c>
      <c r="Q85" s="170">
        <v>0</v>
      </c>
      <c r="R85" s="162">
        <f t="shared" si="23"/>
        <v>2.2000000000000002</v>
      </c>
    </row>
    <row r="86" spans="1:21" ht="13" x14ac:dyDescent="0.25">
      <c r="A86" s="766"/>
      <c r="B86" s="160">
        <v>5</v>
      </c>
      <c r="C86" s="195">
        <v>35</v>
      </c>
      <c r="D86" s="169">
        <v>-0.1</v>
      </c>
      <c r="E86" s="169">
        <v>-0.5</v>
      </c>
      <c r="F86" s="162">
        <f t="shared" si="21"/>
        <v>0.2</v>
      </c>
      <c r="H86" s="160">
        <v>5</v>
      </c>
      <c r="I86" s="195">
        <v>70</v>
      </c>
      <c r="J86" s="169">
        <v>-4.0999999999999996</v>
      </c>
      <c r="K86" s="169">
        <v>-1.2</v>
      </c>
      <c r="L86" s="162">
        <f t="shared" si="22"/>
        <v>1.4499999999999997</v>
      </c>
      <c r="N86" s="160">
        <v>5</v>
      </c>
      <c r="O86" s="172">
        <v>1000</v>
      </c>
      <c r="P86" s="170">
        <v>-3.5</v>
      </c>
      <c r="Q86" s="170">
        <v>0.2</v>
      </c>
      <c r="R86" s="162">
        <f t="shared" si="23"/>
        <v>1.85</v>
      </c>
    </row>
    <row r="87" spans="1:21" ht="13" x14ac:dyDescent="0.25">
      <c r="A87" s="766"/>
      <c r="B87" s="160">
        <v>6</v>
      </c>
      <c r="C87" s="195">
        <v>37</v>
      </c>
      <c r="D87" s="169">
        <v>-0.1</v>
      </c>
      <c r="E87" s="169">
        <v>-0.5</v>
      </c>
      <c r="F87" s="162">
        <f t="shared" si="21"/>
        <v>0.2</v>
      </c>
      <c r="H87" s="160">
        <v>6</v>
      </c>
      <c r="I87" s="195">
        <v>80</v>
      </c>
      <c r="J87" s="169">
        <v>-4.5</v>
      </c>
      <c r="K87" s="169">
        <v>-1.2</v>
      </c>
      <c r="L87" s="162">
        <f t="shared" si="22"/>
        <v>1.65</v>
      </c>
      <c r="N87" s="160">
        <v>6</v>
      </c>
      <c r="O87" s="172">
        <v>1005</v>
      </c>
      <c r="P87" s="170">
        <v>-3.4</v>
      </c>
      <c r="Q87" s="170">
        <v>0.2</v>
      </c>
      <c r="R87" s="162">
        <f t="shared" si="23"/>
        <v>1.8</v>
      </c>
    </row>
    <row r="88" spans="1:21" ht="13.5" thickBot="1" x14ac:dyDescent="0.3">
      <c r="A88" s="767"/>
      <c r="B88" s="173">
        <v>7</v>
      </c>
      <c r="C88" s="196">
        <v>40</v>
      </c>
      <c r="D88" s="174">
        <v>0</v>
      </c>
      <c r="E88" s="174">
        <v>-0.4</v>
      </c>
      <c r="F88" s="176">
        <f t="shared" si="21"/>
        <v>0.2</v>
      </c>
      <c r="G88" s="177"/>
      <c r="H88" s="173">
        <v>7</v>
      </c>
      <c r="I88" s="196">
        <v>90</v>
      </c>
      <c r="J88" s="174">
        <v>-4.9000000000000004</v>
      </c>
      <c r="K88" s="174">
        <v>-1.3</v>
      </c>
      <c r="L88" s="176">
        <f t="shared" si="22"/>
        <v>1.8000000000000003</v>
      </c>
      <c r="M88" s="177"/>
      <c r="N88" s="173">
        <v>7</v>
      </c>
      <c r="O88" s="178">
        <v>1020</v>
      </c>
      <c r="P88" s="197">
        <v>-3.4</v>
      </c>
      <c r="Q88" s="197">
        <v>0</v>
      </c>
      <c r="R88" s="176">
        <f t="shared" si="23"/>
        <v>1.7</v>
      </c>
    </row>
    <row r="89" spans="1:21" ht="13.5" thickBot="1" x14ac:dyDescent="0.35">
      <c r="A89" s="188"/>
      <c r="B89" s="189"/>
      <c r="C89" s="189"/>
      <c r="D89" s="189"/>
      <c r="E89" s="190"/>
      <c r="F89" s="198"/>
      <c r="G89" s="133"/>
      <c r="H89" s="189"/>
      <c r="I89" s="189"/>
      <c r="J89" s="189"/>
      <c r="K89" s="190"/>
      <c r="L89" s="198"/>
      <c r="O89" s="155"/>
      <c r="P89" s="181"/>
    </row>
    <row r="90" spans="1:21" ht="13" thickBot="1" x14ac:dyDescent="0.3">
      <c r="A90" s="765">
        <v>9</v>
      </c>
      <c r="B90" s="768" t="s">
        <v>19</v>
      </c>
      <c r="C90" s="769"/>
      <c r="D90" s="769"/>
      <c r="E90" s="769"/>
      <c r="F90" s="770"/>
      <c r="G90" s="155"/>
      <c r="H90" s="768" t="str">
        <f>B90</f>
        <v>KOREKSI GREISINGER 34904091</v>
      </c>
      <c r="I90" s="769"/>
      <c r="J90" s="769"/>
      <c r="K90" s="769"/>
      <c r="L90" s="770"/>
      <c r="M90" s="155"/>
      <c r="N90" s="768" t="str">
        <f>H90</f>
        <v>KOREKSI GREISINGER 34904091</v>
      </c>
      <c r="O90" s="769"/>
      <c r="P90" s="769"/>
      <c r="Q90" s="769"/>
      <c r="R90" s="770"/>
      <c r="T90" s="742" t="s">
        <v>12</v>
      </c>
      <c r="U90" s="743"/>
    </row>
    <row r="91" spans="1:21" ht="13.5" thickBot="1" x14ac:dyDescent="0.3">
      <c r="A91" s="766"/>
      <c r="B91" s="744" t="s">
        <v>2</v>
      </c>
      <c r="C91" s="745"/>
      <c r="D91" s="746" t="s">
        <v>3</v>
      </c>
      <c r="E91" s="747"/>
      <c r="F91" s="748" t="s">
        <v>4</v>
      </c>
      <c r="H91" s="744" t="s">
        <v>5</v>
      </c>
      <c r="I91" s="745"/>
      <c r="J91" s="746" t="s">
        <v>3</v>
      </c>
      <c r="K91" s="747"/>
      <c r="L91" s="748" t="s">
        <v>4</v>
      </c>
      <c r="N91" s="744" t="s">
        <v>6</v>
      </c>
      <c r="O91" s="745"/>
      <c r="P91" s="746" t="s">
        <v>3</v>
      </c>
      <c r="Q91" s="747"/>
      <c r="R91" s="748" t="s">
        <v>4</v>
      </c>
      <c r="T91" s="159" t="s">
        <v>2</v>
      </c>
      <c r="U91" s="156">
        <v>0.3</v>
      </c>
    </row>
    <row r="92" spans="1:21" ht="15" thickBot="1" x14ac:dyDescent="0.3">
      <c r="A92" s="766"/>
      <c r="B92" s="753" t="s">
        <v>7</v>
      </c>
      <c r="C92" s="754"/>
      <c r="D92" s="184">
        <v>2019</v>
      </c>
      <c r="E92" s="199" t="s">
        <v>10</v>
      </c>
      <c r="F92" s="749"/>
      <c r="H92" s="755" t="s">
        <v>8</v>
      </c>
      <c r="I92" s="756"/>
      <c r="J92" s="185">
        <f>D92</f>
        <v>2019</v>
      </c>
      <c r="K92" s="185" t="str">
        <f>E92</f>
        <v>-</v>
      </c>
      <c r="L92" s="749"/>
      <c r="N92" s="755" t="s">
        <v>9</v>
      </c>
      <c r="O92" s="756"/>
      <c r="P92" s="185">
        <f>J92</f>
        <v>2019</v>
      </c>
      <c r="Q92" s="185" t="str">
        <f>K92</f>
        <v>-</v>
      </c>
      <c r="R92" s="749"/>
      <c r="T92" s="159" t="s">
        <v>8</v>
      </c>
      <c r="U92" s="156">
        <v>2.4</v>
      </c>
    </row>
    <row r="93" spans="1:21" ht="13.5" thickBot="1" x14ac:dyDescent="0.3">
      <c r="A93" s="766"/>
      <c r="B93" s="160">
        <v>1</v>
      </c>
      <c r="C93" s="193">
        <v>15</v>
      </c>
      <c r="D93" s="186">
        <v>0</v>
      </c>
      <c r="E93" s="200" t="s">
        <v>10</v>
      </c>
      <c r="F93" s="187">
        <f t="shared" ref="F93:F99" si="24">0.5*(MAX(D93:E93)-MIN(D93:E93))</f>
        <v>0</v>
      </c>
      <c r="H93" s="160">
        <v>1</v>
      </c>
      <c r="I93" s="193">
        <v>30</v>
      </c>
      <c r="J93" s="186">
        <v>-1.2</v>
      </c>
      <c r="K93" s="200" t="s">
        <v>10</v>
      </c>
      <c r="L93" s="187">
        <f t="shared" ref="L93:L99" si="25">0.5*(MAX(J93:K93)-MIN(J93:K93))</f>
        <v>0</v>
      </c>
      <c r="N93" s="160">
        <v>1</v>
      </c>
      <c r="O93" s="163">
        <v>750</v>
      </c>
      <c r="P93" s="164">
        <v>0</v>
      </c>
      <c r="Q93" s="164" t="s">
        <v>10</v>
      </c>
      <c r="R93" s="187">
        <f t="shared" ref="R93:R99" si="26">0.5*(MAX(P93:Q93)-MIN(P93:Q93))</f>
        <v>0</v>
      </c>
      <c r="T93" s="165" t="s">
        <v>9</v>
      </c>
      <c r="U93" s="166">
        <v>2.2000000000000002</v>
      </c>
    </row>
    <row r="94" spans="1:21" ht="13" x14ac:dyDescent="0.25">
      <c r="A94" s="766"/>
      <c r="B94" s="160">
        <v>2</v>
      </c>
      <c r="C94" s="194">
        <v>20</v>
      </c>
      <c r="D94" s="186">
        <v>-0.2</v>
      </c>
      <c r="E94" s="201" t="s">
        <v>10</v>
      </c>
      <c r="F94" s="162">
        <f t="shared" si="24"/>
        <v>0</v>
      </c>
      <c r="H94" s="160">
        <v>2</v>
      </c>
      <c r="I94" s="194">
        <v>40</v>
      </c>
      <c r="J94" s="186">
        <v>-1</v>
      </c>
      <c r="K94" s="201" t="s">
        <v>10</v>
      </c>
      <c r="L94" s="162">
        <f t="shared" si="25"/>
        <v>0</v>
      </c>
      <c r="N94" s="160">
        <v>2</v>
      </c>
      <c r="O94" s="167">
        <v>800</v>
      </c>
      <c r="P94" s="168">
        <v>0</v>
      </c>
      <c r="Q94" s="168" t="s">
        <v>10</v>
      </c>
      <c r="R94" s="162">
        <f t="shared" si="26"/>
        <v>0</v>
      </c>
    </row>
    <row r="95" spans="1:21" ht="13" x14ac:dyDescent="0.25">
      <c r="A95" s="766"/>
      <c r="B95" s="160">
        <v>3</v>
      </c>
      <c r="C95" s="194">
        <v>25</v>
      </c>
      <c r="D95" s="186">
        <v>-0.4</v>
      </c>
      <c r="E95" s="201" t="s">
        <v>10</v>
      </c>
      <c r="F95" s="162">
        <f t="shared" si="24"/>
        <v>0</v>
      </c>
      <c r="H95" s="160">
        <v>3</v>
      </c>
      <c r="I95" s="194">
        <v>50</v>
      </c>
      <c r="J95" s="186">
        <v>-0.9</v>
      </c>
      <c r="K95" s="201" t="s">
        <v>10</v>
      </c>
      <c r="L95" s="162">
        <f t="shared" si="25"/>
        <v>0</v>
      </c>
      <c r="N95" s="160">
        <v>3</v>
      </c>
      <c r="O95" s="167">
        <v>850</v>
      </c>
      <c r="P95" s="168">
        <v>0</v>
      </c>
      <c r="Q95" s="168" t="s">
        <v>10</v>
      </c>
      <c r="R95" s="162">
        <f t="shared" si="26"/>
        <v>0</v>
      </c>
    </row>
    <row r="96" spans="1:21" ht="13" x14ac:dyDescent="0.25">
      <c r="A96" s="766"/>
      <c r="B96" s="160">
        <v>4</v>
      </c>
      <c r="C96" s="195">
        <v>30</v>
      </c>
      <c r="D96" s="186">
        <v>-0.5</v>
      </c>
      <c r="E96" s="171" t="s">
        <v>10</v>
      </c>
      <c r="F96" s="162">
        <f t="shared" si="24"/>
        <v>0</v>
      </c>
      <c r="H96" s="160">
        <v>4</v>
      </c>
      <c r="I96" s="195">
        <v>60</v>
      </c>
      <c r="J96" s="186">
        <v>-0.8</v>
      </c>
      <c r="K96" s="171" t="s">
        <v>10</v>
      </c>
      <c r="L96" s="162">
        <f t="shared" si="25"/>
        <v>0</v>
      </c>
      <c r="N96" s="160">
        <v>4</v>
      </c>
      <c r="O96" s="172">
        <v>900</v>
      </c>
      <c r="P96" s="170">
        <v>0</v>
      </c>
      <c r="Q96" s="170" t="s">
        <v>10</v>
      </c>
      <c r="R96" s="162">
        <f t="shared" si="26"/>
        <v>0</v>
      </c>
    </row>
    <row r="97" spans="1:21" ht="13" x14ac:dyDescent="0.25">
      <c r="A97" s="766"/>
      <c r="B97" s="160">
        <v>5</v>
      </c>
      <c r="C97" s="195">
        <v>35</v>
      </c>
      <c r="D97" s="186">
        <v>-0.5</v>
      </c>
      <c r="E97" s="171" t="s">
        <v>10</v>
      </c>
      <c r="F97" s="162">
        <f t="shared" si="24"/>
        <v>0</v>
      </c>
      <c r="H97" s="160">
        <v>5</v>
      </c>
      <c r="I97" s="195">
        <v>70</v>
      </c>
      <c r="J97" s="186">
        <v>-0.6</v>
      </c>
      <c r="K97" s="171" t="s">
        <v>10</v>
      </c>
      <c r="L97" s="162">
        <f t="shared" si="25"/>
        <v>0</v>
      </c>
      <c r="N97" s="160">
        <v>5</v>
      </c>
      <c r="O97" s="172">
        <v>1000</v>
      </c>
      <c r="P97" s="170">
        <v>0.2</v>
      </c>
      <c r="Q97" s="170" t="s">
        <v>10</v>
      </c>
      <c r="R97" s="162">
        <f t="shared" si="26"/>
        <v>0</v>
      </c>
    </row>
    <row r="98" spans="1:21" ht="13" x14ac:dyDescent="0.25">
      <c r="A98" s="766"/>
      <c r="B98" s="160">
        <v>6</v>
      </c>
      <c r="C98" s="195">
        <v>37</v>
      </c>
      <c r="D98" s="186">
        <v>-0.5</v>
      </c>
      <c r="E98" s="171" t="s">
        <v>10</v>
      </c>
      <c r="F98" s="162">
        <f t="shared" si="24"/>
        <v>0</v>
      </c>
      <c r="H98" s="160">
        <v>6</v>
      </c>
      <c r="I98" s="195">
        <v>80</v>
      </c>
      <c r="J98" s="186">
        <v>-0.5</v>
      </c>
      <c r="K98" s="171" t="s">
        <v>10</v>
      </c>
      <c r="L98" s="162">
        <f t="shared" si="25"/>
        <v>0</v>
      </c>
      <c r="N98" s="160">
        <v>6</v>
      </c>
      <c r="O98" s="172">
        <v>1005</v>
      </c>
      <c r="P98" s="170">
        <v>0.2</v>
      </c>
      <c r="Q98" s="170" t="s">
        <v>10</v>
      </c>
      <c r="R98" s="162">
        <f t="shared" si="26"/>
        <v>0</v>
      </c>
    </row>
    <row r="99" spans="1:21" ht="13.5" thickBot="1" x14ac:dyDescent="0.3">
      <c r="A99" s="767"/>
      <c r="B99" s="173">
        <v>7</v>
      </c>
      <c r="C99" s="196">
        <v>40</v>
      </c>
      <c r="D99" s="202">
        <v>-0.4</v>
      </c>
      <c r="E99" s="175" t="s">
        <v>10</v>
      </c>
      <c r="F99" s="176">
        <f t="shared" si="24"/>
        <v>0</v>
      </c>
      <c r="G99" s="177"/>
      <c r="H99" s="173">
        <v>7</v>
      </c>
      <c r="I99" s="196">
        <v>90</v>
      </c>
      <c r="J99" s="202">
        <v>-0.2</v>
      </c>
      <c r="K99" s="175" t="s">
        <v>10</v>
      </c>
      <c r="L99" s="176">
        <f t="shared" si="25"/>
        <v>0</v>
      </c>
      <c r="M99" s="177"/>
      <c r="N99" s="173">
        <v>7</v>
      </c>
      <c r="O99" s="178">
        <v>1020</v>
      </c>
      <c r="P99" s="197">
        <v>0</v>
      </c>
      <c r="Q99" s="197" t="s">
        <v>10</v>
      </c>
      <c r="R99" s="176">
        <f t="shared" si="26"/>
        <v>0</v>
      </c>
    </row>
    <row r="100" spans="1:21" ht="13.5" thickBot="1" x14ac:dyDescent="0.35">
      <c r="A100" s="188"/>
      <c r="B100" s="189"/>
      <c r="C100" s="189"/>
      <c r="D100" s="189"/>
      <c r="E100" s="190"/>
      <c r="F100" s="198"/>
      <c r="G100" s="133"/>
      <c r="H100" s="189"/>
      <c r="I100" s="189"/>
      <c r="J100" s="189"/>
      <c r="K100" s="190"/>
      <c r="L100" s="198"/>
      <c r="M100" s="133"/>
      <c r="O100" s="155"/>
      <c r="P100" s="181"/>
    </row>
    <row r="101" spans="1:21" ht="13" thickBot="1" x14ac:dyDescent="0.3">
      <c r="A101" s="765">
        <v>10</v>
      </c>
      <c r="B101" s="768" t="s">
        <v>20</v>
      </c>
      <c r="C101" s="769"/>
      <c r="D101" s="769"/>
      <c r="E101" s="769"/>
      <c r="F101" s="770"/>
      <c r="G101" s="155"/>
      <c r="H101" s="771" t="str">
        <f>B101</f>
        <v>KOREKSI Sekonic HE-21.000669</v>
      </c>
      <c r="I101" s="772"/>
      <c r="J101" s="772"/>
      <c r="K101" s="772"/>
      <c r="L101" s="773"/>
      <c r="M101" s="155"/>
      <c r="N101" s="771" t="str">
        <f>H101</f>
        <v>KOREKSI Sekonic HE-21.000669</v>
      </c>
      <c r="O101" s="772"/>
      <c r="P101" s="772"/>
      <c r="Q101" s="772"/>
      <c r="R101" s="773"/>
      <c r="T101" s="742" t="s">
        <v>12</v>
      </c>
      <c r="U101" s="743"/>
    </row>
    <row r="102" spans="1:21" ht="13.5" thickBot="1" x14ac:dyDescent="0.3">
      <c r="A102" s="766"/>
      <c r="B102" s="744" t="s">
        <v>2</v>
      </c>
      <c r="C102" s="745"/>
      <c r="D102" s="746" t="s">
        <v>3</v>
      </c>
      <c r="E102" s="747"/>
      <c r="F102" s="748" t="s">
        <v>4</v>
      </c>
      <c r="H102" s="744" t="s">
        <v>5</v>
      </c>
      <c r="I102" s="745"/>
      <c r="J102" s="746" t="s">
        <v>3</v>
      </c>
      <c r="K102" s="747"/>
      <c r="L102" s="748" t="s">
        <v>4</v>
      </c>
      <c r="N102" s="744" t="s">
        <v>6</v>
      </c>
      <c r="O102" s="745"/>
      <c r="P102" s="746" t="s">
        <v>3</v>
      </c>
      <c r="Q102" s="747"/>
      <c r="R102" s="748" t="s">
        <v>4</v>
      </c>
      <c r="T102" s="159" t="s">
        <v>2</v>
      </c>
      <c r="U102" s="156">
        <v>0.3</v>
      </c>
    </row>
    <row r="103" spans="1:21" ht="15" thickBot="1" x14ac:dyDescent="0.3">
      <c r="A103" s="766"/>
      <c r="B103" s="753" t="s">
        <v>7</v>
      </c>
      <c r="C103" s="754"/>
      <c r="D103" s="184">
        <v>2019</v>
      </c>
      <c r="E103" s="184">
        <v>2016</v>
      </c>
      <c r="F103" s="749"/>
      <c r="H103" s="755" t="s">
        <v>8</v>
      </c>
      <c r="I103" s="756"/>
      <c r="J103" s="185">
        <f>D103</f>
        <v>2019</v>
      </c>
      <c r="K103" s="185">
        <f>E103</f>
        <v>2016</v>
      </c>
      <c r="L103" s="749"/>
      <c r="N103" s="755" t="s">
        <v>9</v>
      </c>
      <c r="O103" s="756"/>
      <c r="P103" s="185">
        <f>J103</f>
        <v>2019</v>
      </c>
      <c r="Q103" s="185">
        <f>K103</f>
        <v>2016</v>
      </c>
      <c r="R103" s="749"/>
      <c r="T103" s="159" t="s">
        <v>8</v>
      </c>
      <c r="U103" s="156">
        <v>1.5</v>
      </c>
    </row>
    <row r="104" spans="1:21" ht="13.5" thickBot="1" x14ac:dyDescent="0.3">
      <c r="A104" s="766"/>
      <c r="B104" s="160">
        <v>1</v>
      </c>
      <c r="C104" s="193">
        <v>15</v>
      </c>
      <c r="D104" s="186">
        <v>0.2</v>
      </c>
      <c r="E104" s="186">
        <v>0.2</v>
      </c>
      <c r="F104" s="187">
        <f t="shared" ref="F104:F110" si="27">0.5*(MAX(D104:E104)-MIN(D104:E104))</f>
        <v>0</v>
      </c>
      <c r="H104" s="160">
        <v>1</v>
      </c>
      <c r="I104" s="193">
        <v>30</v>
      </c>
      <c r="J104" s="186">
        <v>-2.9</v>
      </c>
      <c r="K104" s="186">
        <v>-5.8</v>
      </c>
      <c r="L104" s="187">
        <f t="shared" ref="L104:L110" si="28">0.5*(MAX(J104:K104)-MIN(J104:K104))</f>
        <v>1.45</v>
      </c>
      <c r="N104" s="160">
        <v>1</v>
      </c>
      <c r="O104" s="163">
        <v>750</v>
      </c>
      <c r="P104" s="164" t="s">
        <v>10</v>
      </c>
      <c r="Q104" s="164" t="s">
        <v>10</v>
      </c>
      <c r="R104" s="187">
        <f t="shared" ref="R104:R110" si="29">0.5*(MAX(P104:Q104)-MIN(P104:Q104))</f>
        <v>0</v>
      </c>
      <c r="T104" s="165" t="s">
        <v>9</v>
      </c>
      <c r="U104" s="166">
        <v>0</v>
      </c>
    </row>
    <row r="105" spans="1:21" ht="13" x14ac:dyDescent="0.25">
      <c r="A105" s="766"/>
      <c r="B105" s="160">
        <v>2</v>
      </c>
      <c r="C105" s="194">
        <v>20</v>
      </c>
      <c r="D105" s="161">
        <v>0.2</v>
      </c>
      <c r="E105" s="161">
        <v>-0.7</v>
      </c>
      <c r="F105" s="162">
        <f t="shared" si="27"/>
        <v>0.44999999999999996</v>
      </c>
      <c r="H105" s="160">
        <v>2</v>
      </c>
      <c r="I105" s="194">
        <v>40</v>
      </c>
      <c r="J105" s="161">
        <v>-3.3</v>
      </c>
      <c r="K105" s="161">
        <v>-6.4</v>
      </c>
      <c r="L105" s="162">
        <f t="shared" si="28"/>
        <v>1.5500000000000003</v>
      </c>
      <c r="N105" s="160">
        <v>2</v>
      </c>
      <c r="O105" s="167">
        <v>800</v>
      </c>
      <c r="P105" s="168" t="s">
        <v>10</v>
      </c>
      <c r="Q105" s="168" t="s">
        <v>10</v>
      </c>
      <c r="R105" s="162">
        <f t="shared" si="29"/>
        <v>0</v>
      </c>
    </row>
    <row r="106" spans="1:21" ht="13" x14ac:dyDescent="0.25">
      <c r="A106" s="766"/>
      <c r="B106" s="160">
        <v>3</v>
      </c>
      <c r="C106" s="194">
        <v>25</v>
      </c>
      <c r="D106" s="161">
        <v>0.1</v>
      </c>
      <c r="E106" s="161">
        <v>-0.5</v>
      </c>
      <c r="F106" s="162">
        <f t="shared" si="27"/>
        <v>0.3</v>
      </c>
      <c r="H106" s="160">
        <v>3</v>
      </c>
      <c r="I106" s="194">
        <v>50</v>
      </c>
      <c r="J106" s="161">
        <v>-3.1</v>
      </c>
      <c r="K106" s="161">
        <v>-6.1</v>
      </c>
      <c r="L106" s="162">
        <f t="shared" si="28"/>
        <v>1.4999999999999998</v>
      </c>
      <c r="N106" s="160">
        <v>3</v>
      </c>
      <c r="O106" s="167">
        <v>850</v>
      </c>
      <c r="P106" s="168" t="s">
        <v>10</v>
      </c>
      <c r="Q106" s="168" t="s">
        <v>10</v>
      </c>
      <c r="R106" s="162">
        <f t="shared" si="29"/>
        <v>0</v>
      </c>
    </row>
    <row r="107" spans="1:21" ht="13" x14ac:dyDescent="0.25">
      <c r="A107" s="766"/>
      <c r="B107" s="160">
        <v>4</v>
      </c>
      <c r="C107" s="195">
        <v>30</v>
      </c>
      <c r="D107" s="169">
        <v>0.1</v>
      </c>
      <c r="E107" s="169">
        <v>0.2</v>
      </c>
      <c r="F107" s="162">
        <f t="shared" si="27"/>
        <v>0.05</v>
      </c>
      <c r="H107" s="160">
        <v>4</v>
      </c>
      <c r="I107" s="195">
        <v>60</v>
      </c>
      <c r="J107" s="169">
        <v>-2.1</v>
      </c>
      <c r="K107" s="169">
        <v>-5.6</v>
      </c>
      <c r="L107" s="162">
        <f t="shared" si="28"/>
        <v>1.7499999999999998</v>
      </c>
      <c r="N107" s="160">
        <v>4</v>
      </c>
      <c r="O107" s="172">
        <v>900</v>
      </c>
      <c r="P107" s="170" t="s">
        <v>10</v>
      </c>
      <c r="Q107" s="170" t="s">
        <v>10</v>
      </c>
      <c r="R107" s="162">
        <f t="shared" si="29"/>
        <v>0</v>
      </c>
    </row>
    <row r="108" spans="1:21" ht="13" x14ac:dyDescent="0.25">
      <c r="A108" s="766"/>
      <c r="B108" s="160">
        <v>5</v>
      </c>
      <c r="C108" s="195">
        <v>35</v>
      </c>
      <c r="D108" s="169">
        <v>0.2</v>
      </c>
      <c r="E108" s="169">
        <v>0.8</v>
      </c>
      <c r="F108" s="162">
        <f t="shared" si="27"/>
        <v>0.30000000000000004</v>
      </c>
      <c r="H108" s="160">
        <v>5</v>
      </c>
      <c r="I108" s="195">
        <v>70</v>
      </c>
      <c r="J108" s="169">
        <v>-0.3</v>
      </c>
      <c r="K108" s="169">
        <v>-5.0999999999999996</v>
      </c>
      <c r="L108" s="162">
        <f t="shared" si="28"/>
        <v>2.4</v>
      </c>
      <c r="N108" s="160">
        <v>5</v>
      </c>
      <c r="O108" s="172">
        <v>1000</v>
      </c>
      <c r="P108" s="170" t="s">
        <v>10</v>
      </c>
      <c r="Q108" s="170" t="s">
        <v>10</v>
      </c>
      <c r="R108" s="162">
        <f t="shared" si="29"/>
        <v>0</v>
      </c>
    </row>
    <row r="109" spans="1:21" ht="13" x14ac:dyDescent="0.25">
      <c r="A109" s="766"/>
      <c r="B109" s="160">
        <v>6</v>
      </c>
      <c r="C109" s="195">
        <v>37</v>
      </c>
      <c r="D109" s="169">
        <v>0.2</v>
      </c>
      <c r="E109" s="169">
        <v>0.4</v>
      </c>
      <c r="F109" s="162">
        <f t="shared" si="27"/>
        <v>0.1</v>
      </c>
      <c r="H109" s="160">
        <v>6</v>
      </c>
      <c r="I109" s="195">
        <v>80</v>
      </c>
      <c r="J109" s="169">
        <v>2.2000000000000002</v>
      </c>
      <c r="K109" s="169">
        <v>-4.7</v>
      </c>
      <c r="L109" s="162">
        <f t="shared" si="28"/>
        <v>3.45</v>
      </c>
      <c r="N109" s="160">
        <v>6</v>
      </c>
      <c r="O109" s="172">
        <v>1005</v>
      </c>
      <c r="P109" s="170" t="s">
        <v>10</v>
      </c>
      <c r="Q109" s="170" t="s">
        <v>10</v>
      </c>
      <c r="R109" s="162">
        <f t="shared" si="29"/>
        <v>0</v>
      </c>
    </row>
    <row r="110" spans="1:21" ht="13.5" thickBot="1" x14ac:dyDescent="0.3">
      <c r="A110" s="767"/>
      <c r="B110" s="173">
        <v>7</v>
      </c>
      <c r="C110" s="196">
        <v>40</v>
      </c>
      <c r="D110" s="203">
        <v>0.2</v>
      </c>
      <c r="E110" s="203">
        <v>0</v>
      </c>
      <c r="F110" s="176">
        <f t="shared" si="27"/>
        <v>0.1</v>
      </c>
      <c r="G110" s="177"/>
      <c r="H110" s="173">
        <v>7</v>
      </c>
      <c r="I110" s="196">
        <v>90</v>
      </c>
      <c r="J110" s="178">
        <v>5.4</v>
      </c>
      <c r="K110" s="178">
        <v>0</v>
      </c>
      <c r="L110" s="176">
        <f t="shared" si="28"/>
        <v>2.7</v>
      </c>
      <c r="M110" s="177"/>
      <c r="N110" s="173">
        <v>7</v>
      </c>
      <c r="O110" s="178">
        <v>1020</v>
      </c>
      <c r="P110" s="197" t="s">
        <v>10</v>
      </c>
      <c r="Q110" s="197" t="s">
        <v>10</v>
      </c>
      <c r="R110" s="176">
        <f t="shared" si="29"/>
        <v>0</v>
      </c>
    </row>
    <row r="111" spans="1:21" ht="13.5" thickBot="1" x14ac:dyDescent="0.35">
      <c r="A111" s="188"/>
      <c r="B111" s="189"/>
      <c r="C111" s="189"/>
      <c r="D111" s="189"/>
      <c r="E111" s="190"/>
      <c r="F111" s="198"/>
      <c r="G111" s="133"/>
      <c r="H111" s="189"/>
      <c r="I111" s="189"/>
      <c r="J111" s="189"/>
      <c r="K111" s="190"/>
      <c r="L111" s="198"/>
      <c r="M111" s="133"/>
      <c r="O111" s="155"/>
      <c r="P111" s="181"/>
    </row>
    <row r="112" spans="1:21" ht="13" thickBot="1" x14ac:dyDescent="0.3">
      <c r="A112" s="765">
        <v>11</v>
      </c>
      <c r="B112" s="768" t="s">
        <v>21</v>
      </c>
      <c r="C112" s="769"/>
      <c r="D112" s="769"/>
      <c r="E112" s="769"/>
      <c r="F112" s="770"/>
      <c r="G112" s="155"/>
      <c r="H112" s="771" t="str">
        <f>B112</f>
        <v>KOREKSI Sekonic HE-21.000670</v>
      </c>
      <c r="I112" s="772"/>
      <c r="J112" s="772"/>
      <c r="K112" s="772"/>
      <c r="L112" s="773"/>
      <c r="M112" s="155"/>
      <c r="N112" s="771" t="str">
        <f>H112</f>
        <v>KOREKSI Sekonic HE-21.000670</v>
      </c>
      <c r="O112" s="772"/>
      <c r="P112" s="772"/>
      <c r="Q112" s="772"/>
      <c r="R112" s="773"/>
      <c r="T112" s="742" t="s">
        <v>12</v>
      </c>
      <c r="U112" s="743"/>
    </row>
    <row r="113" spans="1:21" ht="13.5" thickBot="1" x14ac:dyDescent="0.3">
      <c r="A113" s="766"/>
      <c r="B113" s="744" t="s">
        <v>2</v>
      </c>
      <c r="C113" s="745"/>
      <c r="D113" s="746" t="s">
        <v>3</v>
      </c>
      <c r="E113" s="747"/>
      <c r="F113" s="748" t="s">
        <v>4</v>
      </c>
      <c r="H113" s="744" t="s">
        <v>5</v>
      </c>
      <c r="I113" s="745"/>
      <c r="J113" s="746" t="s">
        <v>3</v>
      </c>
      <c r="K113" s="747"/>
      <c r="L113" s="748" t="s">
        <v>4</v>
      </c>
      <c r="N113" s="744" t="s">
        <v>6</v>
      </c>
      <c r="O113" s="745"/>
      <c r="P113" s="746" t="s">
        <v>3</v>
      </c>
      <c r="Q113" s="747"/>
      <c r="R113" s="748" t="s">
        <v>4</v>
      </c>
      <c r="T113" s="159" t="s">
        <v>2</v>
      </c>
      <c r="U113" s="156">
        <v>0.3</v>
      </c>
    </row>
    <row r="114" spans="1:21" ht="15" thickBot="1" x14ac:dyDescent="0.3">
      <c r="A114" s="766"/>
      <c r="B114" s="753" t="s">
        <v>7</v>
      </c>
      <c r="C114" s="754"/>
      <c r="D114" s="184">
        <v>2020</v>
      </c>
      <c r="E114" s="199">
        <v>2016</v>
      </c>
      <c r="F114" s="749"/>
      <c r="H114" s="755" t="s">
        <v>8</v>
      </c>
      <c r="I114" s="756"/>
      <c r="J114" s="185">
        <f>D114</f>
        <v>2020</v>
      </c>
      <c r="K114" s="185">
        <f>E114</f>
        <v>2016</v>
      </c>
      <c r="L114" s="749"/>
      <c r="N114" s="755" t="s">
        <v>9</v>
      </c>
      <c r="O114" s="756"/>
      <c r="P114" s="185">
        <f>J114</f>
        <v>2020</v>
      </c>
      <c r="Q114" s="185">
        <f>K114</f>
        <v>2016</v>
      </c>
      <c r="R114" s="749"/>
      <c r="T114" s="159" t="s">
        <v>8</v>
      </c>
      <c r="U114" s="156">
        <v>1.8</v>
      </c>
    </row>
    <row r="115" spans="1:21" ht="13.5" thickBot="1" x14ac:dyDescent="0.3">
      <c r="A115" s="766"/>
      <c r="B115" s="160">
        <v>1</v>
      </c>
      <c r="C115" s="163">
        <v>15</v>
      </c>
      <c r="D115" s="186">
        <v>0.3</v>
      </c>
      <c r="E115" s="186">
        <v>0.3</v>
      </c>
      <c r="F115" s="187">
        <f t="shared" ref="F115:F121" si="30">0.5*(MAX(D115:E115)-MIN(D115:E115))</f>
        <v>0</v>
      </c>
      <c r="H115" s="160">
        <v>1</v>
      </c>
      <c r="I115" s="163">
        <v>30</v>
      </c>
      <c r="J115" s="186">
        <v>-5.2</v>
      </c>
      <c r="K115" s="186">
        <v>-6.4</v>
      </c>
      <c r="L115" s="187">
        <f t="shared" ref="L115:L121" si="31">0.5*(MAX(J115:K115)-MIN(J115:K115))</f>
        <v>0.60000000000000009</v>
      </c>
      <c r="N115" s="160">
        <v>1</v>
      </c>
      <c r="O115" s="163">
        <v>750</v>
      </c>
      <c r="P115" s="164" t="s">
        <v>10</v>
      </c>
      <c r="Q115" s="200" t="s">
        <v>10</v>
      </c>
      <c r="R115" s="187">
        <f t="shared" ref="R115:R121" si="32">0.5*(MAX(P115:Q115)-MIN(P115:Q115))</f>
        <v>0</v>
      </c>
      <c r="T115" s="165" t="s">
        <v>9</v>
      </c>
      <c r="U115" s="166">
        <v>0</v>
      </c>
    </row>
    <row r="116" spans="1:21" ht="13" x14ac:dyDescent="0.25">
      <c r="A116" s="766"/>
      <c r="B116" s="160">
        <v>2</v>
      </c>
      <c r="C116" s="167">
        <v>20</v>
      </c>
      <c r="D116" s="161">
        <v>0.4</v>
      </c>
      <c r="E116" s="161">
        <v>0.5</v>
      </c>
      <c r="F116" s="162">
        <f t="shared" si="30"/>
        <v>4.9999999999999989E-2</v>
      </c>
      <c r="H116" s="160">
        <v>2</v>
      </c>
      <c r="I116" s="167">
        <v>40</v>
      </c>
      <c r="J116" s="161">
        <v>-5.5</v>
      </c>
      <c r="K116" s="161">
        <v>-5.9</v>
      </c>
      <c r="L116" s="162">
        <f t="shared" si="31"/>
        <v>0.20000000000000018</v>
      </c>
      <c r="N116" s="160">
        <v>2</v>
      </c>
      <c r="O116" s="167">
        <v>800</v>
      </c>
      <c r="P116" s="168" t="s">
        <v>10</v>
      </c>
      <c r="Q116" s="201" t="s">
        <v>10</v>
      </c>
      <c r="R116" s="162">
        <f t="shared" si="32"/>
        <v>0</v>
      </c>
    </row>
    <row r="117" spans="1:21" ht="13" x14ac:dyDescent="0.25">
      <c r="A117" s="766"/>
      <c r="B117" s="160">
        <v>3</v>
      </c>
      <c r="C117" s="167">
        <v>25</v>
      </c>
      <c r="D117" s="161">
        <v>0.4</v>
      </c>
      <c r="E117" s="161">
        <v>0.5</v>
      </c>
      <c r="F117" s="162">
        <f t="shared" si="30"/>
        <v>4.9999999999999989E-2</v>
      </c>
      <c r="H117" s="160">
        <v>3</v>
      </c>
      <c r="I117" s="167">
        <v>50</v>
      </c>
      <c r="J117" s="161">
        <v>-5.5</v>
      </c>
      <c r="K117" s="161">
        <v>-5.6</v>
      </c>
      <c r="L117" s="162">
        <f t="shared" si="31"/>
        <v>4.9999999999999822E-2</v>
      </c>
      <c r="N117" s="160">
        <v>3</v>
      </c>
      <c r="O117" s="167">
        <v>850</v>
      </c>
      <c r="P117" s="168" t="s">
        <v>10</v>
      </c>
      <c r="Q117" s="201" t="s">
        <v>10</v>
      </c>
      <c r="R117" s="162">
        <f t="shared" si="32"/>
        <v>0</v>
      </c>
    </row>
    <row r="118" spans="1:21" ht="13" x14ac:dyDescent="0.25">
      <c r="A118" s="766"/>
      <c r="B118" s="160">
        <v>4</v>
      </c>
      <c r="C118" s="172">
        <v>30</v>
      </c>
      <c r="D118" s="169">
        <v>0.5</v>
      </c>
      <c r="E118" s="169">
        <v>0.4</v>
      </c>
      <c r="F118" s="162">
        <f t="shared" si="30"/>
        <v>4.9999999999999989E-2</v>
      </c>
      <c r="H118" s="160">
        <v>4</v>
      </c>
      <c r="I118" s="172">
        <v>60</v>
      </c>
      <c r="J118" s="169">
        <v>-4.8</v>
      </c>
      <c r="K118" s="169">
        <v>-4.5</v>
      </c>
      <c r="L118" s="162">
        <f t="shared" si="31"/>
        <v>0.14999999999999991</v>
      </c>
      <c r="N118" s="160">
        <v>4</v>
      </c>
      <c r="O118" s="172">
        <v>900</v>
      </c>
      <c r="P118" s="170" t="s">
        <v>10</v>
      </c>
      <c r="Q118" s="171" t="s">
        <v>10</v>
      </c>
      <c r="R118" s="162">
        <f t="shared" si="32"/>
        <v>0</v>
      </c>
    </row>
    <row r="119" spans="1:21" ht="13" x14ac:dyDescent="0.25">
      <c r="A119" s="766"/>
      <c r="B119" s="160">
        <v>5</v>
      </c>
      <c r="C119" s="172">
        <v>35</v>
      </c>
      <c r="D119" s="169">
        <v>0.5</v>
      </c>
      <c r="E119" s="169">
        <v>0.4</v>
      </c>
      <c r="F119" s="162">
        <f t="shared" si="30"/>
        <v>4.9999999999999989E-2</v>
      </c>
      <c r="H119" s="160">
        <v>5</v>
      </c>
      <c r="I119" s="172">
        <v>70</v>
      </c>
      <c r="J119" s="169">
        <v>-3.4</v>
      </c>
      <c r="K119" s="169">
        <v>-1.7</v>
      </c>
      <c r="L119" s="162">
        <f t="shared" si="31"/>
        <v>0.85</v>
      </c>
      <c r="N119" s="160">
        <v>5</v>
      </c>
      <c r="O119" s="172">
        <v>1000</v>
      </c>
      <c r="P119" s="170" t="s">
        <v>10</v>
      </c>
      <c r="Q119" s="171" t="s">
        <v>10</v>
      </c>
      <c r="R119" s="162">
        <f t="shared" si="32"/>
        <v>0</v>
      </c>
    </row>
    <row r="120" spans="1:21" ht="13" x14ac:dyDescent="0.25">
      <c r="A120" s="766"/>
      <c r="B120" s="160">
        <v>6</v>
      </c>
      <c r="C120" s="172">
        <v>37</v>
      </c>
      <c r="D120" s="169">
        <v>0.5</v>
      </c>
      <c r="E120" s="169">
        <v>0.5</v>
      </c>
      <c r="F120" s="162">
        <f t="shared" si="30"/>
        <v>0</v>
      </c>
      <c r="H120" s="160">
        <v>6</v>
      </c>
      <c r="I120" s="172">
        <v>80</v>
      </c>
      <c r="J120" s="169">
        <v>-1.4</v>
      </c>
      <c r="K120" s="169">
        <v>2.6</v>
      </c>
      <c r="L120" s="162">
        <f t="shared" si="31"/>
        <v>2</v>
      </c>
      <c r="N120" s="160">
        <v>6</v>
      </c>
      <c r="O120" s="172">
        <v>1005</v>
      </c>
      <c r="P120" s="170" t="s">
        <v>10</v>
      </c>
      <c r="Q120" s="171" t="s">
        <v>10</v>
      </c>
      <c r="R120" s="162">
        <f t="shared" si="32"/>
        <v>0</v>
      </c>
    </row>
    <row r="121" spans="1:21" ht="13.5" thickBot="1" x14ac:dyDescent="0.3">
      <c r="A121" s="767"/>
      <c r="B121" s="173">
        <v>7</v>
      </c>
      <c r="C121" s="178">
        <v>40</v>
      </c>
      <c r="D121" s="174">
        <v>0.5</v>
      </c>
      <c r="E121" s="174">
        <v>0</v>
      </c>
      <c r="F121" s="176">
        <f t="shared" si="30"/>
        <v>0.25</v>
      </c>
      <c r="G121" s="177"/>
      <c r="H121" s="173">
        <v>7</v>
      </c>
      <c r="I121" s="178">
        <v>90</v>
      </c>
      <c r="J121" s="174">
        <v>1.3</v>
      </c>
      <c r="K121" s="174">
        <v>0</v>
      </c>
      <c r="L121" s="176">
        <f t="shared" si="31"/>
        <v>0.65</v>
      </c>
      <c r="M121" s="177"/>
      <c r="N121" s="173">
        <v>7</v>
      </c>
      <c r="O121" s="178">
        <v>1020</v>
      </c>
      <c r="P121" s="179" t="s">
        <v>10</v>
      </c>
      <c r="Q121" s="175" t="s">
        <v>10</v>
      </c>
      <c r="R121" s="176">
        <f t="shared" si="32"/>
        <v>0</v>
      </c>
    </row>
    <row r="122" spans="1:21" ht="13.5" thickBot="1" x14ac:dyDescent="0.35">
      <c r="A122" s="188"/>
      <c r="B122" s="189"/>
      <c r="C122" s="189"/>
      <c r="D122" s="189"/>
      <c r="E122" s="190"/>
      <c r="F122" s="198"/>
      <c r="G122" s="133"/>
      <c r="H122" s="189"/>
      <c r="I122" s="189"/>
      <c r="J122" s="189"/>
      <c r="K122" s="190"/>
      <c r="L122" s="198"/>
      <c r="O122" s="155"/>
      <c r="P122" s="181"/>
    </row>
    <row r="123" spans="1:21" ht="13" thickBot="1" x14ac:dyDescent="0.3">
      <c r="A123" s="765">
        <v>12</v>
      </c>
      <c r="B123" s="768" t="s">
        <v>22</v>
      </c>
      <c r="C123" s="769"/>
      <c r="D123" s="769"/>
      <c r="E123" s="769"/>
      <c r="F123" s="770"/>
      <c r="G123" s="155"/>
      <c r="H123" s="768" t="str">
        <f>B123</f>
        <v>KOREKSI EXTECH A.100586</v>
      </c>
      <c r="I123" s="769"/>
      <c r="J123" s="769"/>
      <c r="K123" s="769"/>
      <c r="L123" s="770"/>
      <c r="M123" s="155"/>
      <c r="N123" s="768" t="str">
        <f>H123</f>
        <v>KOREKSI EXTECH A.100586</v>
      </c>
      <c r="O123" s="769"/>
      <c r="P123" s="769"/>
      <c r="Q123" s="769"/>
      <c r="R123" s="770"/>
      <c r="T123" s="742" t="s">
        <v>12</v>
      </c>
      <c r="U123" s="743"/>
    </row>
    <row r="124" spans="1:21" ht="13.5" thickBot="1" x14ac:dyDescent="0.3">
      <c r="A124" s="766"/>
      <c r="B124" s="744" t="s">
        <v>2</v>
      </c>
      <c r="C124" s="745"/>
      <c r="D124" s="746" t="s">
        <v>3</v>
      </c>
      <c r="E124" s="747"/>
      <c r="F124" s="748" t="s">
        <v>4</v>
      </c>
      <c r="H124" s="744" t="s">
        <v>5</v>
      </c>
      <c r="I124" s="745"/>
      <c r="J124" s="746" t="s">
        <v>3</v>
      </c>
      <c r="K124" s="747"/>
      <c r="L124" s="748" t="s">
        <v>4</v>
      </c>
      <c r="N124" s="744" t="s">
        <v>6</v>
      </c>
      <c r="O124" s="745"/>
      <c r="P124" s="746" t="s">
        <v>3</v>
      </c>
      <c r="Q124" s="747"/>
      <c r="R124" s="748" t="s">
        <v>4</v>
      </c>
      <c r="T124" s="159" t="s">
        <v>2</v>
      </c>
      <c r="U124" s="156">
        <v>0.3</v>
      </c>
    </row>
    <row r="125" spans="1:21" ht="15" thickBot="1" x14ac:dyDescent="0.3">
      <c r="A125" s="766"/>
      <c r="B125" s="753" t="s">
        <v>7</v>
      </c>
      <c r="C125" s="754"/>
      <c r="D125" s="184">
        <v>2020</v>
      </c>
      <c r="E125" s="199" t="s">
        <v>10</v>
      </c>
      <c r="F125" s="749"/>
      <c r="H125" s="755" t="s">
        <v>8</v>
      </c>
      <c r="I125" s="756"/>
      <c r="J125" s="185">
        <f>D125</f>
        <v>2020</v>
      </c>
      <c r="K125" s="185" t="str">
        <f>E125</f>
        <v>-</v>
      </c>
      <c r="L125" s="749"/>
      <c r="N125" s="755" t="s">
        <v>9</v>
      </c>
      <c r="O125" s="756"/>
      <c r="P125" s="185">
        <f>J125</f>
        <v>2020</v>
      </c>
      <c r="Q125" s="185" t="str">
        <f>K125</f>
        <v>-</v>
      </c>
      <c r="R125" s="749"/>
      <c r="T125" s="159" t="s">
        <v>8</v>
      </c>
      <c r="U125" s="156">
        <v>2</v>
      </c>
    </row>
    <row r="126" spans="1:21" ht="13.5" thickBot="1" x14ac:dyDescent="0.3">
      <c r="A126" s="766"/>
      <c r="B126" s="160">
        <v>1</v>
      </c>
      <c r="C126" s="163">
        <v>15</v>
      </c>
      <c r="D126" s="186">
        <v>0</v>
      </c>
      <c r="E126" s="200" t="s">
        <v>10</v>
      </c>
      <c r="F126" s="187">
        <f t="shared" ref="F126:F132" si="33">0.5*(MAX(D126:E126)-MIN(D126:E126))</f>
        <v>0</v>
      </c>
      <c r="H126" s="160">
        <v>1</v>
      </c>
      <c r="I126" s="163">
        <v>30</v>
      </c>
      <c r="J126" s="186">
        <v>-0.4</v>
      </c>
      <c r="K126" s="200" t="s">
        <v>10</v>
      </c>
      <c r="L126" s="187">
        <f t="shared" ref="L126:L132" si="34">0.5*(MAX(J126:K126)-MIN(J126:K126))</f>
        <v>0</v>
      </c>
      <c r="N126" s="160">
        <v>1</v>
      </c>
      <c r="O126" s="167">
        <v>800</v>
      </c>
      <c r="P126" s="168">
        <v>-0.4</v>
      </c>
      <c r="Q126" s="200" t="s">
        <v>10</v>
      </c>
      <c r="R126" s="187">
        <f t="shared" ref="R126:R132" si="35">0.5*(MAX(P126:Q126)-MIN(P126:Q126))</f>
        <v>0</v>
      </c>
      <c r="T126" s="165" t="s">
        <v>9</v>
      </c>
      <c r="U126" s="166">
        <v>2.4</v>
      </c>
    </row>
    <row r="127" spans="1:21" ht="13" x14ac:dyDescent="0.25">
      <c r="A127" s="766"/>
      <c r="B127" s="160">
        <v>2</v>
      </c>
      <c r="C127" s="167">
        <v>20</v>
      </c>
      <c r="D127" s="161">
        <v>0</v>
      </c>
      <c r="E127" s="201" t="s">
        <v>10</v>
      </c>
      <c r="F127" s="162">
        <f t="shared" si="33"/>
        <v>0</v>
      </c>
      <c r="H127" s="160">
        <v>2</v>
      </c>
      <c r="I127" s="167">
        <v>40</v>
      </c>
      <c r="J127" s="161">
        <v>-0.1</v>
      </c>
      <c r="K127" s="201" t="s">
        <v>10</v>
      </c>
      <c r="L127" s="162">
        <f t="shared" si="34"/>
        <v>0</v>
      </c>
      <c r="N127" s="160">
        <v>2</v>
      </c>
      <c r="O127" s="167">
        <v>850</v>
      </c>
      <c r="P127" s="168">
        <v>-0.5</v>
      </c>
      <c r="Q127" s="201" t="s">
        <v>10</v>
      </c>
      <c r="R127" s="162">
        <f t="shared" si="35"/>
        <v>0</v>
      </c>
    </row>
    <row r="128" spans="1:21" ht="13" x14ac:dyDescent="0.25">
      <c r="A128" s="766"/>
      <c r="B128" s="160">
        <v>3</v>
      </c>
      <c r="C128" s="167">
        <v>25</v>
      </c>
      <c r="D128" s="161">
        <v>0</v>
      </c>
      <c r="E128" s="201" t="s">
        <v>10</v>
      </c>
      <c r="F128" s="162">
        <f t="shared" si="33"/>
        <v>0</v>
      </c>
      <c r="H128" s="160">
        <v>3</v>
      </c>
      <c r="I128" s="167">
        <v>50</v>
      </c>
      <c r="J128" s="161">
        <v>0</v>
      </c>
      <c r="K128" s="201" t="s">
        <v>10</v>
      </c>
      <c r="L128" s="162">
        <f t="shared" si="34"/>
        <v>0</v>
      </c>
      <c r="N128" s="160">
        <v>3</v>
      </c>
      <c r="O128" s="172">
        <v>900</v>
      </c>
      <c r="P128" s="170">
        <v>-0.6</v>
      </c>
      <c r="Q128" s="201" t="s">
        <v>10</v>
      </c>
      <c r="R128" s="162">
        <f t="shared" si="35"/>
        <v>0</v>
      </c>
    </row>
    <row r="129" spans="1:21" ht="13" x14ac:dyDescent="0.25">
      <c r="A129" s="766"/>
      <c r="B129" s="160">
        <v>4</v>
      </c>
      <c r="C129" s="172">
        <v>30</v>
      </c>
      <c r="D129" s="169">
        <v>-0.1</v>
      </c>
      <c r="E129" s="171" t="s">
        <v>10</v>
      </c>
      <c r="F129" s="162">
        <f t="shared" si="33"/>
        <v>0</v>
      </c>
      <c r="H129" s="160">
        <v>4</v>
      </c>
      <c r="I129" s="172">
        <v>60</v>
      </c>
      <c r="J129" s="169">
        <v>0</v>
      </c>
      <c r="K129" s="171" t="s">
        <v>10</v>
      </c>
      <c r="L129" s="162">
        <f t="shared" si="34"/>
        <v>0</v>
      </c>
      <c r="N129" s="160">
        <v>4</v>
      </c>
      <c r="O129" s="172">
        <v>950</v>
      </c>
      <c r="P129" s="170">
        <v>-0.7</v>
      </c>
      <c r="Q129" s="171" t="s">
        <v>10</v>
      </c>
      <c r="R129" s="162">
        <f t="shared" si="35"/>
        <v>0</v>
      </c>
    </row>
    <row r="130" spans="1:21" ht="13" x14ac:dyDescent="0.25">
      <c r="A130" s="766"/>
      <c r="B130" s="160">
        <v>5</v>
      </c>
      <c r="C130" s="172">
        <v>35</v>
      </c>
      <c r="D130" s="169">
        <v>-0.2</v>
      </c>
      <c r="E130" s="171" t="s">
        <v>10</v>
      </c>
      <c r="F130" s="162">
        <f t="shared" si="33"/>
        <v>0</v>
      </c>
      <c r="H130" s="160">
        <v>5</v>
      </c>
      <c r="I130" s="172">
        <v>70</v>
      </c>
      <c r="J130" s="169">
        <v>-0.1</v>
      </c>
      <c r="K130" s="171" t="s">
        <v>10</v>
      </c>
      <c r="L130" s="162">
        <f t="shared" si="34"/>
        <v>0</v>
      </c>
      <c r="N130" s="160">
        <v>5</v>
      </c>
      <c r="O130" s="172">
        <v>1000</v>
      </c>
      <c r="P130" s="170">
        <v>-0.8</v>
      </c>
      <c r="Q130" s="171" t="s">
        <v>10</v>
      </c>
      <c r="R130" s="162">
        <f t="shared" si="35"/>
        <v>0</v>
      </c>
    </row>
    <row r="131" spans="1:21" ht="13.5" thickBot="1" x14ac:dyDescent="0.3">
      <c r="A131" s="766"/>
      <c r="B131" s="160">
        <v>6</v>
      </c>
      <c r="C131" s="172">
        <v>37</v>
      </c>
      <c r="D131" s="169">
        <v>-0.3</v>
      </c>
      <c r="E131" s="171" t="s">
        <v>10</v>
      </c>
      <c r="F131" s="162">
        <f t="shared" si="33"/>
        <v>0</v>
      </c>
      <c r="H131" s="160">
        <v>6</v>
      </c>
      <c r="I131" s="172">
        <v>80</v>
      </c>
      <c r="J131" s="169">
        <v>-0.5</v>
      </c>
      <c r="K131" s="171" t="s">
        <v>10</v>
      </c>
      <c r="L131" s="162">
        <f t="shared" si="34"/>
        <v>0</v>
      </c>
      <c r="N131" s="160">
        <v>6</v>
      </c>
      <c r="O131" s="178">
        <v>1005</v>
      </c>
      <c r="P131" s="179">
        <v>-0.8</v>
      </c>
      <c r="Q131" s="171" t="s">
        <v>10</v>
      </c>
      <c r="R131" s="162">
        <f t="shared" si="35"/>
        <v>0</v>
      </c>
    </row>
    <row r="132" spans="1:21" ht="13.5" thickBot="1" x14ac:dyDescent="0.3">
      <c r="A132" s="767"/>
      <c r="B132" s="173">
        <v>7</v>
      </c>
      <c r="C132" s="178">
        <v>40</v>
      </c>
      <c r="D132" s="174">
        <v>-0.4</v>
      </c>
      <c r="E132" s="175" t="s">
        <v>10</v>
      </c>
      <c r="F132" s="176">
        <f t="shared" si="33"/>
        <v>0</v>
      </c>
      <c r="G132" s="177"/>
      <c r="H132" s="173">
        <v>7</v>
      </c>
      <c r="I132" s="178">
        <v>90</v>
      </c>
      <c r="J132" s="174">
        <v>-0.9</v>
      </c>
      <c r="K132" s="175" t="s">
        <v>10</v>
      </c>
      <c r="L132" s="176">
        <f t="shared" si="34"/>
        <v>0</v>
      </c>
      <c r="M132" s="177"/>
      <c r="N132" s="173">
        <v>7</v>
      </c>
      <c r="O132" s="178">
        <v>1020</v>
      </c>
      <c r="P132" s="179">
        <v>0</v>
      </c>
      <c r="Q132" s="175" t="s">
        <v>10</v>
      </c>
      <c r="R132" s="176">
        <f t="shared" si="35"/>
        <v>0</v>
      </c>
    </row>
    <row r="133" spans="1:21" ht="13" thickBot="1" x14ac:dyDescent="0.3">
      <c r="A133" s="204"/>
      <c r="C133" s="205"/>
      <c r="D133" s="205"/>
      <c r="E133" s="206"/>
      <c r="F133" s="207"/>
      <c r="I133" s="205"/>
      <c r="J133" s="205"/>
      <c r="K133" s="206"/>
      <c r="L133" s="207"/>
      <c r="O133" s="205"/>
      <c r="P133" s="208"/>
      <c r="Q133" s="206"/>
      <c r="R133" s="207"/>
    </row>
    <row r="134" spans="1:21" ht="13" thickBot="1" x14ac:dyDescent="0.3">
      <c r="A134" s="765">
        <v>13</v>
      </c>
      <c r="B134" s="768" t="s">
        <v>23</v>
      </c>
      <c r="C134" s="769"/>
      <c r="D134" s="769"/>
      <c r="E134" s="769"/>
      <c r="F134" s="770"/>
      <c r="G134" s="155"/>
      <c r="H134" s="768" t="str">
        <f>B134</f>
        <v>KOREKSI EXTECH A.100605</v>
      </c>
      <c r="I134" s="769"/>
      <c r="J134" s="769"/>
      <c r="K134" s="769"/>
      <c r="L134" s="770"/>
      <c r="M134" s="155"/>
      <c r="N134" s="768" t="str">
        <f>H134</f>
        <v>KOREKSI EXTECH A.100605</v>
      </c>
      <c r="O134" s="769"/>
      <c r="P134" s="769"/>
      <c r="Q134" s="769"/>
      <c r="R134" s="770"/>
      <c r="T134" s="742" t="s">
        <v>12</v>
      </c>
      <c r="U134" s="743"/>
    </row>
    <row r="135" spans="1:21" ht="13.5" thickBot="1" x14ac:dyDescent="0.3">
      <c r="A135" s="766"/>
      <c r="B135" s="744" t="s">
        <v>2</v>
      </c>
      <c r="C135" s="745"/>
      <c r="D135" s="746" t="s">
        <v>3</v>
      </c>
      <c r="E135" s="747"/>
      <c r="F135" s="748" t="s">
        <v>4</v>
      </c>
      <c r="H135" s="744" t="s">
        <v>5</v>
      </c>
      <c r="I135" s="745"/>
      <c r="J135" s="746" t="s">
        <v>3</v>
      </c>
      <c r="K135" s="747"/>
      <c r="L135" s="748" t="s">
        <v>4</v>
      </c>
      <c r="N135" s="744" t="s">
        <v>6</v>
      </c>
      <c r="O135" s="745"/>
      <c r="P135" s="746" t="s">
        <v>3</v>
      </c>
      <c r="Q135" s="747"/>
      <c r="R135" s="748" t="s">
        <v>4</v>
      </c>
      <c r="T135" s="159" t="s">
        <v>2</v>
      </c>
      <c r="U135" s="156">
        <v>0.3</v>
      </c>
    </row>
    <row r="136" spans="1:21" ht="15" thickBot="1" x14ac:dyDescent="0.3">
      <c r="A136" s="766"/>
      <c r="B136" s="753" t="s">
        <v>7</v>
      </c>
      <c r="C136" s="754"/>
      <c r="D136" s="184">
        <v>2020</v>
      </c>
      <c r="E136" s="199" t="s">
        <v>10</v>
      </c>
      <c r="F136" s="749"/>
      <c r="H136" s="755" t="s">
        <v>8</v>
      </c>
      <c r="I136" s="756"/>
      <c r="J136" s="185">
        <f>D136</f>
        <v>2020</v>
      </c>
      <c r="K136" s="185" t="str">
        <f>E136</f>
        <v>-</v>
      </c>
      <c r="L136" s="749"/>
      <c r="N136" s="755" t="s">
        <v>9</v>
      </c>
      <c r="O136" s="756"/>
      <c r="P136" s="185">
        <f>J136</f>
        <v>2020</v>
      </c>
      <c r="Q136" s="185" t="str">
        <f>K136</f>
        <v>-</v>
      </c>
      <c r="R136" s="749"/>
      <c r="T136" s="159" t="s">
        <v>8</v>
      </c>
      <c r="U136" s="156">
        <v>2.7</v>
      </c>
    </row>
    <row r="137" spans="1:21" ht="13.5" thickBot="1" x14ac:dyDescent="0.3">
      <c r="A137" s="766"/>
      <c r="B137" s="160">
        <v>1</v>
      </c>
      <c r="C137" s="163">
        <v>15</v>
      </c>
      <c r="D137" s="186">
        <v>-0.7</v>
      </c>
      <c r="E137" s="200" t="s">
        <v>10</v>
      </c>
      <c r="F137" s="187">
        <f t="shared" ref="F137:F143" si="36">0.5*(MAX(D137:E137)-MIN(D137:E137))</f>
        <v>0</v>
      </c>
      <c r="H137" s="160">
        <v>1</v>
      </c>
      <c r="I137" s="163">
        <v>35</v>
      </c>
      <c r="J137" s="186">
        <v>-1.4</v>
      </c>
      <c r="K137" s="200" t="s">
        <v>10</v>
      </c>
      <c r="L137" s="187">
        <f t="shared" ref="L137:L143" si="37">0.5*(MAX(J137:K137)-MIN(J137:K137))</f>
        <v>0</v>
      </c>
      <c r="N137" s="160">
        <v>1</v>
      </c>
      <c r="O137" s="167">
        <v>960</v>
      </c>
      <c r="P137" s="168">
        <v>0.9</v>
      </c>
      <c r="Q137" s="200" t="s">
        <v>10</v>
      </c>
      <c r="R137" s="187">
        <f t="shared" ref="R137:R143" si="38">0.5*(MAX(P137:Q137)-MIN(P137:Q137))</f>
        <v>0</v>
      </c>
      <c r="T137" s="165" t="s">
        <v>9</v>
      </c>
      <c r="U137" s="166">
        <v>1.5</v>
      </c>
    </row>
    <row r="138" spans="1:21" ht="13" x14ac:dyDescent="0.25">
      <c r="A138" s="766"/>
      <c r="B138" s="160">
        <v>2</v>
      </c>
      <c r="C138" s="167">
        <v>20</v>
      </c>
      <c r="D138" s="161">
        <v>-0.4</v>
      </c>
      <c r="E138" s="201" t="s">
        <v>10</v>
      </c>
      <c r="F138" s="162">
        <f t="shared" si="36"/>
        <v>0</v>
      </c>
      <c r="H138" s="160">
        <v>2</v>
      </c>
      <c r="I138" s="167">
        <v>40</v>
      </c>
      <c r="J138" s="161">
        <v>-1.3</v>
      </c>
      <c r="K138" s="201" t="s">
        <v>10</v>
      </c>
      <c r="L138" s="162">
        <f t="shared" si="37"/>
        <v>0</v>
      </c>
      <c r="N138" s="160">
        <v>2</v>
      </c>
      <c r="O138" s="167">
        <v>970</v>
      </c>
      <c r="P138" s="168">
        <v>1</v>
      </c>
      <c r="Q138" s="201" t="s">
        <v>10</v>
      </c>
      <c r="R138" s="162">
        <f t="shared" si="38"/>
        <v>0</v>
      </c>
    </row>
    <row r="139" spans="1:21" ht="13" x14ac:dyDescent="0.25">
      <c r="A139" s="766"/>
      <c r="B139" s="160">
        <v>3</v>
      </c>
      <c r="C139" s="167">
        <v>25</v>
      </c>
      <c r="D139" s="161">
        <v>-0.2</v>
      </c>
      <c r="E139" s="201" t="s">
        <v>10</v>
      </c>
      <c r="F139" s="162">
        <f t="shared" si="36"/>
        <v>0</v>
      </c>
      <c r="H139" s="160">
        <v>3</v>
      </c>
      <c r="I139" s="167">
        <v>50</v>
      </c>
      <c r="J139" s="161">
        <v>-1.3</v>
      </c>
      <c r="K139" s="201" t="s">
        <v>10</v>
      </c>
      <c r="L139" s="162">
        <f t="shared" si="37"/>
        <v>0</v>
      </c>
      <c r="N139" s="160">
        <v>3</v>
      </c>
      <c r="O139" s="172">
        <v>980</v>
      </c>
      <c r="P139" s="170">
        <v>1</v>
      </c>
      <c r="Q139" s="201" t="s">
        <v>10</v>
      </c>
      <c r="R139" s="162">
        <f t="shared" si="38"/>
        <v>0</v>
      </c>
    </row>
    <row r="140" spans="1:21" ht="13" x14ac:dyDescent="0.25">
      <c r="A140" s="766"/>
      <c r="B140" s="160">
        <v>4</v>
      </c>
      <c r="C140" s="172">
        <v>30</v>
      </c>
      <c r="D140" s="169">
        <v>0.1</v>
      </c>
      <c r="E140" s="171" t="s">
        <v>10</v>
      </c>
      <c r="F140" s="162">
        <f t="shared" si="36"/>
        <v>0</v>
      </c>
      <c r="H140" s="160">
        <v>4</v>
      </c>
      <c r="I140" s="172">
        <v>60</v>
      </c>
      <c r="J140" s="169">
        <v>-1.5</v>
      </c>
      <c r="K140" s="171" t="s">
        <v>10</v>
      </c>
      <c r="L140" s="162">
        <f t="shared" si="37"/>
        <v>0</v>
      </c>
      <c r="N140" s="160">
        <v>4</v>
      </c>
      <c r="O140" s="172">
        <v>990</v>
      </c>
      <c r="P140" s="170">
        <v>1.1000000000000001</v>
      </c>
      <c r="Q140" s="171" t="s">
        <v>10</v>
      </c>
      <c r="R140" s="162">
        <f t="shared" si="38"/>
        <v>0</v>
      </c>
    </row>
    <row r="141" spans="1:21" ht="13" x14ac:dyDescent="0.25">
      <c r="A141" s="766"/>
      <c r="B141" s="160">
        <v>5</v>
      </c>
      <c r="C141" s="172">
        <v>35</v>
      </c>
      <c r="D141" s="169">
        <v>0.3</v>
      </c>
      <c r="E141" s="171" t="s">
        <v>10</v>
      </c>
      <c r="F141" s="162">
        <f t="shared" si="36"/>
        <v>0</v>
      </c>
      <c r="H141" s="160">
        <v>5</v>
      </c>
      <c r="I141" s="172">
        <v>70</v>
      </c>
      <c r="J141" s="169">
        <v>-1.9</v>
      </c>
      <c r="K141" s="171" t="s">
        <v>10</v>
      </c>
      <c r="L141" s="162">
        <f t="shared" si="37"/>
        <v>0</v>
      </c>
      <c r="N141" s="160">
        <v>5</v>
      </c>
      <c r="O141" s="172">
        <v>1000</v>
      </c>
      <c r="P141" s="170">
        <v>1.1000000000000001</v>
      </c>
      <c r="Q141" s="171" t="s">
        <v>10</v>
      </c>
      <c r="R141" s="162">
        <f t="shared" si="38"/>
        <v>0</v>
      </c>
    </row>
    <row r="142" spans="1:21" ht="13.5" thickBot="1" x14ac:dyDescent="0.3">
      <c r="A142" s="766"/>
      <c r="B142" s="160">
        <v>6</v>
      </c>
      <c r="C142" s="172">
        <v>37</v>
      </c>
      <c r="D142" s="169">
        <v>0.4</v>
      </c>
      <c r="E142" s="171" t="s">
        <v>10</v>
      </c>
      <c r="F142" s="162">
        <f t="shared" si="36"/>
        <v>0</v>
      </c>
      <c r="H142" s="160">
        <v>6</v>
      </c>
      <c r="I142" s="172">
        <v>80</v>
      </c>
      <c r="J142" s="169">
        <v>-2.5</v>
      </c>
      <c r="K142" s="171" t="s">
        <v>10</v>
      </c>
      <c r="L142" s="162">
        <f t="shared" si="37"/>
        <v>0</v>
      </c>
      <c r="N142" s="160">
        <v>6</v>
      </c>
      <c r="O142" s="178">
        <v>1005</v>
      </c>
      <c r="P142" s="179">
        <v>1.1000000000000001</v>
      </c>
      <c r="Q142" s="171" t="s">
        <v>10</v>
      </c>
      <c r="R142" s="162">
        <f t="shared" si="38"/>
        <v>0</v>
      </c>
    </row>
    <row r="143" spans="1:21" ht="13.5" thickBot="1" x14ac:dyDescent="0.3">
      <c r="A143" s="767"/>
      <c r="B143" s="173">
        <v>7</v>
      </c>
      <c r="C143" s="178">
        <v>40</v>
      </c>
      <c r="D143" s="174">
        <v>0.5</v>
      </c>
      <c r="E143" s="175" t="s">
        <v>10</v>
      </c>
      <c r="F143" s="176">
        <f t="shared" si="36"/>
        <v>0</v>
      </c>
      <c r="G143" s="177"/>
      <c r="H143" s="173">
        <v>7</v>
      </c>
      <c r="I143" s="178">
        <v>90</v>
      </c>
      <c r="J143" s="174">
        <v>-3.2</v>
      </c>
      <c r="K143" s="175" t="s">
        <v>10</v>
      </c>
      <c r="L143" s="176">
        <f t="shared" si="37"/>
        <v>0</v>
      </c>
      <c r="M143" s="177"/>
      <c r="N143" s="173">
        <v>7</v>
      </c>
      <c r="O143" s="178">
        <v>1020</v>
      </c>
      <c r="P143" s="179">
        <v>0</v>
      </c>
      <c r="Q143" s="175" t="s">
        <v>10</v>
      </c>
      <c r="R143" s="176">
        <f t="shared" si="38"/>
        <v>0</v>
      </c>
    </row>
    <row r="144" spans="1:21" ht="13" thickBot="1" x14ac:dyDescent="0.3">
      <c r="A144" s="204"/>
      <c r="C144" s="205"/>
      <c r="D144" s="205"/>
      <c r="E144" s="206"/>
      <c r="F144" s="207"/>
      <c r="I144" s="205"/>
      <c r="J144" s="205"/>
      <c r="K144" s="206"/>
      <c r="L144" s="207"/>
      <c r="O144" s="205"/>
      <c r="P144" s="208"/>
      <c r="Q144" s="206"/>
      <c r="R144" s="207"/>
    </row>
    <row r="145" spans="1:21" ht="13" thickBot="1" x14ac:dyDescent="0.3">
      <c r="A145" s="765">
        <v>14</v>
      </c>
      <c r="B145" s="768" t="s">
        <v>24</v>
      </c>
      <c r="C145" s="769"/>
      <c r="D145" s="769"/>
      <c r="E145" s="769"/>
      <c r="F145" s="770"/>
      <c r="G145" s="155"/>
      <c r="H145" s="768" t="str">
        <f>B145</f>
        <v>KOREKSI EXTECH A.100609</v>
      </c>
      <c r="I145" s="769"/>
      <c r="J145" s="769"/>
      <c r="K145" s="769"/>
      <c r="L145" s="770"/>
      <c r="M145" s="155"/>
      <c r="N145" s="768" t="str">
        <f>H145</f>
        <v>KOREKSI EXTECH A.100609</v>
      </c>
      <c r="O145" s="769"/>
      <c r="P145" s="769"/>
      <c r="Q145" s="769"/>
      <c r="R145" s="770"/>
      <c r="T145" s="742" t="s">
        <v>12</v>
      </c>
      <c r="U145" s="743"/>
    </row>
    <row r="146" spans="1:21" ht="13.5" thickBot="1" x14ac:dyDescent="0.3">
      <c r="A146" s="766"/>
      <c r="B146" s="744" t="s">
        <v>2</v>
      </c>
      <c r="C146" s="745"/>
      <c r="D146" s="746" t="s">
        <v>3</v>
      </c>
      <c r="E146" s="747"/>
      <c r="F146" s="748" t="s">
        <v>4</v>
      </c>
      <c r="H146" s="744" t="s">
        <v>5</v>
      </c>
      <c r="I146" s="745"/>
      <c r="J146" s="746" t="s">
        <v>3</v>
      </c>
      <c r="K146" s="747"/>
      <c r="L146" s="748" t="s">
        <v>4</v>
      </c>
      <c r="N146" s="744" t="s">
        <v>6</v>
      </c>
      <c r="O146" s="745"/>
      <c r="P146" s="746" t="s">
        <v>3</v>
      </c>
      <c r="Q146" s="747"/>
      <c r="R146" s="748" t="s">
        <v>4</v>
      </c>
      <c r="T146" s="159" t="s">
        <v>2</v>
      </c>
      <c r="U146" s="156">
        <v>0.4</v>
      </c>
    </row>
    <row r="147" spans="1:21" ht="15" thickBot="1" x14ac:dyDescent="0.3">
      <c r="A147" s="766"/>
      <c r="B147" s="753" t="s">
        <v>7</v>
      </c>
      <c r="C147" s="754"/>
      <c r="D147" s="184">
        <v>2020</v>
      </c>
      <c r="E147" s="199" t="s">
        <v>10</v>
      </c>
      <c r="F147" s="749"/>
      <c r="H147" s="755" t="s">
        <v>8</v>
      </c>
      <c r="I147" s="756"/>
      <c r="J147" s="185">
        <f>D147</f>
        <v>2020</v>
      </c>
      <c r="K147" s="185" t="str">
        <f>E147</f>
        <v>-</v>
      </c>
      <c r="L147" s="749"/>
      <c r="N147" s="755" t="s">
        <v>9</v>
      </c>
      <c r="O147" s="756"/>
      <c r="P147" s="185">
        <f>J147</f>
        <v>2020</v>
      </c>
      <c r="Q147" s="185" t="str">
        <f>K147</f>
        <v>-</v>
      </c>
      <c r="R147" s="749"/>
      <c r="T147" s="159" t="s">
        <v>8</v>
      </c>
      <c r="U147" s="156">
        <v>2.2000000000000002</v>
      </c>
    </row>
    <row r="148" spans="1:21" ht="13.5" thickBot="1" x14ac:dyDescent="0.3">
      <c r="A148" s="766"/>
      <c r="B148" s="160">
        <v>1</v>
      </c>
      <c r="C148" s="163">
        <v>15</v>
      </c>
      <c r="D148" s="186">
        <v>-0.2</v>
      </c>
      <c r="E148" s="200" t="s">
        <v>10</v>
      </c>
      <c r="F148" s="187">
        <f t="shared" ref="F148:F154" si="39">0.5*(MAX(D148:E148)-MIN(D148:E148))</f>
        <v>0</v>
      </c>
      <c r="H148" s="160">
        <v>1</v>
      </c>
      <c r="I148" s="163">
        <v>35</v>
      </c>
      <c r="J148" s="186">
        <v>0.6</v>
      </c>
      <c r="K148" s="200" t="s">
        <v>10</v>
      </c>
      <c r="L148" s="187">
        <f t="shared" ref="L148:L154" si="40">0.5*(MAX(J148:K148)-MIN(J148:K148))</f>
        <v>0</v>
      </c>
      <c r="N148" s="160">
        <v>1</v>
      </c>
      <c r="O148" s="167">
        <v>960</v>
      </c>
      <c r="P148" s="168">
        <v>0.9</v>
      </c>
      <c r="Q148" s="200" t="s">
        <v>10</v>
      </c>
      <c r="R148" s="187">
        <f t="shared" ref="R148:R154" si="41">0.5*(MAX(P148:Q148)-MIN(P148:Q148))</f>
        <v>0</v>
      </c>
      <c r="T148" s="165" t="s">
        <v>9</v>
      </c>
      <c r="U148" s="166">
        <v>1.5</v>
      </c>
    </row>
    <row r="149" spans="1:21" ht="13" x14ac:dyDescent="0.25">
      <c r="A149" s="766"/>
      <c r="B149" s="160">
        <v>2</v>
      </c>
      <c r="C149" s="167">
        <v>20</v>
      </c>
      <c r="D149" s="161">
        <v>-0.1</v>
      </c>
      <c r="E149" s="201" t="s">
        <v>10</v>
      </c>
      <c r="F149" s="162">
        <f t="shared" si="39"/>
        <v>0</v>
      </c>
      <c r="H149" s="160">
        <v>2</v>
      </c>
      <c r="I149" s="167">
        <v>40</v>
      </c>
      <c r="J149" s="161">
        <v>0.3</v>
      </c>
      <c r="K149" s="201" t="s">
        <v>10</v>
      </c>
      <c r="L149" s="162">
        <f t="shared" si="40"/>
        <v>0</v>
      </c>
      <c r="N149" s="160">
        <v>2</v>
      </c>
      <c r="O149" s="167">
        <v>970</v>
      </c>
      <c r="P149" s="168">
        <v>1</v>
      </c>
      <c r="Q149" s="201" t="s">
        <v>10</v>
      </c>
      <c r="R149" s="162">
        <f t="shared" si="41"/>
        <v>0</v>
      </c>
    </row>
    <row r="150" spans="1:21" ht="13" x14ac:dyDescent="0.25">
      <c r="A150" s="766"/>
      <c r="B150" s="160">
        <v>3</v>
      </c>
      <c r="C150" s="167">
        <v>25</v>
      </c>
      <c r="D150" s="161">
        <v>-0.1</v>
      </c>
      <c r="E150" s="201" t="s">
        <v>10</v>
      </c>
      <c r="F150" s="162">
        <f t="shared" si="39"/>
        <v>0</v>
      </c>
      <c r="H150" s="160">
        <v>3</v>
      </c>
      <c r="I150" s="167">
        <v>50</v>
      </c>
      <c r="J150" s="161">
        <v>-0.2</v>
      </c>
      <c r="K150" s="201" t="s">
        <v>10</v>
      </c>
      <c r="L150" s="162">
        <f t="shared" si="40"/>
        <v>0</v>
      </c>
      <c r="N150" s="160">
        <v>3</v>
      </c>
      <c r="O150" s="172">
        <v>980</v>
      </c>
      <c r="P150" s="170">
        <v>1</v>
      </c>
      <c r="Q150" s="201" t="s">
        <v>10</v>
      </c>
      <c r="R150" s="162">
        <f t="shared" si="41"/>
        <v>0</v>
      </c>
    </row>
    <row r="151" spans="1:21" ht="13" x14ac:dyDescent="0.25">
      <c r="A151" s="766"/>
      <c r="B151" s="160">
        <v>4</v>
      </c>
      <c r="C151" s="172">
        <v>30</v>
      </c>
      <c r="D151" s="169">
        <v>-0.3</v>
      </c>
      <c r="E151" s="171" t="s">
        <v>10</v>
      </c>
      <c r="F151" s="162">
        <f t="shared" si="39"/>
        <v>0</v>
      </c>
      <c r="H151" s="160">
        <v>4</v>
      </c>
      <c r="I151" s="172">
        <v>60</v>
      </c>
      <c r="J151" s="169">
        <v>-0.6</v>
      </c>
      <c r="K151" s="171" t="s">
        <v>10</v>
      </c>
      <c r="L151" s="162">
        <f t="shared" si="40"/>
        <v>0</v>
      </c>
      <c r="N151" s="160">
        <v>4</v>
      </c>
      <c r="O151" s="172">
        <v>990</v>
      </c>
      <c r="P151" s="170">
        <v>1.1000000000000001</v>
      </c>
      <c r="Q151" s="171" t="s">
        <v>10</v>
      </c>
      <c r="R151" s="162">
        <f t="shared" si="41"/>
        <v>0</v>
      </c>
    </row>
    <row r="152" spans="1:21" ht="13" x14ac:dyDescent="0.25">
      <c r="A152" s="766"/>
      <c r="B152" s="160">
        <v>5</v>
      </c>
      <c r="C152" s="172">
        <v>35</v>
      </c>
      <c r="D152" s="169">
        <v>-0.6</v>
      </c>
      <c r="E152" s="171" t="s">
        <v>10</v>
      </c>
      <c r="F152" s="162">
        <f t="shared" si="39"/>
        <v>0</v>
      </c>
      <c r="H152" s="160">
        <v>5</v>
      </c>
      <c r="I152" s="172">
        <v>70</v>
      </c>
      <c r="J152" s="169">
        <v>-0.8</v>
      </c>
      <c r="K152" s="171" t="s">
        <v>10</v>
      </c>
      <c r="L152" s="162">
        <f t="shared" si="40"/>
        <v>0</v>
      </c>
      <c r="N152" s="160">
        <v>5</v>
      </c>
      <c r="O152" s="172">
        <v>1000</v>
      </c>
      <c r="P152" s="170">
        <v>1.1000000000000001</v>
      </c>
      <c r="Q152" s="171" t="s">
        <v>10</v>
      </c>
      <c r="R152" s="162">
        <f t="shared" si="41"/>
        <v>0</v>
      </c>
    </row>
    <row r="153" spans="1:21" ht="13.5" thickBot="1" x14ac:dyDescent="0.3">
      <c r="A153" s="766"/>
      <c r="B153" s="160">
        <v>6</v>
      </c>
      <c r="C153" s="172">
        <v>37</v>
      </c>
      <c r="D153" s="169">
        <v>-0.8</v>
      </c>
      <c r="E153" s="171" t="s">
        <v>10</v>
      </c>
      <c r="F153" s="162">
        <f t="shared" si="39"/>
        <v>0</v>
      </c>
      <c r="H153" s="160">
        <v>6</v>
      </c>
      <c r="I153" s="172">
        <v>80</v>
      </c>
      <c r="J153" s="169">
        <v>-0.9</v>
      </c>
      <c r="K153" s="171" t="s">
        <v>10</v>
      </c>
      <c r="L153" s="162">
        <f t="shared" si="40"/>
        <v>0</v>
      </c>
      <c r="N153" s="160">
        <v>6</v>
      </c>
      <c r="O153" s="178">
        <v>1005</v>
      </c>
      <c r="P153" s="179">
        <v>1.1000000000000001</v>
      </c>
      <c r="Q153" s="171" t="s">
        <v>10</v>
      </c>
      <c r="R153" s="162">
        <f t="shared" si="41"/>
        <v>0</v>
      </c>
    </row>
    <row r="154" spans="1:21" ht="13.5" thickBot="1" x14ac:dyDescent="0.3">
      <c r="A154" s="767"/>
      <c r="B154" s="173">
        <v>7</v>
      </c>
      <c r="C154" s="178">
        <v>40</v>
      </c>
      <c r="D154" s="174">
        <v>-1.1000000000000001</v>
      </c>
      <c r="E154" s="175" t="s">
        <v>10</v>
      </c>
      <c r="F154" s="176">
        <f t="shared" si="39"/>
        <v>0</v>
      </c>
      <c r="G154" s="177"/>
      <c r="H154" s="173">
        <v>7</v>
      </c>
      <c r="I154" s="178">
        <v>90</v>
      </c>
      <c r="J154" s="174">
        <v>-0.8</v>
      </c>
      <c r="K154" s="175" t="s">
        <v>10</v>
      </c>
      <c r="L154" s="176">
        <f t="shared" si="40"/>
        <v>0</v>
      </c>
      <c r="M154" s="177"/>
      <c r="N154" s="173">
        <v>7</v>
      </c>
      <c r="O154" s="178">
        <v>1020</v>
      </c>
      <c r="P154" s="179">
        <v>0</v>
      </c>
      <c r="Q154" s="175" t="s">
        <v>10</v>
      </c>
      <c r="R154" s="176">
        <f t="shared" si="41"/>
        <v>0</v>
      </c>
    </row>
    <row r="155" spans="1:21" ht="13" thickBot="1" x14ac:dyDescent="0.3">
      <c r="A155" s="204"/>
      <c r="C155" s="205"/>
      <c r="D155" s="205"/>
      <c r="E155" s="206"/>
      <c r="F155" s="207"/>
      <c r="I155" s="205"/>
      <c r="J155" s="205"/>
      <c r="K155" s="206"/>
      <c r="L155" s="207"/>
      <c r="O155" s="205"/>
      <c r="P155" s="208"/>
      <c r="Q155" s="206"/>
      <c r="R155" s="207"/>
    </row>
    <row r="156" spans="1:21" ht="13" thickBot="1" x14ac:dyDescent="0.3">
      <c r="A156" s="765">
        <v>15</v>
      </c>
      <c r="B156" s="768" t="s">
        <v>25</v>
      </c>
      <c r="C156" s="769"/>
      <c r="D156" s="769"/>
      <c r="E156" s="769"/>
      <c r="F156" s="770"/>
      <c r="G156" s="155"/>
      <c r="H156" s="768" t="str">
        <f>B156</f>
        <v>KOREKSI EXTECH A.100611</v>
      </c>
      <c r="I156" s="769"/>
      <c r="J156" s="769"/>
      <c r="K156" s="769"/>
      <c r="L156" s="770"/>
      <c r="M156" s="155"/>
      <c r="N156" s="768" t="str">
        <f>H156</f>
        <v>KOREKSI EXTECH A.100611</v>
      </c>
      <c r="O156" s="769"/>
      <c r="P156" s="769"/>
      <c r="Q156" s="769"/>
      <c r="R156" s="770"/>
      <c r="T156" s="742" t="s">
        <v>12</v>
      </c>
      <c r="U156" s="743"/>
    </row>
    <row r="157" spans="1:21" ht="13.5" thickBot="1" x14ac:dyDescent="0.3">
      <c r="A157" s="766"/>
      <c r="B157" s="744" t="s">
        <v>2</v>
      </c>
      <c r="C157" s="745"/>
      <c r="D157" s="746" t="s">
        <v>3</v>
      </c>
      <c r="E157" s="747"/>
      <c r="F157" s="748" t="s">
        <v>4</v>
      </c>
      <c r="H157" s="744" t="s">
        <v>5</v>
      </c>
      <c r="I157" s="745"/>
      <c r="J157" s="746" t="s">
        <v>3</v>
      </c>
      <c r="K157" s="747"/>
      <c r="L157" s="748" t="s">
        <v>4</v>
      </c>
      <c r="N157" s="744" t="s">
        <v>6</v>
      </c>
      <c r="O157" s="745"/>
      <c r="P157" s="746" t="s">
        <v>3</v>
      </c>
      <c r="Q157" s="747"/>
      <c r="R157" s="748" t="s">
        <v>4</v>
      </c>
      <c r="T157" s="159" t="s">
        <v>2</v>
      </c>
      <c r="U157" s="156">
        <v>0.3</v>
      </c>
    </row>
    <row r="158" spans="1:21" ht="15" thickBot="1" x14ac:dyDescent="0.3">
      <c r="A158" s="766"/>
      <c r="B158" s="753" t="s">
        <v>7</v>
      </c>
      <c r="C158" s="754"/>
      <c r="D158" s="184">
        <v>2020</v>
      </c>
      <c r="E158" s="199" t="s">
        <v>10</v>
      </c>
      <c r="F158" s="749"/>
      <c r="H158" s="755" t="s">
        <v>8</v>
      </c>
      <c r="I158" s="756"/>
      <c r="J158" s="185">
        <f>D158</f>
        <v>2020</v>
      </c>
      <c r="K158" s="185" t="str">
        <f>E158</f>
        <v>-</v>
      </c>
      <c r="L158" s="749"/>
      <c r="N158" s="755" t="s">
        <v>9</v>
      </c>
      <c r="O158" s="756"/>
      <c r="P158" s="185">
        <f>J158</f>
        <v>2020</v>
      </c>
      <c r="Q158" s="185" t="str">
        <f>K158</f>
        <v>-</v>
      </c>
      <c r="R158" s="749"/>
      <c r="T158" s="159" t="s">
        <v>8</v>
      </c>
      <c r="U158" s="156">
        <v>2.7</v>
      </c>
    </row>
    <row r="159" spans="1:21" ht="13.5" thickBot="1" x14ac:dyDescent="0.3">
      <c r="A159" s="766"/>
      <c r="B159" s="160">
        <v>1</v>
      </c>
      <c r="C159" s="163">
        <v>15</v>
      </c>
      <c r="D159" s="186">
        <v>-0.6</v>
      </c>
      <c r="E159" s="200" t="s">
        <v>10</v>
      </c>
      <c r="F159" s="187">
        <f t="shared" ref="F159:F165" si="42">0.5*(MAX(D159:E159)-MIN(D159:E159))</f>
        <v>0</v>
      </c>
      <c r="H159" s="160">
        <v>1</v>
      </c>
      <c r="I159" s="163">
        <v>35</v>
      </c>
      <c r="J159" s="186">
        <v>-0.4</v>
      </c>
      <c r="K159" s="200" t="s">
        <v>10</v>
      </c>
      <c r="L159" s="187">
        <f t="shared" ref="L159:L165" si="43">0.5*(MAX(J159:K159)-MIN(J159:K159))</f>
        <v>0</v>
      </c>
      <c r="N159" s="160">
        <v>1</v>
      </c>
      <c r="O159" s="167">
        <v>960</v>
      </c>
      <c r="P159" s="168">
        <v>0.9</v>
      </c>
      <c r="Q159" s="200" t="s">
        <v>10</v>
      </c>
      <c r="R159" s="187">
        <f t="shared" ref="R159:R165" si="44">0.5*(MAX(P159:Q159)-MIN(P159:Q159))</f>
        <v>0</v>
      </c>
      <c r="T159" s="165" t="s">
        <v>9</v>
      </c>
      <c r="U159" s="166">
        <v>1.5</v>
      </c>
    </row>
    <row r="160" spans="1:21" ht="13" x14ac:dyDescent="0.25">
      <c r="A160" s="766"/>
      <c r="B160" s="160">
        <v>2</v>
      </c>
      <c r="C160" s="167">
        <v>20</v>
      </c>
      <c r="D160" s="161">
        <v>-0.5</v>
      </c>
      <c r="E160" s="201" t="s">
        <v>10</v>
      </c>
      <c r="F160" s="162">
        <f t="shared" si="42"/>
        <v>0</v>
      </c>
      <c r="H160" s="160">
        <v>2</v>
      </c>
      <c r="I160" s="167">
        <v>40</v>
      </c>
      <c r="J160" s="161">
        <v>-0.3</v>
      </c>
      <c r="K160" s="201" t="s">
        <v>10</v>
      </c>
      <c r="L160" s="162">
        <f t="shared" si="43"/>
        <v>0</v>
      </c>
      <c r="N160" s="160">
        <v>2</v>
      </c>
      <c r="O160" s="167">
        <v>970</v>
      </c>
      <c r="P160" s="168">
        <v>1</v>
      </c>
      <c r="Q160" s="201" t="s">
        <v>10</v>
      </c>
      <c r="R160" s="162">
        <f t="shared" si="44"/>
        <v>0</v>
      </c>
    </row>
    <row r="161" spans="1:21" ht="13" x14ac:dyDescent="0.25">
      <c r="A161" s="766"/>
      <c r="B161" s="160">
        <v>3</v>
      </c>
      <c r="C161" s="167">
        <v>25</v>
      </c>
      <c r="D161" s="161">
        <v>-0.4</v>
      </c>
      <c r="E161" s="201" t="s">
        <v>10</v>
      </c>
      <c r="F161" s="162">
        <f t="shared" si="42"/>
        <v>0</v>
      </c>
      <c r="H161" s="160">
        <v>3</v>
      </c>
      <c r="I161" s="167">
        <v>50</v>
      </c>
      <c r="J161" s="161">
        <v>-0.3</v>
      </c>
      <c r="K161" s="201" t="s">
        <v>10</v>
      </c>
      <c r="L161" s="162">
        <f t="shared" si="43"/>
        <v>0</v>
      </c>
      <c r="N161" s="160">
        <v>3</v>
      </c>
      <c r="O161" s="172">
        <v>980</v>
      </c>
      <c r="P161" s="170">
        <v>1</v>
      </c>
      <c r="Q161" s="201" t="s">
        <v>10</v>
      </c>
      <c r="R161" s="162">
        <f t="shared" si="44"/>
        <v>0</v>
      </c>
    </row>
    <row r="162" spans="1:21" ht="13" x14ac:dyDescent="0.25">
      <c r="A162" s="766"/>
      <c r="B162" s="160">
        <v>4</v>
      </c>
      <c r="C162" s="172">
        <v>30</v>
      </c>
      <c r="D162" s="169">
        <v>-0.2</v>
      </c>
      <c r="E162" s="171" t="s">
        <v>10</v>
      </c>
      <c r="F162" s="162">
        <f t="shared" si="42"/>
        <v>0</v>
      </c>
      <c r="H162" s="160">
        <v>4</v>
      </c>
      <c r="I162" s="172">
        <v>60</v>
      </c>
      <c r="J162" s="169">
        <v>-0.5</v>
      </c>
      <c r="K162" s="171" t="s">
        <v>10</v>
      </c>
      <c r="L162" s="162">
        <f t="shared" si="43"/>
        <v>0</v>
      </c>
      <c r="N162" s="160">
        <v>4</v>
      </c>
      <c r="O162" s="172">
        <v>990</v>
      </c>
      <c r="P162" s="170">
        <v>1.1000000000000001</v>
      </c>
      <c r="Q162" s="171" t="s">
        <v>10</v>
      </c>
      <c r="R162" s="162">
        <f t="shared" si="44"/>
        <v>0</v>
      </c>
    </row>
    <row r="163" spans="1:21" ht="13" x14ac:dyDescent="0.25">
      <c r="A163" s="766"/>
      <c r="B163" s="160">
        <v>5</v>
      </c>
      <c r="C163" s="172">
        <v>35</v>
      </c>
      <c r="D163" s="169">
        <v>-0.1</v>
      </c>
      <c r="E163" s="171" t="s">
        <v>10</v>
      </c>
      <c r="F163" s="162">
        <f t="shared" si="42"/>
        <v>0</v>
      </c>
      <c r="H163" s="160">
        <v>5</v>
      </c>
      <c r="I163" s="172">
        <v>70</v>
      </c>
      <c r="J163" s="169">
        <v>-0.8</v>
      </c>
      <c r="K163" s="171" t="s">
        <v>10</v>
      </c>
      <c r="L163" s="162">
        <f t="shared" si="43"/>
        <v>0</v>
      </c>
      <c r="N163" s="160">
        <v>5</v>
      </c>
      <c r="O163" s="172">
        <v>1000</v>
      </c>
      <c r="P163" s="170">
        <v>1.1000000000000001</v>
      </c>
      <c r="Q163" s="171" t="s">
        <v>10</v>
      </c>
      <c r="R163" s="162">
        <f t="shared" si="44"/>
        <v>0</v>
      </c>
    </row>
    <row r="164" spans="1:21" ht="13.5" thickBot="1" x14ac:dyDescent="0.3">
      <c r="A164" s="766"/>
      <c r="B164" s="160">
        <v>6</v>
      </c>
      <c r="C164" s="172">
        <v>37</v>
      </c>
      <c r="D164" s="169">
        <v>-0.1</v>
      </c>
      <c r="E164" s="171" t="s">
        <v>10</v>
      </c>
      <c r="F164" s="162">
        <f t="shared" si="42"/>
        <v>0</v>
      </c>
      <c r="H164" s="160">
        <v>6</v>
      </c>
      <c r="I164" s="172">
        <v>80</v>
      </c>
      <c r="J164" s="169">
        <v>-1.3</v>
      </c>
      <c r="K164" s="171" t="s">
        <v>10</v>
      </c>
      <c r="L164" s="162">
        <f t="shared" si="43"/>
        <v>0</v>
      </c>
      <c r="N164" s="160">
        <v>6</v>
      </c>
      <c r="O164" s="178">
        <v>1005</v>
      </c>
      <c r="P164" s="179">
        <v>1.1000000000000001</v>
      </c>
      <c r="Q164" s="171" t="s">
        <v>10</v>
      </c>
      <c r="R164" s="162">
        <f t="shared" si="44"/>
        <v>0</v>
      </c>
    </row>
    <row r="165" spans="1:21" ht="13.5" thickBot="1" x14ac:dyDescent="0.3">
      <c r="A165" s="767"/>
      <c r="B165" s="173">
        <v>7</v>
      </c>
      <c r="C165" s="178">
        <v>40</v>
      </c>
      <c r="D165" s="174">
        <v>0</v>
      </c>
      <c r="E165" s="175" t="s">
        <v>10</v>
      </c>
      <c r="F165" s="176">
        <f t="shared" si="42"/>
        <v>0</v>
      </c>
      <c r="G165" s="177"/>
      <c r="H165" s="173">
        <v>7</v>
      </c>
      <c r="I165" s="178">
        <v>90</v>
      </c>
      <c r="J165" s="174">
        <v>-2</v>
      </c>
      <c r="K165" s="175" t="s">
        <v>10</v>
      </c>
      <c r="L165" s="176">
        <f t="shared" si="43"/>
        <v>0</v>
      </c>
      <c r="M165" s="177"/>
      <c r="N165" s="173">
        <v>7</v>
      </c>
      <c r="O165" s="178">
        <v>1020</v>
      </c>
      <c r="P165" s="179">
        <v>0</v>
      </c>
      <c r="Q165" s="175" t="s">
        <v>10</v>
      </c>
      <c r="R165" s="176">
        <f t="shared" si="44"/>
        <v>0</v>
      </c>
    </row>
    <row r="166" spans="1:21" ht="13" thickBot="1" x14ac:dyDescent="0.3">
      <c r="A166" s="204"/>
      <c r="C166" s="205"/>
      <c r="D166" s="205"/>
      <c r="E166" s="206"/>
      <c r="F166" s="207"/>
      <c r="I166" s="205"/>
      <c r="J166" s="205"/>
      <c r="K166" s="206"/>
      <c r="L166" s="207"/>
      <c r="O166" s="205"/>
      <c r="P166" s="208"/>
      <c r="Q166" s="206"/>
      <c r="R166" s="207"/>
    </row>
    <row r="167" spans="1:21" ht="13" thickBot="1" x14ac:dyDescent="0.3">
      <c r="A167" s="765">
        <v>16</v>
      </c>
      <c r="B167" s="768" t="s">
        <v>26</v>
      </c>
      <c r="C167" s="769"/>
      <c r="D167" s="769"/>
      <c r="E167" s="769"/>
      <c r="F167" s="770"/>
      <c r="G167" s="155"/>
      <c r="H167" s="768" t="str">
        <f>B167</f>
        <v>KOREKSI EXTECH A.100616</v>
      </c>
      <c r="I167" s="769"/>
      <c r="J167" s="769"/>
      <c r="K167" s="769"/>
      <c r="L167" s="770"/>
      <c r="M167" s="155"/>
      <c r="N167" s="768" t="str">
        <f>H167</f>
        <v>KOREKSI EXTECH A.100616</v>
      </c>
      <c r="O167" s="769"/>
      <c r="P167" s="769"/>
      <c r="Q167" s="769"/>
      <c r="R167" s="770"/>
      <c r="T167" s="742" t="s">
        <v>12</v>
      </c>
      <c r="U167" s="743"/>
    </row>
    <row r="168" spans="1:21" ht="13.5" thickBot="1" x14ac:dyDescent="0.3">
      <c r="A168" s="766"/>
      <c r="B168" s="744" t="s">
        <v>2</v>
      </c>
      <c r="C168" s="745"/>
      <c r="D168" s="746" t="s">
        <v>3</v>
      </c>
      <c r="E168" s="747"/>
      <c r="F168" s="748" t="s">
        <v>4</v>
      </c>
      <c r="H168" s="744" t="s">
        <v>5</v>
      </c>
      <c r="I168" s="745"/>
      <c r="J168" s="746" t="s">
        <v>3</v>
      </c>
      <c r="K168" s="747"/>
      <c r="L168" s="748" t="s">
        <v>4</v>
      </c>
      <c r="N168" s="744" t="s">
        <v>6</v>
      </c>
      <c r="O168" s="745"/>
      <c r="P168" s="746" t="s">
        <v>3</v>
      </c>
      <c r="Q168" s="747"/>
      <c r="R168" s="748" t="s">
        <v>4</v>
      </c>
      <c r="T168" s="159" t="s">
        <v>2</v>
      </c>
      <c r="U168" s="156">
        <v>0.4</v>
      </c>
    </row>
    <row r="169" spans="1:21" ht="15" thickBot="1" x14ac:dyDescent="0.3">
      <c r="A169" s="766"/>
      <c r="B169" s="753" t="s">
        <v>7</v>
      </c>
      <c r="C169" s="754"/>
      <c r="D169" s="184">
        <v>2020</v>
      </c>
      <c r="E169" s="199" t="s">
        <v>10</v>
      </c>
      <c r="F169" s="749"/>
      <c r="H169" s="755" t="s">
        <v>8</v>
      </c>
      <c r="I169" s="756"/>
      <c r="J169" s="185">
        <f>D169</f>
        <v>2020</v>
      </c>
      <c r="K169" s="185" t="str">
        <f>E169</f>
        <v>-</v>
      </c>
      <c r="L169" s="749"/>
      <c r="N169" s="755" t="s">
        <v>9</v>
      </c>
      <c r="O169" s="756"/>
      <c r="P169" s="185">
        <f>J169</f>
        <v>2020</v>
      </c>
      <c r="Q169" s="185" t="str">
        <f>K169</f>
        <v>-</v>
      </c>
      <c r="R169" s="749"/>
      <c r="T169" s="159" t="s">
        <v>8</v>
      </c>
      <c r="U169" s="156">
        <v>2.2000000000000002</v>
      </c>
    </row>
    <row r="170" spans="1:21" ht="13.5" thickBot="1" x14ac:dyDescent="0.3">
      <c r="A170" s="766"/>
      <c r="B170" s="160">
        <v>1</v>
      </c>
      <c r="C170" s="163">
        <v>15</v>
      </c>
      <c r="D170" s="186">
        <v>0.1</v>
      </c>
      <c r="E170" s="200" t="s">
        <v>10</v>
      </c>
      <c r="F170" s="187">
        <f t="shared" ref="F170:F176" si="45">0.5*(MAX(D170:E170)-MIN(D170:E170))</f>
        <v>0</v>
      </c>
      <c r="H170" s="160">
        <v>1</v>
      </c>
      <c r="I170" s="163">
        <v>30</v>
      </c>
      <c r="J170" s="186">
        <v>-1.6</v>
      </c>
      <c r="K170" s="200" t="s">
        <v>10</v>
      </c>
      <c r="L170" s="187">
        <f t="shared" ref="L170:L176" si="46">0.5*(MAX(J170:K170)-MIN(J170:K170))</f>
        <v>0</v>
      </c>
      <c r="N170" s="160">
        <v>1</v>
      </c>
      <c r="O170" s="167">
        <v>800</v>
      </c>
      <c r="P170" s="168">
        <v>-2.9</v>
      </c>
      <c r="Q170" s="200" t="s">
        <v>10</v>
      </c>
      <c r="R170" s="187">
        <f t="shared" ref="R170:R176" si="47">0.5*(MAX(P170:Q170)-MIN(P170:Q170))</f>
        <v>0</v>
      </c>
      <c r="T170" s="165" t="s">
        <v>9</v>
      </c>
      <c r="U170" s="166">
        <v>2.2999999999999998</v>
      </c>
    </row>
    <row r="171" spans="1:21" ht="13" x14ac:dyDescent="0.25">
      <c r="A171" s="766"/>
      <c r="B171" s="160">
        <v>2</v>
      </c>
      <c r="C171" s="167">
        <v>20</v>
      </c>
      <c r="D171" s="161">
        <v>0.2</v>
      </c>
      <c r="E171" s="201" t="s">
        <v>10</v>
      </c>
      <c r="F171" s="162">
        <f t="shared" si="45"/>
        <v>0</v>
      </c>
      <c r="H171" s="160">
        <v>2</v>
      </c>
      <c r="I171" s="167">
        <v>40</v>
      </c>
      <c r="J171" s="161">
        <v>-1.4</v>
      </c>
      <c r="K171" s="201" t="s">
        <v>10</v>
      </c>
      <c r="L171" s="162">
        <f t="shared" si="46"/>
        <v>0</v>
      </c>
      <c r="N171" s="160">
        <v>2</v>
      </c>
      <c r="O171" s="167">
        <v>850</v>
      </c>
      <c r="P171" s="168">
        <v>-2.2999999999999998</v>
      </c>
      <c r="Q171" s="201" t="s">
        <v>10</v>
      </c>
      <c r="R171" s="162">
        <f t="shared" si="47"/>
        <v>0</v>
      </c>
    </row>
    <row r="172" spans="1:21" ht="13" x14ac:dyDescent="0.25">
      <c r="A172" s="766"/>
      <c r="B172" s="160">
        <v>3</v>
      </c>
      <c r="C172" s="167">
        <v>25</v>
      </c>
      <c r="D172" s="161">
        <v>0.2</v>
      </c>
      <c r="E172" s="201" t="s">
        <v>10</v>
      </c>
      <c r="F172" s="162">
        <f t="shared" si="45"/>
        <v>0</v>
      </c>
      <c r="H172" s="160">
        <v>3</v>
      </c>
      <c r="I172" s="167">
        <v>50</v>
      </c>
      <c r="J172" s="161">
        <v>-1.4</v>
      </c>
      <c r="K172" s="201" t="s">
        <v>10</v>
      </c>
      <c r="L172" s="162">
        <f t="shared" si="46"/>
        <v>0</v>
      </c>
      <c r="N172" s="160">
        <v>3</v>
      </c>
      <c r="O172" s="172">
        <v>900</v>
      </c>
      <c r="P172" s="170">
        <v>-1.7</v>
      </c>
      <c r="Q172" s="201" t="s">
        <v>10</v>
      </c>
      <c r="R172" s="162">
        <f t="shared" si="47"/>
        <v>0</v>
      </c>
    </row>
    <row r="173" spans="1:21" ht="13" x14ac:dyDescent="0.25">
      <c r="A173" s="766"/>
      <c r="B173" s="160">
        <v>4</v>
      </c>
      <c r="C173" s="172">
        <v>30</v>
      </c>
      <c r="D173" s="169">
        <v>0.2</v>
      </c>
      <c r="E173" s="171" t="s">
        <v>10</v>
      </c>
      <c r="F173" s="162">
        <f t="shared" si="45"/>
        <v>0</v>
      </c>
      <c r="H173" s="160">
        <v>4</v>
      </c>
      <c r="I173" s="172">
        <v>60</v>
      </c>
      <c r="J173" s="169">
        <v>-1.5</v>
      </c>
      <c r="K173" s="171" t="s">
        <v>10</v>
      </c>
      <c r="L173" s="162">
        <f t="shared" si="46"/>
        <v>0</v>
      </c>
      <c r="N173" s="160">
        <v>4</v>
      </c>
      <c r="O173" s="172">
        <v>950</v>
      </c>
      <c r="P173" s="170">
        <v>-1.1000000000000001</v>
      </c>
      <c r="Q173" s="171" t="s">
        <v>10</v>
      </c>
      <c r="R173" s="162">
        <f t="shared" si="47"/>
        <v>0</v>
      </c>
    </row>
    <row r="174" spans="1:21" ht="13" x14ac:dyDescent="0.25">
      <c r="A174" s="766"/>
      <c r="B174" s="160">
        <v>5</v>
      </c>
      <c r="C174" s="172">
        <v>35</v>
      </c>
      <c r="D174" s="169">
        <v>0.1</v>
      </c>
      <c r="E174" s="171" t="s">
        <v>10</v>
      </c>
      <c r="F174" s="162">
        <f t="shared" si="45"/>
        <v>0</v>
      </c>
      <c r="H174" s="160">
        <v>5</v>
      </c>
      <c r="I174" s="172">
        <v>70</v>
      </c>
      <c r="J174" s="169">
        <v>-1.8</v>
      </c>
      <c r="K174" s="171" t="s">
        <v>10</v>
      </c>
      <c r="L174" s="162">
        <f t="shared" si="46"/>
        <v>0</v>
      </c>
      <c r="N174" s="160">
        <v>5</v>
      </c>
      <c r="O174" s="172">
        <v>1000</v>
      </c>
      <c r="P174" s="170">
        <v>-0.4</v>
      </c>
      <c r="Q174" s="171" t="s">
        <v>10</v>
      </c>
      <c r="R174" s="162">
        <f t="shared" si="47"/>
        <v>0</v>
      </c>
    </row>
    <row r="175" spans="1:21" ht="13.5" thickBot="1" x14ac:dyDescent="0.3">
      <c r="A175" s="766"/>
      <c r="B175" s="160">
        <v>6</v>
      </c>
      <c r="C175" s="172">
        <v>37</v>
      </c>
      <c r="D175" s="169">
        <v>0</v>
      </c>
      <c r="E175" s="171" t="s">
        <v>10</v>
      </c>
      <c r="F175" s="162">
        <f t="shared" si="45"/>
        <v>0</v>
      </c>
      <c r="H175" s="160">
        <v>6</v>
      </c>
      <c r="I175" s="172">
        <v>80</v>
      </c>
      <c r="J175" s="169">
        <v>-2.2999999999999998</v>
      </c>
      <c r="K175" s="171" t="s">
        <v>10</v>
      </c>
      <c r="L175" s="162">
        <f t="shared" si="46"/>
        <v>0</v>
      </c>
      <c r="N175" s="160">
        <v>6</v>
      </c>
      <c r="O175" s="178">
        <v>1005</v>
      </c>
      <c r="P175" s="179">
        <v>-0.4</v>
      </c>
      <c r="Q175" s="171" t="s">
        <v>10</v>
      </c>
      <c r="R175" s="162">
        <f t="shared" si="47"/>
        <v>0</v>
      </c>
    </row>
    <row r="176" spans="1:21" ht="13.5" thickBot="1" x14ac:dyDescent="0.3">
      <c r="A176" s="767"/>
      <c r="B176" s="173">
        <v>7</v>
      </c>
      <c r="C176" s="178">
        <v>40</v>
      </c>
      <c r="D176" s="174">
        <v>0</v>
      </c>
      <c r="E176" s="175" t="s">
        <v>10</v>
      </c>
      <c r="F176" s="176">
        <f t="shared" si="45"/>
        <v>0</v>
      </c>
      <c r="G176" s="177"/>
      <c r="H176" s="173">
        <v>7</v>
      </c>
      <c r="I176" s="178">
        <v>90</v>
      </c>
      <c r="J176" s="174">
        <v>-3</v>
      </c>
      <c r="K176" s="175" t="s">
        <v>10</v>
      </c>
      <c r="L176" s="176">
        <f t="shared" si="46"/>
        <v>0</v>
      </c>
      <c r="M176" s="177"/>
      <c r="N176" s="173">
        <v>7</v>
      </c>
      <c r="O176" s="178">
        <v>1020</v>
      </c>
      <c r="P176" s="179">
        <v>0</v>
      </c>
      <c r="Q176" s="175" t="s">
        <v>10</v>
      </c>
      <c r="R176" s="176">
        <f t="shared" si="47"/>
        <v>0</v>
      </c>
    </row>
    <row r="177" spans="1:21" ht="13" thickBot="1" x14ac:dyDescent="0.3">
      <c r="A177" s="204"/>
      <c r="C177" s="205"/>
      <c r="D177" s="205"/>
      <c r="E177" s="206"/>
      <c r="F177" s="207"/>
      <c r="I177" s="205"/>
      <c r="J177" s="205"/>
      <c r="K177" s="206"/>
      <c r="L177" s="207"/>
      <c r="O177" s="205"/>
      <c r="P177" s="208"/>
      <c r="Q177" s="206"/>
      <c r="R177" s="207"/>
    </row>
    <row r="178" spans="1:21" ht="13" thickBot="1" x14ac:dyDescent="0.3">
      <c r="A178" s="765">
        <v>17</v>
      </c>
      <c r="B178" s="768" t="s">
        <v>27</v>
      </c>
      <c r="C178" s="769"/>
      <c r="D178" s="769"/>
      <c r="E178" s="769"/>
      <c r="F178" s="770"/>
      <c r="G178" s="155"/>
      <c r="H178" s="768" t="str">
        <f>B178</f>
        <v>KOREKSI EXTECH A.100617</v>
      </c>
      <c r="I178" s="769"/>
      <c r="J178" s="769"/>
      <c r="K178" s="769"/>
      <c r="L178" s="770"/>
      <c r="M178" s="155"/>
      <c r="N178" s="768" t="str">
        <f>H178</f>
        <v>KOREKSI EXTECH A.100617</v>
      </c>
      <c r="O178" s="769"/>
      <c r="P178" s="769"/>
      <c r="Q178" s="769"/>
      <c r="R178" s="770"/>
      <c r="T178" s="742" t="s">
        <v>12</v>
      </c>
      <c r="U178" s="743"/>
    </row>
    <row r="179" spans="1:21" ht="13.5" thickBot="1" x14ac:dyDescent="0.3">
      <c r="A179" s="766"/>
      <c r="B179" s="744" t="s">
        <v>2</v>
      </c>
      <c r="C179" s="745"/>
      <c r="D179" s="746" t="s">
        <v>3</v>
      </c>
      <c r="E179" s="747"/>
      <c r="F179" s="748" t="s">
        <v>4</v>
      </c>
      <c r="H179" s="744" t="s">
        <v>5</v>
      </c>
      <c r="I179" s="745"/>
      <c r="J179" s="746" t="s">
        <v>3</v>
      </c>
      <c r="K179" s="747"/>
      <c r="L179" s="748" t="s">
        <v>4</v>
      </c>
      <c r="N179" s="744" t="s">
        <v>6</v>
      </c>
      <c r="O179" s="745"/>
      <c r="P179" s="746" t="s">
        <v>3</v>
      </c>
      <c r="Q179" s="747"/>
      <c r="R179" s="748" t="s">
        <v>4</v>
      </c>
      <c r="T179" s="159" t="s">
        <v>2</v>
      </c>
      <c r="U179" s="156">
        <v>0.3</v>
      </c>
    </row>
    <row r="180" spans="1:21" ht="15" thickBot="1" x14ac:dyDescent="0.3">
      <c r="A180" s="766"/>
      <c r="B180" s="753" t="s">
        <v>7</v>
      </c>
      <c r="C180" s="754"/>
      <c r="D180" s="184">
        <v>2020</v>
      </c>
      <c r="E180" s="199" t="s">
        <v>10</v>
      </c>
      <c r="F180" s="749"/>
      <c r="H180" s="755" t="s">
        <v>8</v>
      </c>
      <c r="I180" s="756"/>
      <c r="J180" s="185">
        <f>D180</f>
        <v>2020</v>
      </c>
      <c r="K180" s="185" t="str">
        <f>E180</f>
        <v>-</v>
      </c>
      <c r="L180" s="749"/>
      <c r="N180" s="755" t="s">
        <v>9</v>
      </c>
      <c r="O180" s="756"/>
      <c r="P180" s="185">
        <f>J180</f>
        <v>2020</v>
      </c>
      <c r="Q180" s="185" t="str">
        <f>K180</f>
        <v>-</v>
      </c>
      <c r="R180" s="749"/>
      <c r="T180" s="159" t="s">
        <v>8</v>
      </c>
      <c r="U180" s="156">
        <v>2.8</v>
      </c>
    </row>
    <row r="181" spans="1:21" ht="13.5" thickBot="1" x14ac:dyDescent="0.3">
      <c r="A181" s="766"/>
      <c r="B181" s="160">
        <v>1</v>
      </c>
      <c r="C181" s="163">
        <v>15</v>
      </c>
      <c r="D181" s="186">
        <v>0.1</v>
      </c>
      <c r="E181" s="200" t="s">
        <v>10</v>
      </c>
      <c r="F181" s="187">
        <f t="shared" ref="F181:F187" si="48">0.5*(MAX(D181:E181)-MIN(D181:E181))</f>
        <v>0</v>
      </c>
      <c r="H181" s="160">
        <v>1</v>
      </c>
      <c r="I181" s="163">
        <v>30</v>
      </c>
      <c r="J181" s="186">
        <v>0.1</v>
      </c>
      <c r="K181" s="200" t="s">
        <v>10</v>
      </c>
      <c r="L181" s="187">
        <f t="shared" ref="L181:L187" si="49">0.5*(MAX(J181:K181)-MIN(J181:K181))</f>
        <v>0</v>
      </c>
      <c r="N181" s="160">
        <v>1</v>
      </c>
      <c r="O181" s="167">
        <v>960</v>
      </c>
      <c r="P181" s="168">
        <v>-0.6</v>
      </c>
      <c r="Q181" s="200" t="s">
        <v>10</v>
      </c>
      <c r="R181" s="187">
        <f t="shared" ref="R181:R187" si="50">0.5*(MAX(P181:Q181)-MIN(P181:Q181))</f>
        <v>0</v>
      </c>
      <c r="T181" s="165" t="s">
        <v>9</v>
      </c>
      <c r="U181" s="166">
        <v>2.1</v>
      </c>
    </row>
    <row r="182" spans="1:21" ht="13" x14ac:dyDescent="0.25">
      <c r="A182" s="766"/>
      <c r="B182" s="160">
        <v>2</v>
      </c>
      <c r="C182" s="167">
        <v>20</v>
      </c>
      <c r="D182" s="161">
        <v>0.1</v>
      </c>
      <c r="E182" s="201" t="s">
        <v>10</v>
      </c>
      <c r="F182" s="162">
        <f t="shared" si="48"/>
        <v>0</v>
      </c>
      <c r="H182" s="160">
        <v>2</v>
      </c>
      <c r="I182" s="167">
        <v>40</v>
      </c>
      <c r="J182" s="161">
        <v>0.2</v>
      </c>
      <c r="K182" s="201" t="s">
        <v>10</v>
      </c>
      <c r="L182" s="162">
        <f t="shared" si="49"/>
        <v>0</v>
      </c>
      <c r="N182" s="160">
        <v>2</v>
      </c>
      <c r="O182" s="167">
        <v>970</v>
      </c>
      <c r="P182" s="168">
        <v>-0.6</v>
      </c>
      <c r="Q182" s="201" t="s">
        <v>10</v>
      </c>
      <c r="R182" s="162">
        <f t="shared" si="50"/>
        <v>0</v>
      </c>
    </row>
    <row r="183" spans="1:21" ht="13" x14ac:dyDescent="0.25">
      <c r="A183" s="766"/>
      <c r="B183" s="160">
        <v>3</v>
      </c>
      <c r="C183" s="167">
        <v>25</v>
      </c>
      <c r="D183" s="161">
        <v>0</v>
      </c>
      <c r="E183" s="201" t="s">
        <v>10</v>
      </c>
      <c r="F183" s="162">
        <f t="shared" si="48"/>
        <v>0</v>
      </c>
      <c r="H183" s="160">
        <v>3</v>
      </c>
      <c r="I183" s="167">
        <v>50</v>
      </c>
      <c r="J183" s="161">
        <v>0.2</v>
      </c>
      <c r="K183" s="201" t="s">
        <v>10</v>
      </c>
      <c r="L183" s="162">
        <f t="shared" si="49"/>
        <v>0</v>
      </c>
      <c r="N183" s="160">
        <v>3</v>
      </c>
      <c r="O183" s="172">
        <v>980</v>
      </c>
      <c r="P183" s="170">
        <v>-0.6</v>
      </c>
      <c r="Q183" s="201" t="s">
        <v>10</v>
      </c>
      <c r="R183" s="162">
        <f t="shared" si="50"/>
        <v>0</v>
      </c>
    </row>
    <row r="184" spans="1:21" ht="13" x14ac:dyDescent="0.25">
      <c r="A184" s="766"/>
      <c r="B184" s="160">
        <v>4</v>
      </c>
      <c r="C184" s="172">
        <v>30</v>
      </c>
      <c r="D184" s="169">
        <v>-0.2</v>
      </c>
      <c r="E184" s="171" t="s">
        <v>10</v>
      </c>
      <c r="F184" s="162">
        <f t="shared" si="48"/>
        <v>0</v>
      </c>
      <c r="H184" s="160">
        <v>4</v>
      </c>
      <c r="I184" s="172">
        <v>60</v>
      </c>
      <c r="J184" s="169">
        <v>0</v>
      </c>
      <c r="K184" s="171" t="s">
        <v>10</v>
      </c>
      <c r="L184" s="162">
        <f t="shared" si="49"/>
        <v>0</v>
      </c>
      <c r="N184" s="160">
        <v>4</v>
      </c>
      <c r="O184" s="172">
        <v>990</v>
      </c>
      <c r="P184" s="170">
        <v>-0.6</v>
      </c>
      <c r="Q184" s="171" t="s">
        <v>10</v>
      </c>
      <c r="R184" s="162">
        <f t="shared" si="50"/>
        <v>0</v>
      </c>
    </row>
    <row r="185" spans="1:21" ht="13" x14ac:dyDescent="0.25">
      <c r="A185" s="766"/>
      <c r="B185" s="160">
        <v>5</v>
      </c>
      <c r="C185" s="172">
        <v>35</v>
      </c>
      <c r="D185" s="169">
        <v>-0.5</v>
      </c>
      <c r="E185" s="171" t="s">
        <v>10</v>
      </c>
      <c r="F185" s="162">
        <f t="shared" si="48"/>
        <v>0</v>
      </c>
      <c r="H185" s="160">
        <v>5</v>
      </c>
      <c r="I185" s="172">
        <v>70</v>
      </c>
      <c r="J185" s="169">
        <v>-0.3</v>
      </c>
      <c r="K185" s="171" t="s">
        <v>10</v>
      </c>
      <c r="L185" s="162">
        <f t="shared" si="49"/>
        <v>0</v>
      </c>
      <c r="N185" s="160">
        <v>5</v>
      </c>
      <c r="O185" s="172">
        <v>1000</v>
      </c>
      <c r="P185" s="170">
        <v>-0.6</v>
      </c>
      <c r="Q185" s="171" t="s">
        <v>10</v>
      </c>
      <c r="R185" s="162">
        <f t="shared" si="50"/>
        <v>0</v>
      </c>
    </row>
    <row r="186" spans="1:21" ht="13.5" thickBot="1" x14ac:dyDescent="0.3">
      <c r="A186" s="766"/>
      <c r="B186" s="160">
        <v>6</v>
      </c>
      <c r="C186" s="172">
        <v>37</v>
      </c>
      <c r="D186" s="169">
        <v>-0.6</v>
      </c>
      <c r="E186" s="171" t="s">
        <v>10</v>
      </c>
      <c r="F186" s="162">
        <f t="shared" si="48"/>
        <v>0</v>
      </c>
      <c r="H186" s="160">
        <v>6</v>
      </c>
      <c r="I186" s="172">
        <v>80</v>
      </c>
      <c r="J186" s="169">
        <v>-0.8</v>
      </c>
      <c r="K186" s="171" t="s">
        <v>10</v>
      </c>
      <c r="L186" s="162">
        <f t="shared" si="49"/>
        <v>0</v>
      </c>
      <c r="N186" s="160">
        <v>6</v>
      </c>
      <c r="O186" s="178">
        <v>1005</v>
      </c>
      <c r="P186" s="179">
        <v>-0.6</v>
      </c>
      <c r="Q186" s="171" t="s">
        <v>10</v>
      </c>
      <c r="R186" s="162">
        <f t="shared" si="50"/>
        <v>0</v>
      </c>
    </row>
    <row r="187" spans="1:21" ht="13.5" thickBot="1" x14ac:dyDescent="0.3">
      <c r="A187" s="767"/>
      <c r="B187" s="173">
        <v>7</v>
      </c>
      <c r="C187" s="178">
        <v>40</v>
      </c>
      <c r="D187" s="174">
        <v>-0.8</v>
      </c>
      <c r="E187" s="175" t="s">
        <v>10</v>
      </c>
      <c r="F187" s="176">
        <f t="shared" si="48"/>
        <v>0</v>
      </c>
      <c r="G187" s="177"/>
      <c r="H187" s="173">
        <v>7</v>
      </c>
      <c r="I187" s="178">
        <v>90</v>
      </c>
      <c r="J187" s="174">
        <v>-1.4</v>
      </c>
      <c r="K187" s="175" t="s">
        <v>10</v>
      </c>
      <c r="L187" s="176">
        <f t="shared" si="49"/>
        <v>0</v>
      </c>
      <c r="M187" s="177"/>
      <c r="N187" s="173">
        <v>7</v>
      </c>
      <c r="O187" s="178">
        <v>1020</v>
      </c>
      <c r="P187" s="179">
        <v>0</v>
      </c>
      <c r="Q187" s="175" t="s">
        <v>10</v>
      </c>
      <c r="R187" s="176">
        <f t="shared" si="50"/>
        <v>0</v>
      </c>
    </row>
    <row r="188" spans="1:21" ht="13" thickBot="1" x14ac:dyDescent="0.3">
      <c r="A188" s="204"/>
      <c r="C188" s="205"/>
      <c r="D188" s="205"/>
      <c r="E188" s="206"/>
      <c r="F188" s="207"/>
      <c r="I188" s="205"/>
      <c r="J188" s="205"/>
      <c r="K188" s="206"/>
      <c r="L188" s="207"/>
      <c r="O188" s="205"/>
      <c r="P188" s="208"/>
      <c r="Q188" s="206"/>
      <c r="R188" s="207"/>
    </row>
    <row r="189" spans="1:21" ht="13" thickBot="1" x14ac:dyDescent="0.3">
      <c r="A189" s="765">
        <v>18</v>
      </c>
      <c r="B189" s="768" t="s">
        <v>28</v>
      </c>
      <c r="C189" s="769"/>
      <c r="D189" s="769"/>
      <c r="E189" s="769"/>
      <c r="F189" s="770"/>
      <c r="G189" s="155"/>
      <c r="H189" s="768" t="str">
        <f>B189</f>
        <v>KOREKSI EXTECH A.100618</v>
      </c>
      <c r="I189" s="769"/>
      <c r="J189" s="769"/>
      <c r="K189" s="769"/>
      <c r="L189" s="770"/>
      <c r="M189" s="155"/>
      <c r="N189" s="768" t="str">
        <f>H189</f>
        <v>KOREKSI EXTECH A.100618</v>
      </c>
      <c r="O189" s="769"/>
      <c r="P189" s="769"/>
      <c r="Q189" s="769"/>
      <c r="R189" s="770"/>
      <c r="T189" s="742" t="s">
        <v>12</v>
      </c>
      <c r="U189" s="743"/>
    </row>
    <row r="190" spans="1:21" ht="13.5" thickBot="1" x14ac:dyDescent="0.3">
      <c r="A190" s="766"/>
      <c r="B190" s="744" t="s">
        <v>2</v>
      </c>
      <c r="C190" s="745"/>
      <c r="D190" s="746" t="s">
        <v>3</v>
      </c>
      <c r="E190" s="747"/>
      <c r="F190" s="748" t="s">
        <v>4</v>
      </c>
      <c r="H190" s="744" t="s">
        <v>5</v>
      </c>
      <c r="I190" s="745"/>
      <c r="J190" s="746" t="s">
        <v>3</v>
      </c>
      <c r="K190" s="747"/>
      <c r="L190" s="748" t="s">
        <v>4</v>
      </c>
      <c r="N190" s="744" t="s">
        <v>6</v>
      </c>
      <c r="O190" s="745"/>
      <c r="P190" s="746" t="s">
        <v>3</v>
      </c>
      <c r="Q190" s="747"/>
      <c r="R190" s="748" t="s">
        <v>4</v>
      </c>
      <c r="T190" s="159" t="s">
        <v>2</v>
      </c>
      <c r="U190" s="156">
        <v>0.3</v>
      </c>
    </row>
    <row r="191" spans="1:21" ht="15" thickBot="1" x14ac:dyDescent="0.3">
      <c r="A191" s="766"/>
      <c r="B191" s="753" t="s">
        <v>7</v>
      </c>
      <c r="C191" s="754"/>
      <c r="D191" s="184">
        <v>2020</v>
      </c>
      <c r="E191" s="199" t="s">
        <v>10</v>
      </c>
      <c r="F191" s="749"/>
      <c r="H191" s="755" t="s">
        <v>8</v>
      </c>
      <c r="I191" s="756"/>
      <c r="J191" s="185">
        <f>D191</f>
        <v>2020</v>
      </c>
      <c r="K191" s="185" t="str">
        <f>E191</f>
        <v>-</v>
      </c>
      <c r="L191" s="749"/>
      <c r="N191" s="755" t="s">
        <v>9</v>
      </c>
      <c r="O191" s="756"/>
      <c r="P191" s="185">
        <f>J191</f>
        <v>2020</v>
      </c>
      <c r="Q191" s="185" t="str">
        <f>K191</f>
        <v>-</v>
      </c>
      <c r="R191" s="749"/>
      <c r="T191" s="159" t="s">
        <v>8</v>
      </c>
      <c r="U191" s="156">
        <v>1.6</v>
      </c>
    </row>
    <row r="192" spans="1:21" ht="13.5" thickBot="1" x14ac:dyDescent="0.3">
      <c r="A192" s="766"/>
      <c r="B192" s="160">
        <v>1</v>
      </c>
      <c r="C192" s="163">
        <v>15</v>
      </c>
      <c r="D192" s="186">
        <v>0</v>
      </c>
      <c r="E192" s="200" t="s">
        <v>10</v>
      </c>
      <c r="F192" s="187">
        <f t="shared" ref="F192:F198" si="51">0.5*(MAX(D192:E192)-MIN(D192:E192))</f>
        <v>0</v>
      </c>
      <c r="H192" s="160">
        <v>1</v>
      </c>
      <c r="I192" s="163">
        <v>30</v>
      </c>
      <c r="J192" s="186">
        <v>-0.4</v>
      </c>
      <c r="K192" s="200" t="s">
        <v>10</v>
      </c>
      <c r="L192" s="187">
        <f t="shared" ref="L192:L198" si="52">0.5*(MAX(J192:K192)-MIN(J192:K192))</f>
        <v>0</v>
      </c>
      <c r="N192" s="160">
        <v>1</v>
      </c>
      <c r="O192" s="167">
        <v>800</v>
      </c>
      <c r="P192" s="168">
        <v>-1.5</v>
      </c>
      <c r="Q192" s="200" t="s">
        <v>10</v>
      </c>
      <c r="R192" s="187">
        <f t="shared" ref="R192:R198" si="53">0.5*(MAX(P192:Q192)-MIN(P192:Q192))</f>
        <v>0</v>
      </c>
      <c r="T192" s="165" t="s">
        <v>9</v>
      </c>
      <c r="U192" s="166">
        <v>2.4</v>
      </c>
    </row>
    <row r="193" spans="1:21" ht="13" x14ac:dyDescent="0.25">
      <c r="A193" s="766"/>
      <c r="B193" s="160">
        <v>2</v>
      </c>
      <c r="C193" s="167">
        <v>20</v>
      </c>
      <c r="D193" s="161">
        <v>-0.1</v>
      </c>
      <c r="E193" s="201" t="s">
        <v>10</v>
      </c>
      <c r="F193" s="162">
        <f t="shared" si="51"/>
        <v>0</v>
      </c>
      <c r="H193" s="160">
        <v>2</v>
      </c>
      <c r="I193" s="167">
        <v>40</v>
      </c>
      <c r="J193" s="161">
        <v>-0.2</v>
      </c>
      <c r="K193" s="201" t="s">
        <v>10</v>
      </c>
      <c r="L193" s="162">
        <f t="shared" si="52"/>
        <v>0</v>
      </c>
      <c r="N193" s="160">
        <v>2</v>
      </c>
      <c r="O193" s="167">
        <v>850</v>
      </c>
      <c r="P193" s="168">
        <v>-1.3</v>
      </c>
      <c r="Q193" s="201" t="s">
        <v>10</v>
      </c>
      <c r="R193" s="162">
        <f t="shared" si="53"/>
        <v>0</v>
      </c>
    </row>
    <row r="194" spans="1:21" ht="13" x14ac:dyDescent="0.25">
      <c r="A194" s="766"/>
      <c r="B194" s="160">
        <v>3</v>
      </c>
      <c r="C194" s="167">
        <v>25</v>
      </c>
      <c r="D194" s="161">
        <v>-0.2</v>
      </c>
      <c r="E194" s="201" t="s">
        <v>10</v>
      </c>
      <c r="F194" s="162">
        <f t="shared" si="51"/>
        <v>0</v>
      </c>
      <c r="H194" s="160">
        <v>3</v>
      </c>
      <c r="I194" s="167">
        <v>50</v>
      </c>
      <c r="J194" s="161">
        <v>-0.2</v>
      </c>
      <c r="K194" s="201" t="s">
        <v>10</v>
      </c>
      <c r="L194" s="162">
        <f t="shared" si="52"/>
        <v>0</v>
      </c>
      <c r="N194" s="160">
        <v>3</v>
      </c>
      <c r="O194" s="172">
        <v>900</v>
      </c>
      <c r="P194" s="170">
        <v>-1.1000000000000001</v>
      </c>
      <c r="Q194" s="201" t="s">
        <v>10</v>
      </c>
      <c r="R194" s="162">
        <f t="shared" si="53"/>
        <v>0</v>
      </c>
    </row>
    <row r="195" spans="1:21" ht="13" x14ac:dyDescent="0.25">
      <c r="A195" s="766"/>
      <c r="B195" s="160">
        <v>4</v>
      </c>
      <c r="C195" s="172">
        <v>30</v>
      </c>
      <c r="D195" s="169">
        <v>-0.2</v>
      </c>
      <c r="E195" s="171" t="s">
        <v>10</v>
      </c>
      <c r="F195" s="162">
        <f t="shared" si="51"/>
        <v>0</v>
      </c>
      <c r="H195" s="160">
        <v>4</v>
      </c>
      <c r="I195" s="172">
        <v>60</v>
      </c>
      <c r="J195" s="169">
        <v>-0.2</v>
      </c>
      <c r="K195" s="171" t="s">
        <v>10</v>
      </c>
      <c r="L195" s="162">
        <f t="shared" si="52"/>
        <v>0</v>
      </c>
      <c r="N195" s="160">
        <v>4</v>
      </c>
      <c r="O195" s="172">
        <v>950</v>
      </c>
      <c r="P195" s="170">
        <v>-0.9</v>
      </c>
      <c r="Q195" s="171" t="s">
        <v>10</v>
      </c>
      <c r="R195" s="162">
        <f t="shared" si="53"/>
        <v>0</v>
      </c>
    </row>
    <row r="196" spans="1:21" ht="13" x14ac:dyDescent="0.25">
      <c r="A196" s="766"/>
      <c r="B196" s="160">
        <v>5</v>
      </c>
      <c r="C196" s="172">
        <v>35</v>
      </c>
      <c r="D196" s="169">
        <v>-0.3</v>
      </c>
      <c r="E196" s="171" t="s">
        <v>10</v>
      </c>
      <c r="F196" s="162">
        <f t="shared" si="51"/>
        <v>0</v>
      </c>
      <c r="H196" s="160">
        <v>5</v>
      </c>
      <c r="I196" s="172">
        <v>70</v>
      </c>
      <c r="J196" s="169">
        <v>-0.3</v>
      </c>
      <c r="K196" s="171" t="s">
        <v>10</v>
      </c>
      <c r="L196" s="162">
        <f t="shared" si="52"/>
        <v>0</v>
      </c>
      <c r="N196" s="160">
        <v>5</v>
      </c>
      <c r="O196" s="172">
        <v>1000</v>
      </c>
      <c r="P196" s="170">
        <v>-0.8</v>
      </c>
      <c r="Q196" s="171" t="s">
        <v>10</v>
      </c>
      <c r="R196" s="162">
        <f t="shared" si="53"/>
        <v>0</v>
      </c>
    </row>
    <row r="197" spans="1:21" ht="13.5" thickBot="1" x14ac:dyDescent="0.3">
      <c r="A197" s="766"/>
      <c r="B197" s="160">
        <v>6</v>
      </c>
      <c r="C197" s="172">
        <v>37</v>
      </c>
      <c r="D197" s="169">
        <v>-0.3</v>
      </c>
      <c r="E197" s="171" t="s">
        <v>10</v>
      </c>
      <c r="F197" s="162">
        <f t="shared" si="51"/>
        <v>0</v>
      </c>
      <c r="H197" s="160">
        <v>6</v>
      </c>
      <c r="I197" s="172">
        <v>80</v>
      </c>
      <c r="J197" s="169">
        <v>-0.5</v>
      </c>
      <c r="K197" s="171" t="s">
        <v>10</v>
      </c>
      <c r="L197" s="162">
        <f t="shared" si="52"/>
        <v>0</v>
      </c>
      <c r="N197" s="160">
        <v>6</v>
      </c>
      <c r="O197" s="178">
        <v>1005</v>
      </c>
      <c r="P197" s="179">
        <v>-0.7</v>
      </c>
      <c r="Q197" s="171" t="s">
        <v>10</v>
      </c>
      <c r="R197" s="162">
        <f t="shared" si="53"/>
        <v>0</v>
      </c>
    </row>
    <row r="198" spans="1:21" ht="13.5" thickBot="1" x14ac:dyDescent="0.3">
      <c r="A198" s="767"/>
      <c r="B198" s="173">
        <v>7</v>
      </c>
      <c r="C198" s="178">
        <v>40</v>
      </c>
      <c r="D198" s="174">
        <v>-0.4</v>
      </c>
      <c r="E198" s="175" t="s">
        <v>10</v>
      </c>
      <c r="F198" s="176">
        <f t="shared" si="51"/>
        <v>0</v>
      </c>
      <c r="G198" s="177"/>
      <c r="H198" s="173">
        <v>7</v>
      </c>
      <c r="I198" s="178">
        <v>90</v>
      </c>
      <c r="J198" s="174">
        <v>-0.8</v>
      </c>
      <c r="K198" s="175" t="s">
        <v>10</v>
      </c>
      <c r="L198" s="176">
        <f t="shared" si="52"/>
        <v>0</v>
      </c>
      <c r="M198" s="177"/>
      <c r="N198" s="173">
        <v>7</v>
      </c>
      <c r="O198" s="178">
        <v>1020</v>
      </c>
      <c r="P198" s="179">
        <v>0</v>
      </c>
      <c r="Q198" s="175" t="s">
        <v>10</v>
      </c>
      <c r="R198" s="176">
        <f t="shared" si="53"/>
        <v>0</v>
      </c>
    </row>
    <row r="199" spans="1:21" ht="13" thickBot="1" x14ac:dyDescent="0.3">
      <c r="A199" s="204"/>
      <c r="C199" s="205"/>
      <c r="D199" s="205"/>
      <c r="E199" s="206"/>
      <c r="F199" s="207"/>
      <c r="I199" s="205"/>
      <c r="J199" s="205"/>
      <c r="K199" s="206"/>
      <c r="L199" s="207"/>
      <c r="O199" s="205"/>
      <c r="P199" s="208"/>
      <c r="Q199" s="206"/>
      <c r="R199" s="207"/>
    </row>
    <row r="200" spans="1:21" ht="13" thickBot="1" x14ac:dyDescent="0.3">
      <c r="A200" s="765">
        <v>19</v>
      </c>
      <c r="B200" s="768" t="s">
        <v>29</v>
      </c>
      <c r="C200" s="769"/>
      <c r="D200" s="769"/>
      <c r="E200" s="769"/>
      <c r="F200" s="770"/>
      <c r="G200" s="155"/>
      <c r="H200" s="768" t="str">
        <f>B200</f>
        <v>KOREKSI EXTECH A.100615</v>
      </c>
      <c r="I200" s="769"/>
      <c r="J200" s="769"/>
      <c r="K200" s="769"/>
      <c r="L200" s="770"/>
      <c r="M200" s="155"/>
      <c r="N200" s="768" t="str">
        <f>H200</f>
        <v>KOREKSI EXTECH A.100615</v>
      </c>
      <c r="O200" s="769"/>
      <c r="P200" s="769"/>
      <c r="Q200" s="769"/>
      <c r="R200" s="770"/>
      <c r="T200" s="742" t="s">
        <v>12</v>
      </c>
      <c r="U200" s="743"/>
    </row>
    <row r="201" spans="1:21" ht="13.5" thickBot="1" x14ac:dyDescent="0.3">
      <c r="A201" s="766"/>
      <c r="B201" s="744" t="s">
        <v>2</v>
      </c>
      <c r="C201" s="745"/>
      <c r="D201" s="746" t="s">
        <v>3</v>
      </c>
      <c r="E201" s="747"/>
      <c r="F201" s="748" t="s">
        <v>4</v>
      </c>
      <c r="H201" s="744" t="s">
        <v>5</v>
      </c>
      <c r="I201" s="745"/>
      <c r="J201" s="746" t="s">
        <v>3</v>
      </c>
      <c r="K201" s="747"/>
      <c r="L201" s="748" t="s">
        <v>4</v>
      </c>
      <c r="N201" s="744" t="s">
        <v>6</v>
      </c>
      <c r="O201" s="745"/>
      <c r="P201" s="746" t="s">
        <v>3</v>
      </c>
      <c r="Q201" s="747"/>
      <c r="R201" s="748" t="s">
        <v>4</v>
      </c>
      <c r="T201" s="159" t="s">
        <v>2</v>
      </c>
      <c r="U201" s="156">
        <v>0.1</v>
      </c>
    </row>
    <row r="202" spans="1:21" ht="15" thickBot="1" x14ac:dyDescent="0.3">
      <c r="A202" s="766"/>
      <c r="B202" s="753" t="s">
        <v>7</v>
      </c>
      <c r="C202" s="754"/>
      <c r="D202" s="184">
        <v>2021</v>
      </c>
      <c r="E202" s="199" t="s">
        <v>10</v>
      </c>
      <c r="F202" s="749"/>
      <c r="H202" s="755" t="s">
        <v>8</v>
      </c>
      <c r="I202" s="756"/>
      <c r="J202" s="185">
        <f>D202</f>
        <v>2021</v>
      </c>
      <c r="K202" s="185" t="str">
        <f>E202</f>
        <v>-</v>
      </c>
      <c r="L202" s="749"/>
      <c r="N202" s="755" t="s">
        <v>9</v>
      </c>
      <c r="O202" s="756"/>
      <c r="P202" s="185">
        <f>J202</f>
        <v>2021</v>
      </c>
      <c r="Q202" s="185" t="str">
        <f>K202</f>
        <v>-</v>
      </c>
      <c r="R202" s="749"/>
      <c r="T202" s="159" t="s">
        <v>8</v>
      </c>
      <c r="U202" s="156">
        <v>1.5</v>
      </c>
    </row>
    <row r="203" spans="1:21" ht="13.5" thickBot="1" x14ac:dyDescent="0.3">
      <c r="A203" s="766"/>
      <c r="B203" s="160">
        <v>1</v>
      </c>
      <c r="C203" s="163">
        <v>15</v>
      </c>
      <c r="D203" s="186">
        <v>0</v>
      </c>
      <c r="E203" s="200" t="s">
        <v>10</v>
      </c>
      <c r="F203" s="187">
        <f t="shared" ref="F203:F209" si="54">0.5*(MAX(D203:E203)-MIN(D203:E203))</f>
        <v>0</v>
      </c>
      <c r="H203" s="160">
        <v>1</v>
      </c>
      <c r="I203" s="163">
        <v>30</v>
      </c>
      <c r="J203" s="186">
        <v>-1.5</v>
      </c>
      <c r="K203" s="200" t="s">
        <v>10</v>
      </c>
      <c r="L203" s="187">
        <f t="shared" ref="L203:L209" si="55">0.5*(MAX(J203:K203)-MIN(J203:K203))</f>
        <v>0</v>
      </c>
      <c r="N203" s="160">
        <v>1</v>
      </c>
      <c r="O203" s="163">
        <v>750</v>
      </c>
      <c r="P203" s="164">
        <v>2.5</v>
      </c>
      <c r="Q203" s="200" t="s">
        <v>10</v>
      </c>
      <c r="R203" s="187">
        <f t="shared" ref="R203:R209" si="56">0.5*(MAX(P203:Q203)-MIN(P203:Q203))</f>
        <v>0</v>
      </c>
      <c r="T203" s="165" t="s">
        <v>9</v>
      </c>
      <c r="U203" s="166">
        <v>0.4</v>
      </c>
    </row>
    <row r="204" spans="1:21" ht="13" x14ac:dyDescent="0.25">
      <c r="A204" s="766"/>
      <c r="B204" s="160">
        <v>2</v>
      </c>
      <c r="C204" s="167">
        <v>20</v>
      </c>
      <c r="D204" s="161">
        <v>0.1</v>
      </c>
      <c r="E204" s="201" t="s">
        <v>10</v>
      </c>
      <c r="F204" s="162">
        <f t="shared" si="54"/>
        <v>0</v>
      </c>
      <c r="H204" s="160">
        <v>2</v>
      </c>
      <c r="I204" s="167">
        <v>40</v>
      </c>
      <c r="J204" s="161">
        <v>-0.8</v>
      </c>
      <c r="K204" s="201" t="s">
        <v>10</v>
      </c>
      <c r="L204" s="162">
        <f t="shared" si="55"/>
        <v>0</v>
      </c>
      <c r="N204" s="160">
        <v>2</v>
      </c>
      <c r="O204" s="167">
        <v>800</v>
      </c>
      <c r="P204" s="168">
        <v>2.5</v>
      </c>
      <c r="Q204" s="201" t="s">
        <v>10</v>
      </c>
      <c r="R204" s="162">
        <f t="shared" si="56"/>
        <v>0</v>
      </c>
    </row>
    <row r="205" spans="1:21" ht="13" x14ac:dyDescent="0.25">
      <c r="A205" s="766"/>
      <c r="B205" s="160">
        <v>3</v>
      </c>
      <c r="C205" s="167">
        <v>25</v>
      </c>
      <c r="D205" s="161">
        <v>0</v>
      </c>
      <c r="E205" s="201" t="s">
        <v>10</v>
      </c>
      <c r="F205" s="162">
        <f t="shared" si="54"/>
        <v>0</v>
      </c>
      <c r="H205" s="160">
        <v>3</v>
      </c>
      <c r="I205" s="167">
        <v>50</v>
      </c>
      <c r="J205" s="161">
        <v>-0.2</v>
      </c>
      <c r="K205" s="201" t="s">
        <v>10</v>
      </c>
      <c r="L205" s="162">
        <f t="shared" si="55"/>
        <v>0</v>
      </c>
      <c r="N205" s="160">
        <v>3</v>
      </c>
      <c r="O205" s="167">
        <v>850</v>
      </c>
      <c r="P205" s="168">
        <v>2.4</v>
      </c>
      <c r="Q205" s="201" t="s">
        <v>10</v>
      </c>
      <c r="R205" s="162">
        <f t="shared" si="56"/>
        <v>0</v>
      </c>
    </row>
    <row r="206" spans="1:21" ht="13" x14ac:dyDescent="0.25">
      <c r="A206" s="766"/>
      <c r="B206" s="160">
        <v>4</v>
      </c>
      <c r="C206" s="172">
        <v>30</v>
      </c>
      <c r="D206" s="169">
        <v>-0.1</v>
      </c>
      <c r="E206" s="171" t="s">
        <v>10</v>
      </c>
      <c r="F206" s="162">
        <f t="shared" si="54"/>
        <v>0</v>
      </c>
      <c r="H206" s="160">
        <v>4</v>
      </c>
      <c r="I206" s="172">
        <v>60</v>
      </c>
      <c r="J206" s="169">
        <v>0.4</v>
      </c>
      <c r="K206" s="171" t="s">
        <v>10</v>
      </c>
      <c r="L206" s="162">
        <f t="shared" si="55"/>
        <v>0</v>
      </c>
      <c r="N206" s="160">
        <v>4</v>
      </c>
      <c r="O206" s="172">
        <v>900</v>
      </c>
      <c r="P206" s="170">
        <v>2.2999999999999998</v>
      </c>
      <c r="Q206" s="171" t="s">
        <v>10</v>
      </c>
      <c r="R206" s="162">
        <f t="shared" si="56"/>
        <v>0</v>
      </c>
    </row>
    <row r="207" spans="1:21" ht="13" x14ac:dyDescent="0.25">
      <c r="A207" s="766"/>
      <c r="B207" s="160">
        <v>5</v>
      </c>
      <c r="C207" s="172">
        <v>35</v>
      </c>
      <c r="D207" s="169">
        <v>-0.1</v>
      </c>
      <c r="E207" s="171" t="s">
        <v>10</v>
      </c>
      <c r="F207" s="162">
        <f t="shared" si="54"/>
        <v>0</v>
      </c>
      <c r="H207" s="160">
        <v>5</v>
      </c>
      <c r="I207" s="172">
        <v>70</v>
      </c>
      <c r="J207" s="169">
        <v>-0.7</v>
      </c>
      <c r="K207" s="171" t="s">
        <v>10</v>
      </c>
      <c r="L207" s="162">
        <f t="shared" si="55"/>
        <v>0</v>
      </c>
      <c r="N207" s="160">
        <v>5</v>
      </c>
      <c r="O207" s="172">
        <v>1000</v>
      </c>
      <c r="P207" s="170">
        <v>2.2000000000000002</v>
      </c>
      <c r="Q207" s="171" t="s">
        <v>10</v>
      </c>
      <c r="R207" s="162">
        <f t="shared" si="56"/>
        <v>0</v>
      </c>
    </row>
    <row r="208" spans="1:21" ht="13" x14ac:dyDescent="0.25">
      <c r="A208" s="766"/>
      <c r="B208" s="160">
        <v>6</v>
      </c>
      <c r="C208" s="172">
        <v>37</v>
      </c>
      <c r="D208" s="169">
        <v>0</v>
      </c>
      <c r="E208" s="171" t="s">
        <v>10</v>
      </c>
      <c r="F208" s="162">
        <f t="shared" si="54"/>
        <v>0</v>
      </c>
      <c r="H208" s="160">
        <v>6</v>
      </c>
      <c r="I208" s="172">
        <v>80</v>
      </c>
      <c r="J208" s="169">
        <v>-0.9</v>
      </c>
      <c r="K208" s="171" t="s">
        <v>10</v>
      </c>
      <c r="L208" s="162">
        <f t="shared" si="55"/>
        <v>0</v>
      </c>
      <c r="N208" s="160">
        <v>6</v>
      </c>
      <c r="O208" s="172">
        <v>1005</v>
      </c>
      <c r="P208" s="170">
        <v>2.2000000000000002</v>
      </c>
      <c r="Q208" s="171" t="s">
        <v>10</v>
      </c>
      <c r="R208" s="162">
        <f t="shared" si="56"/>
        <v>0</v>
      </c>
    </row>
    <row r="209" spans="1:23" ht="13.5" thickBot="1" x14ac:dyDescent="0.3">
      <c r="A209" s="767"/>
      <c r="B209" s="173">
        <v>7</v>
      </c>
      <c r="C209" s="178">
        <v>40</v>
      </c>
      <c r="D209" s="174">
        <v>0.2</v>
      </c>
      <c r="E209" s="175" t="s">
        <v>10</v>
      </c>
      <c r="F209" s="176">
        <f t="shared" si="54"/>
        <v>0</v>
      </c>
      <c r="G209" s="177"/>
      <c r="H209" s="173">
        <v>7</v>
      </c>
      <c r="I209" s="178">
        <v>90</v>
      </c>
      <c r="J209" s="174">
        <v>-0.6</v>
      </c>
      <c r="K209" s="175" t="s">
        <v>10</v>
      </c>
      <c r="L209" s="176">
        <f t="shared" si="55"/>
        <v>0</v>
      </c>
      <c r="M209" s="177"/>
      <c r="N209" s="173">
        <v>7</v>
      </c>
      <c r="O209" s="178">
        <v>1020</v>
      </c>
      <c r="P209" s="179">
        <v>2.2999999999999998</v>
      </c>
      <c r="Q209" s="175" t="s">
        <v>10</v>
      </c>
      <c r="R209" s="176">
        <f t="shared" si="56"/>
        <v>0</v>
      </c>
    </row>
    <row r="210" spans="1:23" ht="13" thickBot="1" x14ac:dyDescent="0.3">
      <c r="A210" s="204"/>
      <c r="C210" s="205"/>
      <c r="D210" s="205"/>
      <c r="E210" s="206"/>
      <c r="F210" s="207"/>
      <c r="I210" s="205"/>
      <c r="J210" s="205"/>
      <c r="K210" s="206"/>
      <c r="L210" s="207"/>
      <c r="O210" s="205"/>
      <c r="P210" s="208"/>
      <c r="Q210" s="206"/>
      <c r="R210" s="207"/>
    </row>
    <row r="211" spans="1:23" ht="13" thickBot="1" x14ac:dyDescent="0.3">
      <c r="A211" s="765">
        <v>20</v>
      </c>
      <c r="B211" s="768">
        <v>20</v>
      </c>
      <c r="C211" s="769"/>
      <c r="D211" s="769"/>
      <c r="E211" s="769"/>
      <c r="F211" s="770"/>
      <c r="G211" s="155"/>
      <c r="H211" s="768">
        <f>B211</f>
        <v>20</v>
      </c>
      <c r="I211" s="769"/>
      <c r="J211" s="769"/>
      <c r="K211" s="769"/>
      <c r="L211" s="770"/>
      <c r="M211" s="155"/>
      <c r="N211" s="768">
        <f>H211</f>
        <v>20</v>
      </c>
      <c r="O211" s="769"/>
      <c r="P211" s="769"/>
      <c r="Q211" s="769"/>
      <c r="R211" s="770"/>
      <c r="T211" s="742" t="s">
        <v>12</v>
      </c>
      <c r="U211" s="743"/>
    </row>
    <row r="212" spans="1:23" ht="13.5" thickBot="1" x14ac:dyDescent="0.3">
      <c r="A212" s="766"/>
      <c r="B212" s="744" t="s">
        <v>2</v>
      </c>
      <c r="C212" s="745"/>
      <c r="D212" s="746" t="s">
        <v>3</v>
      </c>
      <c r="E212" s="747"/>
      <c r="F212" s="748" t="s">
        <v>4</v>
      </c>
      <c r="H212" s="744" t="s">
        <v>5</v>
      </c>
      <c r="I212" s="745"/>
      <c r="J212" s="746" t="s">
        <v>3</v>
      </c>
      <c r="K212" s="747"/>
      <c r="L212" s="748" t="s">
        <v>4</v>
      </c>
      <c r="N212" s="744" t="s">
        <v>6</v>
      </c>
      <c r="O212" s="745"/>
      <c r="P212" s="746" t="s">
        <v>3</v>
      </c>
      <c r="Q212" s="747"/>
      <c r="R212" s="748" t="s">
        <v>4</v>
      </c>
      <c r="T212" s="159" t="s">
        <v>2</v>
      </c>
      <c r="U212" s="156">
        <v>0</v>
      </c>
    </row>
    <row r="213" spans="1:23" ht="15" thickBot="1" x14ac:dyDescent="0.3">
      <c r="A213" s="766"/>
      <c r="B213" s="753" t="s">
        <v>7</v>
      </c>
      <c r="C213" s="754"/>
      <c r="D213" s="184">
        <v>2017</v>
      </c>
      <c r="E213" s="199" t="s">
        <v>10</v>
      </c>
      <c r="F213" s="749"/>
      <c r="H213" s="755" t="s">
        <v>8</v>
      </c>
      <c r="I213" s="756"/>
      <c r="J213" s="185">
        <f>D213</f>
        <v>2017</v>
      </c>
      <c r="K213" s="185" t="str">
        <f>E213</f>
        <v>-</v>
      </c>
      <c r="L213" s="749"/>
      <c r="N213" s="755" t="s">
        <v>9</v>
      </c>
      <c r="O213" s="756"/>
      <c r="P213" s="185">
        <f>J213</f>
        <v>2017</v>
      </c>
      <c r="Q213" s="185" t="str">
        <f>K213</f>
        <v>-</v>
      </c>
      <c r="R213" s="749"/>
      <c r="T213" s="159" t="s">
        <v>8</v>
      </c>
      <c r="U213" s="156">
        <v>0</v>
      </c>
    </row>
    <row r="214" spans="1:23" ht="13.5" thickBot="1" x14ac:dyDescent="0.3">
      <c r="A214" s="766"/>
      <c r="B214" s="160">
        <v>1</v>
      </c>
      <c r="C214" s="163">
        <v>14.8</v>
      </c>
      <c r="D214" s="186">
        <v>0</v>
      </c>
      <c r="E214" s="200" t="s">
        <v>10</v>
      </c>
      <c r="F214" s="187">
        <f t="shared" ref="F214:F220" si="57">0.5*(MAX(D214:E214)-MIN(D214:E214))</f>
        <v>0</v>
      </c>
      <c r="H214" s="160">
        <v>1</v>
      </c>
      <c r="I214" s="163">
        <v>45.7</v>
      </c>
      <c r="J214" s="186">
        <v>0</v>
      </c>
      <c r="K214" s="200" t="s">
        <v>10</v>
      </c>
      <c r="L214" s="187">
        <f t="shared" ref="L214:L220" si="58">0.5*(MAX(J214:K214)-MIN(J214:K214))</f>
        <v>0</v>
      </c>
      <c r="N214" s="160">
        <v>1</v>
      </c>
      <c r="O214" s="163">
        <v>750</v>
      </c>
      <c r="P214" s="164" t="s">
        <v>10</v>
      </c>
      <c r="Q214" s="200" t="s">
        <v>10</v>
      </c>
      <c r="R214" s="187">
        <f t="shared" ref="R214:R220" si="59">0.5*(MAX(P214:Q214)-MIN(P214:Q214))</f>
        <v>0</v>
      </c>
      <c r="T214" s="165" t="s">
        <v>9</v>
      </c>
      <c r="U214" s="166">
        <v>0</v>
      </c>
    </row>
    <row r="215" spans="1:23" ht="13" x14ac:dyDescent="0.25">
      <c r="A215" s="766"/>
      <c r="B215" s="160">
        <v>2</v>
      </c>
      <c r="C215" s="167">
        <v>19.7</v>
      </c>
      <c r="D215" s="161">
        <v>0</v>
      </c>
      <c r="E215" s="201" t="s">
        <v>10</v>
      </c>
      <c r="F215" s="162">
        <f t="shared" si="57"/>
        <v>0</v>
      </c>
      <c r="H215" s="160">
        <v>2</v>
      </c>
      <c r="I215" s="167">
        <v>54.3</v>
      </c>
      <c r="J215" s="161">
        <v>0</v>
      </c>
      <c r="K215" s="201" t="s">
        <v>10</v>
      </c>
      <c r="L215" s="162">
        <f t="shared" si="58"/>
        <v>0</v>
      </c>
      <c r="N215" s="160">
        <v>2</v>
      </c>
      <c r="O215" s="167">
        <v>800</v>
      </c>
      <c r="P215" s="168" t="s">
        <v>10</v>
      </c>
      <c r="Q215" s="201" t="s">
        <v>10</v>
      </c>
      <c r="R215" s="162">
        <f t="shared" si="59"/>
        <v>0</v>
      </c>
    </row>
    <row r="216" spans="1:23" ht="13" x14ac:dyDescent="0.25">
      <c r="A216" s="766"/>
      <c r="B216" s="160">
        <v>3</v>
      </c>
      <c r="C216" s="167">
        <v>24.6</v>
      </c>
      <c r="D216" s="161">
        <v>0</v>
      </c>
      <c r="E216" s="201" t="s">
        <v>10</v>
      </c>
      <c r="F216" s="162">
        <f t="shared" si="57"/>
        <v>0</v>
      </c>
      <c r="H216" s="160">
        <v>3</v>
      </c>
      <c r="I216" s="167">
        <v>62.5</v>
      </c>
      <c r="J216" s="161">
        <v>0</v>
      </c>
      <c r="K216" s="201" t="s">
        <v>10</v>
      </c>
      <c r="L216" s="162">
        <f t="shared" si="58"/>
        <v>0</v>
      </c>
      <c r="N216" s="160">
        <v>3</v>
      </c>
      <c r="O216" s="167">
        <v>850</v>
      </c>
      <c r="P216" s="168" t="s">
        <v>10</v>
      </c>
      <c r="Q216" s="201" t="s">
        <v>10</v>
      </c>
      <c r="R216" s="162">
        <f t="shared" si="59"/>
        <v>0</v>
      </c>
    </row>
    <row r="217" spans="1:23" ht="13" x14ac:dyDescent="0.25">
      <c r="A217" s="766"/>
      <c r="B217" s="160">
        <v>4</v>
      </c>
      <c r="C217" s="172">
        <v>29.5</v>
      </c>
      <c r="D217" s="169">
        <v>0</v>
      </c>
      <c r="E217" s="171" t="s">
        <v>10</v>
      </c>
      <c r="F217" s="162">
        <f t="shared" si="57"/>
        <v>0</v>
      </c>
      <c r="H217" s="160">
        <v>4</v>
      </c>
      <c r="I217" s="172">
        <v>71.5</v>
      </c>
      <c r="J217" s="169">
        <v>0</v>
      </c>
      <c r="K217" s="171" t="s">
        <v>10</v>
      </c>
      <c r="L217" s="162">
        <f t="shared" si="58"/>
        <v>0</v>
      </c>
      <c r="N217" s="160">
        <v>4</v>
      </c>
      <c r="O217" s="172">
        <v>900</v>
      </c>
      <c r="P217" s="170" t="s">
        <v>10</v>
      </c>
      <c r="Q217" s="171" t="s">
        <v>10</v>
      </c>
      <c r="R217" s="162">
        <f t="shared" si="59"/>
        <v>0</v>
      </c>
    </row>
    <row r="218" spans="1:23" ht="13" x14ac:dyDescent="0.25">
      <c r="A218" s="766"/>
      <c r="B218" s="160">
        <v>5</v>
      </c>
      <c r="C218" s="172">
        <v>34.5</v>
      </c>
      <c r="D218" s="169">
        <v>0</v>
      </c>
      <c r="E218" s="171" t="s">
        <v>10</v>
      </c>
      <c r="F218" s="162">
        <f t="shared" si="57"/>
        <v>0</v>
      </c>
      <c r="H218" s="160">
        <v>5</v>
      </c>
      <c r="I218" s="172">
        <v>80.8</v>
      </c>
      <c r="J218" s="169">
        <v>0</v>
      </c>
      <c r="K218" s="171" t="s">
        <v>10</v>
      </c>
      <c r="L218" s="162">
        <f t="shared" si="58"/>
        <v>0</v>
      </c>
      <c r="N218" s="160">
        <v>5</v>
      </c>
      <c r="O218" s="172">
        <v>1000</v>
      </c>
      <c r="P218" s="170" t="s">
        <v>10</v>
      </c>
      <c r="Q218" s="171" t="s">
        <v>10</v>
      </c>
      <c r="R218" s="162">
        <f t="shared" si="59"/>
        <v>0</v>
      </c>
    </row>
    <row r="219" spans="1:23" ht="13" x14ac:dyDescent="0.25">
      <c r="A219" s="766"/>
      <c r="B219" s="160">
        <v>6</v>
      </c>
      <c r="C219" s="172">
        <v>39.5</v>
      </c>
      <c r="D219" s="169">
        <v>0</v>
      </c>
      <c r="E219" s="171" t="s">
        <v>10</v>
      </c>
      <c r="F219" s="162">
        <f t="shared" si="57"/>
        <v>0</v>
      </c>
      <c r="H219" s="160">
        <v>6</v>
      </c>
      <c r="I219" s="172">
        <v>88.7</v>
      </c>
      <c r="J219" s="169">
        <v>0</v>
      </c>
      <c r="K219" s="171" t="s">
        <v>10</v>
      </c>
      <c r="L219" s="162">
        <f t="shared" si="58"/>
        <v>0</v>
      </c>
      <c r="N219" s="160">
        <v>6</v>
      </c>
      <c r="O219" s="172">
        <v>1005</v>
      </c>
      <c r="P219" s="170" t="s">
        <v>10</v>
      </c>
      <c r="Q219" s="171" t="s">
        <v>10</v>
      </c>
      <c r="R219" s="162">
        <f t="shared" si="59"/>
        <v>0</v>
      </c>
    </row>
    <row r="220" spans="1:23" ht="13.5" thickBot="1" x14ac:dyDescent="0.3">
      <c r="A220" s="767"/>
      <c r="B220" s="173">
        <v>7</v>
      </c>
      <c r="C220" s="178">
        <v>40</v>
      </c>
      <c r="D220" s="174">
        <v>0</v>
      </c>
      <c r="E220" s="175" t="s">
        <v>10</v>
      </c>
      <c r="F220" s="176">
        <f t="shared" si="57"/>
        <v>0</v>
      </c>
      <c r="G220" s="177"/>
      <c r="H220" s="173">
        <v>7</v>
      </c>
      <c r="I220" s="178">
        <v>90</v>
      </c>
      <c r="J220" s="174">
        <v>0</v>
      </c>
      <c r="K220" s="175" t="s">
        <v>10</v>
      </c>
      <c r="L220" s="176">
        <f t="shared" si="58"/>
        <v>0</v>
      </c>
      <c r="M220" s="177"/>
      <c r="N220" s="173">
        <v>7</v>
      </c>
      <c r="O220" s="178">
        <v>1020</v>
      </c>
      <c r="P220" s="179" t="s">
        <v>10</v>
      </c>
      <c r="Q220" s="175" t="s">
        <v>10</v>
      </c>
      <c r="R220" s="176">
        <f t="shared" si="59"/>
        <v>0</v>
      </c>
    </row>
    <row r="221" spans="1:23" ht="13.5" thickBot="1" x14ac:dyDescent="0.35">
      <c r="A221" s="209"/>
      <c r="B221" s="752"/>
      <c r="C221" s="752"/>
      <c r="D221" s="752"/>
      <c r="E221" s="752"/>
      <c r="F221" s="752"/>
      <c r="G221" s="752"/>
      <c r="H221" s="752"/>
      <c r="I221" s="752"/>
      <c r="J221" s="752"/>
      <c r="K221" s="752"/>
      <c r="L221" s="752"/>
      <c r="M221" s="752"/>
      <c r="N221" s="752"/>
      <c r="O221" s="752"/>
      <c r="P221" s="752"/>
      <c r="Q221" s="752"/>
      <c r="R221" s="752"/>
      <c r="S221" s="752"/>
      <c r="T221" s="752"/>
      <c r="U221" s="752"/>
    </row>
    <row r="222" spans="1:23" ht="13" x14ac:dyDescent="0.3">
      <c r="A222" s="181"/>
      <c r="B222" s="181"/>
      <c r="C222" s="181"/>
      <c r="D222" s="181"/>
      <c r="E222" s="181"/>
      <c r="F222" s="181"/>
      <c r="G222" s="181"/>
      <c r="H222" s="181"/>
      <c r="I222" s="181"/>
      <c r="J222" s="181"/>
      <c r="K222" s="181"/>
      <c r="L222" s="181"/>
      <c r="M222" s="181"/>
      <c r="N222" s="181"/>
      <c r="O222" s="181"/>
      <c r="P222" s="181"/>
    </row>
    <row r="223" spans="1:23" ht="12.75" hidden="1" customHeight="1" x14ac:dyDescent="0.25">
      <c r="A223" s="757" t="s">
        <v>30</v>
      </c>
      <c r="B223" s="759" t="s">
        <v>31</v>
      </c>
      <c r="C223" s="761" t="s">
        <v>32</v>
      </c>
      <c r="D223" s="761"/>
      <c r="E223" s="761"/>
      <c r="F223" s="761"/>
      <c r="G223" s="210"/>
      <c r="H223" s="762" t="s">
        <v>30</v>
      </c>
      <c r="I223" s="759" t="s">
        <v>31</v>
      </c>
      <c r="J223" s="761" t="s">
        <v>32</v>
      </c>
      <c r="K223" s="761"/>
      <c r="L223" s="761"/>
      <c r="M223" s="761"/>
      <c r="N223" s="211"/>
      <c r="O223" s="762" t="s">
        <v>30</v>
      </c>
      <c r="P223" s="759" t="s">
        <v>31</v>
      </c>
      <c r="Q223" s="761" t="s">
        <v>32</v>
      </c>
      <c r="R223" s="761"/>
      <c r="S223" s="761"/>
      <c r="T223" s="764"/>
      <c r="V223" s="736" t="s">
        <v>12</v>
      </c>
      <c r="W223" s="737"/>
    </row>
    <row r="224" spans="1:23" ht="13.5" hidden="1" x14ac:dyDescent="0.3">
      <c r="A224" s="758"/>
      <c r="B224" s="760"/>
      <c r="C224" s="212" t="s">
        <v>2</v>
      </c>
      <c r="D224" s="750" t="s">
        <v>3</v>
      </c>
      <c r="E224" s="750"/>
      <c r="F224" s="750" t="s">
        <v>4</v>
      </c>
      <c r="G224" s="181"/>
      <c r="H224" s="763"/>
      <c r="I224" s="760"/>
      <c r="J224" s="212" t="s">
        <v>5</v>
      </c>
      <c r="K224" s="750" t="s">
        <v>3</v>
      </c>
      <c r="L224" s="750"/>
      <c r="M224" s="750" t="s">
        <v>4</v>
      </c>
      <c r="N224" s="181"/>
      <c r="O224" s="763"/>
      <c r="P224" s="760"/>
      <c r="Q224" s="212" t="s">
        <v>6</v>
      </c>
      <c r="R224" s="750" t="s">
        <v>3</v>
      </c>
      <c r="S224" s="750"/>
      <c r="T224" s="751" t="s">
        <v>4</v>
      </c>
      <c r="V224" s="738" t="s">
        <v>2</v>
      </c>
      <c r="W224" s="739"/>
    </row>
    <row r="225" spans="1:23" ht="14" hidden="1" x14ac:dyDescent="0.3">
      <c r="A225" s="758"/>
      <c r="B225" s="760"/>
      <c r="C225" s="213" t="s">
        <v>33</v>
      </c>
      <c r="D225" s="212"/>
      <c r="E225" s="212"/>
      <c r="F225" s="750"/>
      <c r="G225" s="181"/>
      <c r="H225" s="763"/>
      <c r="I225" s="760"/>
      <c r="J225" s="213" t="s">
        <v>8</v>
      </c>
      <c r="K225" s="212"/>
      <c r="L225" s="212"/>
      <c r="M225" s="750"/>
      <c r="N225" s="181"/>
      <c r="O225" s="763"/>
      <c r="P225" s="760"/>
      <c r="Q225" s="213" t="s">
        <v>9</v>
      </c>
      <c r="R225" s="212"/>
      <c r="S225" s="212"/>
      <c r="T225" s="751"/>
      <c r="V225" s="214">
        <v>1</v>
      </c>
      <c r="W225" s="215">
        <f>U3</f>
        <v>3.1</v>
      </c>
    </row>
    <row r="226" spans="1:23" ht="13" hidden="1" x14ac:dyDescent="0.3">
      <c r="A226" s="740">
        <v>1</v>
      </c>
      <c r="B226" s="216">
        <v>1</v>
      </c>
      <c r="C226" s="217">
        <f>C5</f>
        <v>15</v>
      </c>
      <c r="D226" s="217">
        <f>D5</f>
        <v>-0.5</v>
      </c>
      <c r="E226" s="217">
        <f>E5</f>
        <v>0.3</v>
      </c>
      <c r="F226" s="217">
        <f>F5</f>
        <v>0.4</v>
      </c>
      <c r="G226" s="181"/>
      <c r="H226" s="741">
        <v>1</v>
      </c>
      <c r="I226" s="216">
        <v>1</v>
      </c>
      <c r="J226" s="217">
        <f>I5</f>
        <v>35</v>
      </c>
      <c r="K226" s="217">
        <f>J5</f>
        <v>-6</v>
      </c>
      <c r="L226" s="217">
        <f>K5</f>
        <v>-9.4</v>
      </c>
      <c r="M226" s="217">
        <f>L5</f>
        <v>1.7000000000000002</v>
      </c>
      <c r="N226" s="181"/>
      <c r="O226" s="741">
        <v>1</v>
      </c>
      <c r="P226" s="216">
        <v>1</v>
      </c>
      <c r="Q226" s="217">
        <f>O5</f>
        <v>750</v>
      </c>
      <c r="R226" s="217" t="str">
        <f>P5</f>
        <v>-</v>
      </c>
      <c r="S226" s="217" t="str">
        <f>Q5</f>
        <v>-</v>
      </c>
      <c r="T226" s="218">
        <f>R5</f>
        <v>0</v>
      </c>
      <c r="V226" s="219">
        <v>2</v>
      </c>
      <c r="W226" s="220">
        <f>U14</f>
        <v>0.8</v>
      </c>
    </row>
    <row r="227" spans="1:23" ht="13" hidden="1" x14ac:dyDescent="0.3">
      <c r="A227" s="731"/>
      <c r="B227" s="216">
        <v>2</v>
      </c>
      <c r="C227" s="217">
        <f>C16</f>
        <v>15</v>
      </c>
      <c r="D227" s="217">
        <f>D16</f>
        <v>0.4</v>
      </c>
      <c r="E227" s="217">
        <f>E16</f>
        <v>0</v>
      </c>
      <c r="F227" s="217">
        <f>F16</f>
        <v>0.2</v>
      </c>
      <c r="G227" s="181"/>
      <c r="H227" s="734"/>
      <c r="I227" s="216">
        <v>2</v>
      </c>
      <c r="J227" s="217">
        <f>I16</f>
        <v>35</v>
      </c>
      <c r="K227" s="217">
        <f>J16</f>
        <v>-6.9</v>
      </c>
      <c r="L227" s="217">
        <f>K16</f>
        <v>-1.6</v>
      </c>
      <c r="M227" s="217">
        <f>L16</f>
        <v>2.6500000000000004</v>
      </c>
      <c r="N227" s="181"/>
      <c r="O227" s="734"/>
      <c r="P227" s="216">
        <v>2</v>
      </c>
      <c r="Q227" s="217">
        <f>O16</f>
        <v>750</v>
      </c>
      <c r="R227" s="217" t="str">
        <f>P16</f>
        <v>-</v>
      </c>
      <c r="S227" s="217" t="str">
        <f>Q16</f>
        <v>-</v>
      </c>
      <c r="T227" s="218">
        <f>R16</f>
        <v>0</v>
      </c>
      <c r="V227" s="219">
        <v>3</v>
      </c>
      <c r="W227" s="221">
        <f>U25</f>
        <v>0.5</v>
      </c>
    </row>
    <row r="228" spans="1:23" ht="13" hidden="1" x14ac:dyDescent="0.3">
      <c r="A228" s="731"/>
      <c r="B228" s="216">
        <v>3</v>
      </c>
      <c r="C228" s="217">
        <f>C27</f>
        <v>15</v>
      </c>
      <c r="D228" s="217">
        <f>D27</f>
        <v>0.4</v>
      </c>
      <c r="E228" s="217">
        <f>E27</f>
        <v>0</v>
      </c>
      <c r="F228" s="217">
        <f>F27</f>
        <v>0.2</v>
      </c>
      <c r="G228" s="181"/>
      <c r="H228" s="734"/>
      <c r="I228" s="216">
        <v>3</v>
      </c>
      <c r="J228" s="217">
        <f>I27</f>
        <v>30</v>
      </c>
      <c r="K228" s="217">
        <f>J27</f>
        <v>-7.3</v>
      </c>
      <c r="L228" s="217">
        <f>K27</f>
        <v>-5.7</v>
      </c>
      <c r="M228" s="217">
        <f>L27</f>
        <v>0.79999999999999982</v>
      </c>
      <c r="N228" s="181"/>
      <c r="O228" s="734"/>
      <c r="P228" s="216">
        <v>3</v>
      </c>
      <c r="Q228" s="217">
        <f>O27</f>
        <v>750</v>
      </c>
      <c r="R228" s="217" t="str">
        <f>P27</f>
        <v>-</v>
      </c>
      <c r="S228" s="217" t="str">
        <f>Q27</f>
        <v>-</v>
      </c>
      <c r="T228" s="218">
        <f>R27</f>
        <v>0</v>
      </c>
      <c r="V228" s="219">
        <v>4</v>
      </c>
      <c r="W228" s="221">
        <f>U37</f>
        <v>0.3</v>
      </c>
    </row>
    <row r="229" spans="1:23" ht="13" hidden="1" x14ac:dyDescent="0.3">
      <c r="A229" s="731"/>
      <c r="B229" s="216">
        <v>4</v>
      </c>
      <c r="C229" s="222">
        <f>C38</f>
        <v>15</v>
      </c>
      <c r="D229" s="222">
        <f>D38</f>
        <v>-0.2</v>
      </c>
      <c r="E229" s="222">
        <f>E38</f>
        <v>-0.1</v>
      </c>
      <c r="F229" s="222">
        <f>F38</f>
        <v>0.05</v>
      </c>
      <c r="G229" s="181"/>
      <c r="H229" s="734"/>
      <c r="I229" s="216">
        <v>4</v>
      </c>
      <c r="J229" s="222">
        <f>I38</f>
        <v>35</v>
      </c>
      <c r="K229" s="222">
        <f>J38</f>
        <v>-4.5</v>
      </c>
      <c r="L229" s="222">
        <f>K38</f>
        <v>-1.7</v>
      </c>
      <c r="M229" s="222">
        <f>L38</f>
        <v>1.4</v>
      </c>
      <c r="N229" s="181"/>
      <c r="O229" s="734"/>
      <c r="P229" s="216">
        <v>4</v>
      </c>
      <c r="Q229" s="222">
        <f>O38</f>
        <v>750</v>
      </c>
      <c r="R229" s="222" t="str">
        <f>P38</f>
        <v>-</v>
      </c>
      <c r="S229" s="222" t="str">
        <f>Q38</f>
        <v>-</v>
      </c>
      <c r="T229" s="223">
        <f>R38</f>
        <v>0</v>
      </c>
      <c r="V229" s="219">
        <v>5</v>
      </c>
      <c r="W229" s="221">
        <f>U47</f>
        <v>0.4</v>
      </c>
    </row>
    <row r="230" spans="1:23" ht="13" hidden="1" x14ac:dyDescent="0.3">
      <c r="A230" s="731"/>
      <c r="B230" s="216">
        <v>5</v>
      </c>
      <c r="C230" s="222">
        <f>C49</f>
        <v>15</v>
      </c>
      <c r="D230" s="222">
        <f>D49</f>
        <v>-0.3</v>
      </c>
      <c r="E230" s="222">
        <f>E49</f>
        <v>0.3</v>
      </c>
      <c r="F230" s="222">
        <f>F49</f>
        <v>0.3</v>
      </c>
      <c r="G230" s="181"/>
      <c r="H230" s="734"/>
      <c r="I230" s="216">
        <v>5</v>
      </c>
      <c r="J230" s="222">
        <f>I49</f>
        <v>35</v>
      </c>
      <c r="K230" s="222">
        <f>J49</f>
        <v>-7.7</v>
      </c>
      <c r="L230" s="222">
        <f>K49</f>
        <v>-9.6</v>
      </c>
      <c r="M230" s="222">
        <f>L49</f>
        <v>0.94999999999999973</v>
      </c>
      <c r="N230" s="181"/>
      <c r="O230" s="734"/>
      <c r="P230" s="216">
        <v>5</v>
      </c>
      <c r="Q230" s="222">
        <f>O49</f>
        <v>750</v>
      </c>
      <c r="R230" s="222" t="str">
        <f>P49</f>
        <v>-</v>
      </c>
      <c r="S230" s="222" t="str">
        <f>Q49</f>
        <v>-</v>
      </c>
      <c r="T230" s="223">
        <f>R49</f>
        <v>0</v>
      </c>
      <c r="V230" s="214">
        <v>6</v>
      </c>
      <c r="W230" s="215">
        <f>U58</f>
        <v>0.8</v>
      </c>
    </row>
    <row r="231" spans="1:23" ht="13" hidden="1" x14ac:dyDescent="0.3">
      <c r="A231" s="731"/>
      <c r="B231" s="216">
        <v>6</v>
      </c>
      <c r="C231" s="222">
        <f>C60</f>
        <v>15</v>
      </c>
      <c r="D231" s="222">
        <f>D60</f>
        <v>0.4</v>
      </c>
      <c r="E231" s="222">
        <f>E60</f>
        <v>0.4</v>
      </c>
      <c r="F231" s="222">
        <f>F60</f>
        <v>0</v>
      </c>
      <c r="G231" s="181"/>
      <c r="H231" s="734"/>
      <c r="I231" s="216">
        <v>6</v>
      </c>
      <c r="J231" s="222">
        <f>I60</f>
        <v>30</v>
      </c>
      <c r="K231" s="222">
        <f>J60</f>
        <v>-1.5</v>
      </c>
      <c r="L231" s="222">
        <f>K60</f>
        <v>1.7</v>
      </c>
      <c r="M231" s="222">
        <f>L60</f>
        <v>1.6</v>
      </c>
      <c r="N231" s="181"/>
      <c r="O231" s="734"/>
      <c r="P231" s="216">
        <v>6</v>
      </c>
      <c r="Q231" s="222">
        <f>O60</f>
        <v>750</v>
      </c>
      <c r="R231" s="222">
        <f>P60</f>
        <v>0.9</v>
      </c>
      <c r="S231" s="222">
        <f>Q60</f>
        <v>2.1</v>
      </c>
      <c r="T231" s="223">
        <f>R60</f>
        <v>0.60000000000000009</v>
      </c>
      <c r="V231" s="214">
        <v>7</v>
      </c>
      <c r="W231" s="215">
        <f>U69</f>
        <v>0.2</v>
      </c>
    </row>
    <row r="232" spans="1:23" ht="13" hidden="1" x14ac:dyDescent="0.3">
      <c r="A232" s="731"/>
      <c r="B232" s="216">
        <v>7</v>
      </c>
      <c r="C232" s="222">
        <f>C71</f>
        <v>15</v>
      </c>
      <c r="D232" s="222">
        <f>D71</f>
        <v>0.1</v>
      </c>
      <c r="E232" s="222">
        <f>E71</f>
        <v>0.3</v>
      </c>
      <c r="F232" s="222">
        <f>F71</f>
        <v>9.9999999999999992E-2</v>
      </c>
      <c r="G232" s="181"/>
      <c r="H232" s="734"/>
      <c r="I232" s="216">
        <v>7</v>
      </c>
      <c r="J232" s="222">
        <f>I71</f>
        <v>30</v>
      </c>
      <c r="K232" s="222">
        <f>J71</f>
        <v>-1.9</v>
      </c>
      <c r="L232" s="222">
        <f>K71</f>
        <v>1.8</v>
      </c>
      <c r="M232" s="222">
        <f>L71</f>
        <v>1.85</v>
      </c>
      <c r="N232" s="181"/>
      <c r="O232" s="734"/>
      <c r="P232" s="216">
        <v>7</v>
      </c>
      <c r="Q232" s="222">
        <f>O71</f>
        <v>750</v>
      </c>
      <c r="R232" s="222">
        <f>P71</f>
        <v>0</v>
      </c>
      <c r="S232" s="222">
        <f>Q71</f>
        <v>3.2</v>
      </c>
      <c r="T232" s="223">
        <f>R71</f>
        <v>1.6</v>
      </c>
      <c r="V232" s="214">
        <v>8</v>
      </c>
      <c r="W232" s="215">
        <f>U80</f>
        <v>0.3</v>
      </c>
    </row>
    <row r="233" spans="1:23" ht="13" hidden="1" x14ac:dyDescent="0.3">
      <c r="A233" s="731"/>
      <c r="B233" s="216">
        <v>8</v>
      </c>
      <c r="C233" s="222">
        <f>C82</f>
        <v>15</v>
      </c>
      <c r="D233" s="222">
        <f>D82</f>
        <v>0.1</v>
      </c>
      <c r="E233" s="222">
        <f>E82</f>
        <v>0</v>
      </c>
      <c r="F233" s="222">
        <f>F82</f>
        <v>0.05</v>
      </c>
      <c r="G233" s="181"/>
      <c r="H233" s="734"/>
      <c r="I233" s="216">
        <v>8</v>
      </c>
      <c r="J233" s="222">
        <f>I82</f>
        <v>30</v>
      </c>
      <c r="K233" s="222">
        <f>J82</f>
        <v>-4</v>
      </c>
      <c r="L233" s="222">
        <f>K82</f>
        <v>-1.4</v>
      </c>
      <c r="M233" s="222">
        <f>L82</f>
        <v>1.3</v>
      </c>
      <c r="N233" s="181"/>
      <c r="O233" s="734"/>
      <c r="P233" s="216">
        <v>8</v>
      </c>
      <c r="Q233" s="222">
        <f>O82</f>
        <v>750</v>
      </c>
      <c r="R233" s="222">
        <f>P82</f>
        <v>0</v>
      </c>
      <c r="S233" s="222">
        <f>Q82</f>
        <v>0</v>
      </c>
      <c r="T233" s="223">
        <f>R82</f>
        <v>0</v>
      </c>
      <c r="V233" s="214">
        <v>9</v>
      </c>
      <c r="W233" s="215">
        <f>U91</f>
        <v>0.3</v>
      </c>
    </row>
    <row r="234" spans="1:23" ht="13" hidden="1" x14ac:dyDescent="0.3">
      <c r="A234" s="731"/>
      <c r="B234" s="216">
        <v>9</v>
      </c>
      <c r="C234" s="222">
        <f>C93</f>
        <v>15</v>
      </c>
      <c r="D234" s="222">
        <f>D93</f>
        <v>0</v>
      </c>
      <c r="E234" s="222" t="str">
        <f>E93</f>
        <v>-</v>
      </c>
      <c r="F234" s="222">
        <f>F93</f>
        <v>0</v>
      </c>
      <c r="G234" s="181"/>
      <c r="H234" s="734"/>
      <c r="I234" s="216">
        <v>9</v>
      </c>
      <c r="J234" s="222">
        <f>I93</f>
        <v>30</v>
      </c>
      <c r="K234" s="222">
        <f>J93</f>
        <v>-1.2</v>
      </c>
      <c r="L234" s="222" t="str">
        <f>K93</f>
        <v>-</v>
      </c>
      <c r="M234" s="222">
        <f>L93</f>
        <v>0</v>
      </c>
      <c r="N234" s="181"/>
      <c r="O234" s="734"/>
      <c r="P234" s="216">
        <v>9</v>
      </c>
      <c r="Q234" s="222">
        <f>O93</f>
        <v>750</v>
      </c>
      <c r="R234" s="222">
        <f>P93</f>
        <v>0</v>
      </c>
      <c r="S234" s="222" t="str">
        <f>Q93</f>
        <v>-</v>
      </c>
      <c r="T234" s="223">
        <f>R93</f>
        <v>0</v>
      </c>
      <c r="V234" s="214">
        <v>10</v>
      </c>
      <c r="W234" s="215">
        <f>U102</f>
        <v>0.3</v>
      </c>
    </row>
    <row r="235" spans="1:23" ht="13" hidden="1" x14ac:dyDescent="0.3">
      <c r="A235" s="731"/>
      <c r="B235" s="216">
        <v>10</v>
      </c>
      <c r="C235" s="222">
        <f>C104</f>
        <v>15</v>
      </c>
      <c r="D235" s="222">
        <f>D104</f>
        <v>0.2</v>
      </c>
      <c r="E235" s="222">
        <f>E104</f>
        <v>0.2</v>
      </c>
      <c r="F235" s="222">
        <f>F104</f>
        <v>0</v>
      </c>
      <c r="G235" s="181"/>
      <c r="H235" s="734"/>
      <c r="I235" s="216">
        <v>10</v>
      </c>
      <c r="J235" s="222">
        <f>I104</f>
        <v>30</v>
      </c>
      <c r="K235" s="222">
        <f>J104</f>
        <v>-2.9</v>
      </c>
      <c r="L235" s="222">
        <f>K104</f>
        <v>-5.8</v>
      </c>
      <c r="M235" s="222">
        <f>L104</f>
        <v>1.45</v>
      </c>
      <c r="N235" s="181"/>
      <c r="O235" s="734"/>
      <c r="P235" s="216">
        <v>10</v>
      </c>
      <c r="Q235" s="222">
        <f>O104</f>
        <v>750</v>
      </c>
      <c r="R235" s="222" t="str">
        <f>P104</f>
        <v>-</v>
      </c>
      <c r="S235" s="222" t="str">
        <f>Q104</f>
        <v>-</v>
      </c>
      <c r="T235" s="223">
        <f>R104</f>
        <v>0</v>
      </c>
      <c r="V235" s="214">
        <v>11</v>
      </c>
      <c r="W235" s="215">
        <f>U113</f>
        <v>0.3</v>
      </c>
    </row>
    <row r="236" spans="1:23" ht="13" hidden="1" x14ac:dyDescent="0.3">
      <c r="A236" s="731"/>
      <c r="B236" s="216">
        <v>11</v>
      </c>
      <c r="C236" s="222">
        <f>C115</f>
        <v>15</v>
      </c>
      <c r="D236" s="222">
        <f>D115</f>
        <v>0.3</v>
      </c>
      <c r="E236" s="222">
        <f>E115</f>
        <v>0.3</v>
      </c>
      <c r="F236" s="222">
        <f>F115</f>
        <v>0</v>
      </c>
      <c r="G236" s="181"/>
      <c r="H236" s="734"/>
      <c r="I236" s="216">
        <v>11</v>
      </c>
      <c r="J236" s="222">
        <f>I115</f>
        <v>30</v>
      </c>
      <c r="K236" s="222">
        <f>J115</f>
        <v>-5.2</v>
      </c>
      <c r="L236" s="222">
        <f>K115</f>
        <v>-6.4</v>
      </c>
      <c r="M236" s="222">
        <f>L115</f>
        <v>0.60000000000000009</v>
      </c>
      <c r="N236" s="181"/>
      <c r="O236" s="734"/>
      <c r="P236" s="216">
        <v>11</v>
      </c>
      <c r="Q236" s="222">
        <f>O115</f>
        <v>750</v>
      </c>
      <c r="R236" s="222" t="str">
        <f>P115</f>
        <v>-</v>
      </c>
      <c r="S236" s="222" t="str">
        <f>Q115</f>
        <v>-</v>
      </c>
      <c r="T236" s="223">
        <f>R115</f>
        <v>0</v>
      </c>
      <c r="V236" s="214">
        <v>12</v>
      </c>
      <c r="W236" s="215">
        <f>U124</f>
        <v>0.3</v>
      </c>
    </row>
    <row r="237" spans="1:23" ht="13" hidden="1" x14ac:dyDescent="0.3">
      <c r="A237" s="731"/>
      <c r="B237" s="216">
        <v>12</v>
      </c>
      <c r="C237" s="222">
        <f>C126</f>
        <v>15</v>
      </c>
      <c r="D237" s="222">
        <f>D126</f>
        <v>0</v>
      </c>
      <c r="E237" s="222" t="str">
        <f>E126</f>
        <v>-</v>
      </c>
      <c r="F237" s="222">
        <f>F126</f>
        <v>0</v>
      </c>
      <c r="G237" s="181"/>
      <c r="H237" s="734"/>
      <c r="I237" s="216">
        <v>12</v>
      </c>
      <c r="J237" s="222">
        <f>I126</f>
        <v>30</v>
      </c>
      <c r="K237" s="222">
        <f>J126</f>
        <v>-0.4</v>
      </c>
      <c r="L237" s="222" t="str">
        <f>K126</f>
        <v>-</v>
      </c>
      <c r="M237" s="222">
        <f>L126</f>
        <v>0</v>
      </c>
      <c r="N237" s="181"/>
      <c r="O237" s="734"/>
      <c r="P237" s="216">
        <v>12</v>
      </c>
      <c r="Q237" s="222">
        <f>O126</f>
        <v>800</v>
      </c>
      <c r="R237" s="222">
        <f>P126</f>
        <v>-0.4</v>
      </c>
      <c r="S237" s="222" t="str">
        <f>Q126</f>
        <v>-</v>
      </c>
      <c r="T237" s="223">
        <f>R126</f>
        <v>0</v>
      </c>
      <c r="U237" s="181"/>
      <c r="V237" s="214">
        <v>13</v>
      </c>
      <c r="W237" s="224">
        <f>U135</f>
        <v>0.3</v>
      </c>
    </row>
    <row r="238" spans="1:23" ht="13" hidden="1" x14ac:dyDescent="0.3">
      <c r="A238" s="731"/>
      <c r="B238" s="216">
        <v>13</v>
      </c>
      <c r="C238" s="222">
        <f>C137</f>
        <v>15</v>
      </c>
      <c r="D238" s="222">
        <f>D137</f>
        <v>-0.7</v>
      </c>
      <c r="E238" s="222" t="str">
        <f>E137</f>
        <v>-</v>
      </c>
      <c r="F238" s="222">
        <f>F137</f>
        <v>0</v>
      </c>
      <c r="G238" s="181"/>
      <c r="H238" s="734"/>
      <c r="I238" s="216">
        <v>13</v>
      </c>
      <c r="J238" s="222">
        <f>I137</f>
        <v>35</v>
      </c>
      <c r="K238" s="222">
        <f>J137</f>
        <v>-1.4</v>
      </c>
      <c r="L238" s="222" t="str">
        <f>K137</f>
        <v>-</v>
      </c>
      <c r="M238" s="222">
        <f>L137</f>
        <v>0</v>
      </c>
      <c r="N238" s="181"/>
      <c r="O238" s="734"/>
      <c r="P238" s="216">
        <v>13</v>
      </c>
      <c r="Q238" s="222">
        <f>O137</f>
        <v>960</v>
      </c>
      <c r="R238" s="222">
        <f>P137</f>
        <v>0.9</v>
      </c>
      <c r="S238" s="222" t="str">
        <f>Q137</f>
        <v>-</v>
      </c>
      <c r="T238" s="223">
        <f>R137</f>
        <v>0</v>
      </c>
      <c r="U238" s="181"/>
      <c r="V238" s="214">
        <v>14</v>
      </c>
      <c r="W238" s="224">
        <f>U146</f>
        <v>0.4</v>
      </c>
    </row>
    <row r="239" spans="1:23" ht="13" hidden="1" x14ac:dyDescent="0.3">
      <c r="A239" s="731"/>
      <c r="B239" s="216">
        <v>14</v>
      </c>
      <c r="C239" s="222">
        <f>C148</f>
        <v>15</v>
      </c>
      <c r="D239" s="222">
        <f>D148</f>
        <v>-0.2</v>
      </c>
      <c r="E239" s="222" t="str">
        <f>E148</f>
        <v>-</v>
      </c>
      <c r="F239" s="222">
        <f>F148</f>
        <v>0</v>
      </c>
      <c r="G239" s="181"/>
      <c r="H239" s="734"/>
      <c r="I239" s="216">
        <v>14</v>
      </c>
      <c r="J239" s="222">
        <f>I148</f>
        <v>35</v>
      </c>
      <c r="K239" s="222">
        <f>J148</f>
        <v>0.6</v>
      </c>
      <c r="L239" s="222" t="str">
        <f>K148</f>
        <v>-</v>
      </c>
      <c r="M239" s="222">
        <f>L148</f>
        <v>0</v>
      </c>
      <c r="N239" s="181"/>
      <c r="O239" s="734"/>
      <c r="P239" s="216">
        <v>14</v>
      </c>
      <c r="Q239" s="222">
        <f>O148</f>
        <v>960</v>
      </c>
      <c r="R239" s="222">
        <f>P148</f>
        <v>0.9</v>
      </c>
      <c r="S239" s="222" t="str">
        <f>Q148</f>
        <v>-</v>
      </c>
      <c r="T239" s="223">
        <f>R148</f>
        <v>0</v>
      </c>
      <c r="U239" s="181"/>
      <c r="V239" s="214">
        <v>15</v>
      </c>
      <c r="W239" s="224">
        <f>U157</f>
        <v>0.3</v>
      </c>
    </row>
    <row r="240" spans="1:23" ht="13" hidden="1" x14ac:dyDescent="0.3">
      <c r="A240" s="731"/>
      <c r="B240" s="216">
        <v>15</v>
      </c>
      <c r="C240" s="222">
        <f>C159</f>
        <v>15</v>
      </c>
      <c r="D240" s="222">
        <f>D159</f>
        <v>-0.6</v>
      </c>
      <c r="E240" s="222" t="str">
        <f>E159</f>
        <v>-</v>
      </c>
      <c r="F240" s="222">
        <f>F159</f>
        <v>0</v>
      </c>
      <c r="G240" s="181"/>
      <c r="H240" s="734"/>
      <c r="I240" s="216">
        <v>15</v>
      </c>
      <c r="J240" s="222">
        <f>I159</f>
        <v>35</v>
      </c>
      <c r="K240" s="222">
        <f>J159</f>
        <v>-0.4</v>
      </c>
      <c r="L240" s="222" t="str">
        <f>K159</f>
        <v>-</v>
      </c>
      <c r="M240" s="222">
        <f>L159</f>
        <v>0</v>
      </c>
      <c r="N240" s="181"/>
      <c r="O240" s="734"/>
      <c r="P240" s="216">
        <v>15</v>
      </c>
      <c r="Q240" s="222">
        <f>O159</f>
        <v>960</v>
      </c>
      <c r="R240" s="222">
        <f>P159</f>
        <v>0.9</v>
      </c>
      <c r="S240" s="222" t="str">
        <f>Q159</f>
        <v>-</v>
      </c>
      <c r="T240" s="223">
        <f>R159</f>
        <v>0</v>
      </c>
      <c r="U240" s="181"/>
      <c r="V240" s="214">
        <v>16</v>
      </c>
      <c r="W240" s="224">
        <f>U168</f>
        <v>0.4</v>
      </c>
    </row>
    <row r="241" spans="1:23" ht="13" hidden="1" x14ac:dyDescent="0.3">
      <c r="A241" s="731"/>
      <c r="B241" s="216">
        <v>16</v>
      </c>
      <c r="C241" s="222">
        <f>C170</f>
        <v>15</v>
      </c>
      <c r="D241" s="222">
        <f>D170</f>
        <v>0.1</v>
      </c>
      <c r="E241" s="222" t="str">
        <f>E170</f>
        <v>-</v>
      </c>
      <c r="F241" s="222">
        <f>F170</f>
        <v>0</v>
      </c>
      <c r="G241" s="181"/>
      <c r="H241" s="734"/>
      <c r="I241" s="216">
        <v>16</v>
      </c>
      <c r="J241" s="222">
        <f>I170</f>
        <v>30</v>
      </c>
      <c r="K241" s="222">
        <f>J170</f>
        <v>-1.6</v>
      </c>
      <c r="L241" s="222" t="str">
        <f>K170</f>
        <v>-</v>
      </c>
      <c r="M241" s="222">
        <f>L170</f>
        <v>0</v>
      </c>
      <c r="N241" s="181"/>
      <c r="O241" s="734"/>
      <c r="P241" s="216">
        <v>16</v>
      </c>
      <c r="Q241" s="222">
        <f>O170</f>
        <v>800</v>
      </c>
      <c r="R241" s="222">
        <f>P170</f>
        <v>-2.9</v>
      </c>
      <c r="S241" s="222" t="str">
        <f>Q170</f>
        <v>-</v>
      </c>
      <c r="T241" s="223">
        <f>R170</f>
        <v>0</v>
      </c>
      <c r="U241" s="181"/>
      <c r="V241" s="214">
        <v>17</v>
      </c>
      <c r="W241" s="224">
        <f>U179</f>
        <v>0.3</v>
      </c>
    </row>
    <row r="242" spans="1:23" ht="13" hidden="1" x14ac:dyDescent="0.3">
      <c r="A242" s="731"/>
      <c r="B242" s="216">
        <v>17</v>
      </c>
      <c r="C242" s="222">
        <f>C181</f>
        <v>15</v>
      </c>
      <c r="D242" s="222">
        <f>D181</f>
        <v>0.1</v>
      </c>
      <c r="E242" s="222" t="str">
        <f>E181</f>
        <v>-</v>
      </c>
      <c r="F242" s="222">
        <f>F181</f>
        <v>0</v>
      </c>
      <c r="G242" s="181"/>
      <c r="H242" s="734"/>
      <c r="I242" s="216">
        <v>17</v>
      </c>
      <c r="J242" s="222">
        <f>I181</f>
        <v>30</v>
      </c>
      <c r="K242" s="222">
        <f>J181</f>
        <v>0.1</v>
      </c>
      <c r="L242" s="222" t="str">
        <f>K181</f>
        <v>-</v>
      </c>
      <c r="M242" s="222">
        <f>L181</f>
        <v>0</v>
      </c>
      <c r="N242" s="181"/>
      <c r="O242" s="734"/>
      <c r="P242" s="216">
        <v>17</v>
      </c>
      <c r="Q242" s="222">
        <f>O181</f>
        <v>960</v>
      </c>
      <c r="R242" s="222">
        <f>P181</f>
        <v>-0.6</v>
      </c>
      <c r="S242" s="222" t="str">
        <f>Q181</f>
        <v>-</v>
      </c>
      <c r="T242" s="223">
        <f>R181</f>
        <v>0</v>
      </c>
      <c r="U242" s="181"/>
      <c r="V242" s="214">
        <v>18</v>
      </c>
      <c r="W242" s="224">
        <f>U190</f>
        <v>0.3</v>
      </c>
    </row>
    <row r="243" spans="1:23" ht="13" hidden="1" x14ac:dyDescent="0.3">
      <c r="A243" s="731"/>
      <c r="B243" s="216">
        <v>18</v>
      </c>
      <c r="C243" s="222">
        <f>C192</f>
        <v>15</v>
      </c>
      <c r="D243" s="222">
        <f>D192</f>
        <v>0</v>
      </c>
      <c r="E243" s="222" t="str">
        <f>E192</f>
        <v>-</v>
      </c>
      <c r="F243" s="222">
        <f>F192</f>
        <v>0</v>
      </c>
      <c r="G243" s="181"/>
      <c r="H243" s="734"/>
      <c r="I243" s="216">
        <v>18</v>
      </c>
      <c r="J243" s="222">
        <f>I192</f>
        <v>30</v>
      </c>
      <c r="K243" s="222">
        <f>J192</f>
        <v>-0.4</v>
      </c>
      <c r="L243" s="222" t="str">
        <f>K192</f>
        <v>-</v>
      </c>
      <c r="M243" s="222">
        <f>L192</f>
        <v>0</v>
      </c>
      <c r="N243" s="181"/>
      <c r="O243" s="734"/>
      <c r="P243" s="216">
        <v>18</v>
      </c>
      <c r="Q243" s="222">
        <f>O192</f>
        <v>800</v>
      </c>
      <c r="R243" s="222">
        <f>P192</f>
        <v>-1.5</v>
      </c>
      <c r="S243" s="222" t="str">
        <f>Q192</f>
        <v>-</v>
      </c>
      <c r="T243" s="223">
        <f>R192</f>
        <v>0</v>
      </c>
      <c r="U243" s="181"/>
      <c r="V243" s="214">
        <v>19</v>
      </c>
      <c r="W243" s="224">
        <f>U201</f>
        <v>0.1</v>
      </c>
    </row>
    <row r="244" spans="1:23" ht="13.5" hidden="1" thickBot="1" x14ac:dyDescent="0.35">
      <c r="A244" s="731"/>
      <c r="B244" s="216">
        <v>19</v>
      </c>
      <c r="C244" s="222">
        <f>C203</f>
        <v>15</v>
      </c>
      <c r="D244" s="222">
        <f>D203</f>
        <v>0</v>
      </c>
      <c r="E244" s="222" t="str">
        <f>E203</f>
        <v>-</v>
      </c>
      <c r="F244" s="222">
        <f>F203</f>
        <v>0</v>
      </c>
      <c r="G244" s="181"/>
      <c r="H244" s="734"/>
      <c r="I244" s="216">
        <v>19</v>
      </c>
      <c r="J244" s="222">
        <f>I203</f>
        <v>30</v>
      </c>
      <c r="K244" s="222">
        <f>J203</f>
        <v>-1.5</v>
      </c>
      <c r="L244" s="222" t="str">
        <f>K203</f>
        <v>-</v>
      </c>
      <c r="M244" s="222">
        <f>L203</f>
        <v>0</v>
      </c>
      <c r="N244" s="181"/>
      <c r="O244" s="734"/>
      <c r="P244" s="216">
        <v>19</v>
      </c>
      <c r="Q244" s="222">
        <f>O203</f>
        <v>750</v>
      </c>
      <c r="R244" s="222">
        <f>P203</f>
        <v>2.5</v>
      </c>
      <c r="S244" s="222" t="str">
        <f>Q203</f>
        <v>-</v>
      </c>
      <c r="T244" s="223">
        <f>R203</f>
        <v>0</v>
      </c>
      <c r="U244" s="181"/>
      <c r="V244" s="225">
        <v>20</v>
      </c>
      <c r="W244" s="226">
        <f>U212</f>
        <v>0</v>
      </c>
    </row>
    <row r="245" spans="1:23" ht="13.5" hidden="1" thickBot="1" x14ac:dyDescent="0.35">
      <c r="A245" s="732"/>
      <c r="B245" s="227">
        <v>20</v>
      </c>
      <c r="C245" s="228">
        <f>C214</f>
        <v>14.8</v>
      </c>
      <c r="D245" s="228">
        <f>D214</f>
        <v>0</v>
      </c>
      <c r="E245" s="228" t="str">
        <f>E214</f>
        <v>-</v>
      </c>
      <c r="F245" s="228">
        <f>F214</f>
        <v>0</v>
      </c>
      <c r="G245" s="229"/>
      <c r="H245" s="735"/>
      <c r="I245" s="227">
        <v>20</v>
      </c>
      <c r="J245" s="228">
        <f>I214</f>
        <v>45.7</v>
      </c>
      <c r="K245" s="228">
        <f>J214</f>
        <v>0</v>
      </c>
      <c r="L245" s="228" t="str">
        <f>K214</f>
        <v>-</v>
      </c>
      <c r="M245" s="228">
        <f>L214</f>
        <v>0</v>
      </c>
      <c r="N245" s="229"/>
      <c r="O245" s="735"/>
      <c r="P245" s="227">
        <v>20</v>
      </c>
      <c r="Q245" s="228">
        <f>O214</f>
        <v>750</v>
      </c>
      <c r="R245" s="228" t="str">
        <f>P214</f>
        <v>-</v>
      </c>
      <c r="S245" s="228" t="str">
        <f>Q214</f>
        <v>-</v>
      </c>
      <c r="T245" s="230">
        <f>R214</f>
        <v>0</v>
      </c>
      <c r="U245" s="181"/>
      <c r="V245" s="231"/>
    </row>
    <row r="246" spans="1:23" ht="13" hidden="1" x14ac:dyDescent="0.3">
      <c r="A246" s="232"/>
      <c r="B246" s="233"/>
      <c r="C246" s="234"/>
      <c r="D246" s="234"/>
      <c r="E246" s="234"/>
      <c r="F246" s="235"/>
      <c r="G246" s="236"/>
      <c r="H246" s="233"/>
      <c r="I246" s="233"/>
      <c r="J246" s="237"/>
      <c r="K246" s="237"/>
      <c r="L246" s="237"/>
      <c r="M246" s="237"/>
      <c r="N246" s="236"/>
      <c r="O246" s="233"/>
      <c r="P246" s="233"/>
      <c r="Q246" s="237"/>
      <c r="R246" s="237"/>
      <c r="S246" s="237"/>
      <c r="T246" s="238"/>
      <c r="U246" s="236"/>
      <c r="V246" s="236"/>
    </row>
    <row r="247" spans="1:23" ht="13" hidden="1" x14ac:dyDescent="0.3">
      <c r="A247" s="730">
        <v>2</v>
      </c>
      <c r="B247" s="239">
        <v>1</v>
      </c>
      <c r="C247" s="240">
        <f>C6</f>
        <v>20</v>
      </c>
      <c r="D247" s="240">
        <f>D6</f>
        <v>-0.2</v>
      </c>
      <c r="E247" s="240">
        <f>E6</f>
        <v>0.2</v>
      </c>
      <c r="F247" s="240">
        <f>F6</f>
        <v>0.2</v>
      </c>
      <c r="G247" s="241"/>
      <c r="H247" s="727">
        <v>2</v>
      </c>
      <c r="I247" s="239">
        <v>1</v>
      </c>
      <c r="J247" s="240">
        <f>I6</f>
        <v>40</v>
      </c>
      <c r="K247" s="240">
        <f>J6</f>
        <v>-6</v>
      </c>
      <c r="L247" s="240">
        <f>K6</f>
        <v>-8.6</v>
      </c>
      <c r="M247" s="240">
        <f>L6</f>
        <v>1.2999999999999998</v>
      </c>
      <c r="N247" s="241"/>
      <c r="O247" s="727">
        <v>2</v>
      </c>
      <c r="P247" s="239">
        <v>1</v>
      </c>
      <c r="Q247" s="240">
        <f>O6</f>
        <v>800</v>
      </c>
      <c r="R247" s="240" t="str">
        <f>P6</f>
        <v>-</v>
      </c>
      <c r="S247" s="240" t="str">
        <f>Q6</f>
        <v>-</v>
      </c>
      <c r="T247" s="242">
        <f>R6</f>
        <v>0</v>
      </c>
      <c r="V247" s="736" t="s">
        <v>12</v>
      </c>
      <c r="W247" s="737"/>
    </row>
    <row r="248" spans="1:23" ht="13" hidden="1" x14ac:dyDescent="0.3">
      <c r="A248" s="731"/>
      <c r="B248" s="216">
        <v>2</v>
      </c>
      <c r="C248" s="222">
        <f>C17</f>
        <v>20</v>
      </c>
      <c r="D248" s="222">
        <f>D17</f>
        <v>0.7</v>
      </c>
      <c r="E248" s="222">
        <f>E17</f>
        <v>-0.1</v>
      </c>
      <c r="F248" s="222">
        <f>F17</f>
        <v>0.39999999999999997</v>
      </c>
      <c r="G248" s="181"/>
      <c r="H248" s="728"/>
      <c r="I248" s="216">
        <v>2</v>
      </c>
      <c r="J248" s="222">
        <f>I17</f>
        <v>40</v>
      </c>
      <c r="K248" s="222">
        <f>J17</f>
        <v>-6.2</v>
      </c>
      <c r="L248" s="222">
        <f>K17</f>
        <v>-1.6</v>
      </c>
      <c r="M248" s="222">
        <f>L17</f>
        <v>2.2999999999999998</v>
      </c>
      <c r="N248" s="181"/>
      <c r="O248" s="728"/>
      <c r="P248" s="216">
        <v>2</v>
      </c>
      <c r="Q248" s="222">
        <f>O17</f>
        <v>800</v>
      </c>
      <c r="R248" s="222" t="str">
        <f>P17</f>
        <v>-</v>
      </c>
      <c r="S248" s="222" t="str">
        <f>Q17</f>
        <v>-</v>
      </c>
      <c r="T248" s="223">
        <f>R17</f>
        <v>0</v>
      </c>
      <c r="V248" s="738" t="s">
        <v>5</v>
      </c>
      <c r="W248" s="739"/>
    </row>
    <row r="249" spans="1:23" ht="13" hidden="1" x14ac:dyDescent="0.3">
      <c r="A249" s="731"/>
      <c r="B249" s="216">
        <v>3</v>
      </c>
      <c r="C249" s="217">
        <f>C28</f>
        <v>20</v>
      </c>
      <c r="D249" s="217">
        <f>D28</f>
        <v>1</v>
      </c>
      <c r="E249" s="217">
        <f>E28</f>
        <v>0</v>
      </c>
      <c r="F249" s="217">
        <f>F28</f>
        <v>0.5</v>
      </c>
      <c r="G249" s="181"/>
      <c r="H249" s="728"/>
      <c r="I249" s="216">
        <v>3</v>
      </c>
      <c r="J249" s="217">
        <f>I28</f>
        <v>40</v>
      </c>
      <c r="K249" s="217">
        <f>J28</f>
        <v>-5.9</v>
      </c>
      <c r="L249" s="217">
        <f>K28</f>
        <v>-5.3</v>
      </c>
      <c r="M249" s="217">
        <f>L28</f>
        <v>0.30000000000000027</v>
      </c>
      <c r="N249" s="181"/>
      <c r="O249" s="728"/>
      <c r="P249" s="216">
        <v>3</v>
      </c>
      <c r="Q249" s="217">
        <f>O28</f>
        <v>800</v>
      </c>
      <c r="R249" s="217" t="str">
        <f>P28</f>
        <v>-</v>
      </c>
      <c r="S249" s="217" t="str">
        <f>Q28</f>
        <v>-</v>
      </c>
      <c r="T249" s="218">
        <f>R28</f>
        <v>0</v>
      </c>
      <c r="V249" s="214">
        <v>1</v>
      </c>
      <c r="W249" s="215">
        <f>U4</f>
        <v>3.3</v>
      </c>
    </row>
    <row r="250" spans="1:23" ht="13" hidden="1" x14ac:dyDescent="0.3">
      <c r="A250" s="731"/>
      <c r="B250" s="216">
        <v>4</v>
      </c>
      <c r="C250" s="217">
        <f>C39</f>
        <v>20</v>
      </c>
      <c r="D250" s="217">
        <f>D39</f>
        <v>-0.1</v>
      </c>
      <c r="E250" s="217">
        <f>E39</f>
        <v>-0.3</v>
      </c>
      <c r="F250" s="217">
        <f>F39</f>
        <v>9.9999999999999992E-2</v>
      </c>
      <c r="G250" s="181"/>
      <c r="H250" s="728"/>
      <c r="I250" s="216">
        <v>4</v>
      </c>
      <c r="J250" s="217">
        <f>I39</f>
        <v>40</v>
      </c>
      <c r="K250" s="217">
        <f>J39</f>
        <v>-4.4000000000000004</v>
      </c>
      <c r="L250" s="217">
        <f>K39</f>
        <v>-1.5</v>
      </c>
      <c r="M250" s="217">
        <f>L39</f>
        <v>1.4500000000000002</v>
      </c>
      <c r="N250" s="181"/>
      <c r="O250" s="728"/>
      <c r="P250" s="216">
        <v>4</v>
      </c>
      <c r="Q250" s="217">
        <f>O39</f>
        <v>800</v>
      </c>
      <c r="R250" s="217" t="str">
        <f>P39</f>
        <v>-</v>
      </c>
      <c r="S250" s="217" t="str">
        <f>Q39</f>
        <v>-</v>
      </c>
      <c r="T250" s="218">
        <f>R39</f>
        <v>0</v>
      </c>
      <c r="V250" s="219">
        <v>2</v>
      </c>
      <c r="W250" s="220">
        <f>U15</f>
        <v>2.2000000000000002</v>
      </c>
    </row>
    <row r="251" spans="1:23" ht="13" hidden="1" x14ac:dyDescent="0.3">
      <c r="A251" s="731"/>
      <c r="B251" s="216">
        <v>5</v>
      </c>
      <c r="C251" s="217">
        <f>C50</f>
        <v>20</v>
      </c>
      <c r="D251" s="217">
        <f>D50</f>
        <v>0.1</v>
      </c>
      <c r="E251" s="217">
        <f>E50</f>
        <v>0.3</v>
      </c>
      <c r="F251" s="217">
        <f>F50</f>
        <v>9.9999999999999992E-2</v>
      </c>
      <c r="G251" s="181"/>
      <c r="H251" s="728"/>
      <c r="I251" s="216">
        <v>5</v>
      </c>
      <c r="J251" s="217">
        <f>I50</f>
        <v>40</v>
      </c>
      <c r="K251" s="217">
        <f>J50</f>
        <v>-7.2</v>
      </c>
      <c r="L251" s="217">
        <f>K50</f>
        <v>-8</v>
      </c>
      <c r="M251" s="217">
        <f>L50</f>
        <v>0.39999999999999991</v>
      </c>
      <c r="N251" s="181"/>
      <c r="O251" s="728"/>
      <c r="P251" s="216">
        <v>5</v>
      </c>
      <c r="Q251" s="217">
        <f>O50</f>
        <v>800</v>
      </c>
      <c r="R251" s="217" t="str">
        <f>P50</f>
        <v>-</v>
      </c>
      <c r="S251" s="217" t="str">
        <f>Q50</f>
        <v>-</v>
      </c>
      <c r="T251" s="218">
        <f>R50</f>
        <v>0</v>
      </c>
      <c r="V251" s="219">
        <v>3</v>
      </c>
      <c r="W251" s="221">
        <f>U26</f>
        <v>3.1</v>
      </c>
    </row>
    <row r="252" spans="1:23" ht="13" hidden="1" x14ac:dyDescent="0.3">
      <c r="A252" s="731"/>
      <c r="B252" s="216">
        <v>6</v>
      </c>
      <c r="C252" s="217">
        <f>C61</f>
        <v>20</v>
      </c>
      <c r="D252" s="217">
        <f>D61</f>
        <v>0.3</v>
      </c>
      <c r="E252" s="217">
        <f>E61</f>
        <v>0.2</v>
      </c>
      <c r="F252" s="217">
        <f>F61</f>
        <v>4.9999999999999989E-2</v>
      </c>
      <c r="G252" s="181"/>
      <c r="H252" s="728"/>
      <c r="I252" s="216">
        <v>6</v>
      </c>
      <c r="J252" s="217">
        <f>I61</f>
        <v>40</v>
      </c>
      <c r="K252" s="217">
        <f>J61</f>
        <v>-3.8</v>
      </c>
      <c r="L252" s="217">
        <f>K61</f>
        <v>1.5</v>
      </c>
      <c r="M252" s="217">
        <f>L61</f>
        <v>2.65</v>
      </c>
      <c r="N252" s="181"/>
      <c r="O252" s="728"/>
      <c r="P252" s="216">
        <v>6</v>
      </c>
      <c r="Q252" s="217">
        <f>O61</f>
        <v>800</v>
      </c>
      <c r="R252" s="217">
        <f>P61</f>
        <v>0.9</v>
      </c>
      <c r="S252" s="217">
        <f>Q61</f>
        <v>1.6</v>
      </c>
      <c r="T252" s="218">
        <f>R61</f>
        <v>0.35000000000000003</v>
      </c>
      <c r="V252" s="219">
        <v>4</v>
      </c>
      <c r="W252" s="221">
        <f>U38</f>
        <v>1.3</v>
      </c>
    </row>
    <row r="253" spans="1:23" ht="13" hidden="1" x14ac:dyDescent="0.3">
      <c r="A253" s="731"/>
      <c r="B253" s="216">
        <v>7</v>
      </c>
      <c r="C253" s="217">
        <f>C72</f>
        <v>20</v>
      </c>
      <c r="D253" s="217">
        <f>D72</f>
        <v>0</v>
      </c>
      <c r="E253" s="217">
        <f>E72</f>
        <v>0.1</v>
      </c>
      <c r="F253" s="217">
        <f>F72</f>
        <v>0.05</v>
      </c>
      <c r="G253" s="181"/>
      <c r="H253" s="728"/>
      <c r="I253" s="216">
        <v>7</v>
      </c>
      <c r="J253" s="217">
        <f>I72</f>
        <v>40</v>
      </c>
      <c r="K253" s="217">
        <f>J72</f>
        <v>-1.9</v>
      </c>
      <c r="L253" s="217">
        <f>K72</f>
        <v>1.2</v>
      </c>
      <c r="M253" s="217">
        <f>L72</f>
        <v>1.5499999999999998</v>
      </c>
      <c r="N253" s="181"/>
      <c r="O253" s="728"/>
      <c r="P253" s="216">
        <v>7</v>
      </c>
      <c r="Q253" s="217">
        <f>O72</f>
        <v>800</v>
      </c>
      <c r="R253" s="217">
        <f>P72</f>
        <v>0</v>
      </c>
      <c r="S253" s="217">
        <f>Q72</f>
        <v>2.5</v>
      </c>
      <c r="T253" s="218">
        <f>R72</f>
        <v>1.25</v>
      </c>
      <c r="V253" s="219">
        <v>5</v>
      </c>
      <c r="W253" s="221">
        <f>U48</f>
        <v>2.8</v>
      </c>
    </row>
    <row r="254" spans="1:23" ht="13" hidden="1" x14ac:dyDescent="0.3">
      <c r="A254" s="731"/>
      <c r="B254" s="216">
        <v>8</v>
      </c>
      <c r="C254" s="217">
        <f>C83</f>
        <v>20</v>
      </c>
      <c r="D254" s="217">
        <f>D83</f>
        <v>0</v>
      </c>
      <c r="E254" s="217">
        <f>E83</f>
        <v>-0.2</v>
      </c>
      <c r="F254" s="217">
        <f>F83</f>
        <v>0.1</v>
      </c>
      <c r="G254" s="181"/>
      <c r="H254" s="728"/>
      <c r="I254" s="216">
        <v>8</v>
      </c>
      <c r="J254" s="217">
        <f>I83</f>
        <v>40</v>
      </c>
      <c r="K254" s="217">
        <f>J83</f>
        <v>-3.8</v>
      </c>
      <c r="L254" s="217">
        <f>K83</f>
        <v>-1.2</v>
      </c>
      <c r="M254" s="217">
        <f>L83</f>
        <v>1.2999999999999998</v>
      </c>
      <c r="N254" s="181"/>
      <c r="O254" s="728"/>
      <c r="P254" s="216">
        <v>8</v>
      </c>
      <c r="Q254" s="217">
        <f>O83</f>
        <v>800</v>
      </c>
      <c r="R254" s="217">
        <f>P83</f>
        <v>0</v>
      </c>
      <c r="S254" s="217">
        <f>Q83</f>
        <v>0</v>
      </c>
      <c r="T254" s="218">
        <f>R83</f>
        <v>0</v>
      </c>
      <c r="V254" s="214">
        <v>6</v>
      </c>
      <c r="W254" s="215">
        <f>U59</f>
        <v>2.6</v>
      </c>
    </row>
    <row r="255" spans="1:23" ht="13" hidden="1" x14ac:dyDescent="0.3">
      <c r="A255" s="731"/>
      <c r="B255" s="216">
        <v>9</v>
      </c>
      <c r="C255" s="217">
        <f>C94</f>
        <v>20</v>
      </c>
      <c r="D255" s="217">
        <f>D94</f>
        <v>-0.2</v>
      </c>
      <c r="E255" s="217" t="str">
        <f>E94</f>
        <v>-</v>
      </c>
      <c r="F255" s="217">
        <f>F94</f>
        <v>0</v>
      </c>
      <c r="G255" s="181"/>
      <c r="H255" s="728"/>
      <c r="I255" s="216">
        <v>9</v>
      </c>
      <c r="J255" s="217">
        <f>I94</f>
        <v>40</v>
      </c>
      <c r="K255" s="217">
        <f>J94</f>
        <v>-1</v>
      </c>
      <c r="L255" s="217" t="str">
        <f>K94</f>
        <v>-</v>
      </c>
      <c r="M255" s="217">
        <f>L94</f>
        <v>0</v>
      </c>
      <c r="N255" s="181"/>
      <c r="O255" s="728"/>
      <c r="P255" s="216">
        <v>9</v>
      </c>
      <c r="Q255" s="217">
        <f>O94</f>
        <v>800</v>
      </c>
      <c r="R255" s="217">
        <f>P94</f>
        <v>0</v>
      </c>
      <c r="S255" s="217" t="str">
        <f>Q94</f>
        <v>-</v>
      </c>
      <c r="T255" s="218">
        <f>R94</f>
        <v>0</v>
      </c>
      <c r="V255" s="214">
        <v>7</v>
      </c>
      <c r="W255" s="215">
        <f>U70</f>
        <v>2.4</v>
      </c>
    </row>
    <row r="256" spans="1:23" ht="13" hidden="1" x14ac:dyDescent="0.3">
      <c r="A256" s="731"/>
      <c r="B256" s="216">
        <v>10</v>
      </c>
      <c r="C256" s="217">
        <f>C105</f>
        <v>20</v>
      </c>
      <c r="D256" s="217">
        <f>D105</f>
        <v>0.2</v>
      </c>
      <c r="E256" s="217">
        <f>E105</f>
        <v>-0.7</v>
      </c>
      <c r="F256" s="217">
        <f>F105</f>
        <v>0.44999999999999996</v>
      </c>
      <c r="G256" s="181"/>
      <c r="H256" s="728"/>
      <c r="I256" s="216">
        <v>10</v>
      </c>
      <c r="J256" s="217">
        <f>I105</f>
        <v>40</v>
      </c>
      <c r="K256" s="217">
        <f>J105</f>
        <v>-3.3</v>
      </c>
      <c r="L256" s="217">
        <f>K105</f>
        <v>-6.4</v>
      </c>
      <c r="M256" s="217">
        <f>L105</f>
        <v>1.5500000000000003</v>
      </c>
      <c r="N256" s="181"/>
      <c r="O256" s="728"/>
      <c r="P256" s="216">
        <v>10</v>
      </c>
      <c r="Q256" s="217">
        <f>O105</f>
        <v>800</v>
      </c>
      <c r="R256" s="217" t="str">
        <f>P105</f>
        <v>-</v>
      </c>
      <c r="S256" s="217" t="str">
        <f>Q105</f>
        <v>-</v>
      </c>
      <c r="T256" s="218">
        <f>R105</f>
        <v>0</v>
      </c>
      <c r="V256" s="214">
        <v>8</v>
      </c>
      <c r="W256" s="215">
        <f>U81</f>
        <v>2.5</v>
      </c>
    </row>
    <row r="257" spans="1:23" ht="13" hidden="1" x14ac:dyDescent="0.3">
      <c r="A257" s="731"/>
      <c r="B257" s="216">
        <v>11</v>
      </c>
      <c r="C257" s="217">
        <f>C116</f>
        <v>20</v>
      </c>
      <c r="D257" s="217">
        <f>D116</f>
        <v>0.4</v>
      </c>
      <c r="E257" s="217">
        <f>E116</f>
        <v>0.5</v>
      </c>
      <c r="F257" s="217">
        <f>F116</f>
        <v>4.9999999999999989E-2</v>
      </c>
      <c r="G257" s="181"/>
      <c r="H257" s="728"/>
      <c r="I257" s="216">
        <v>11</v>
      </c>
      <c r="J257" s="217">
        <f>I116</f>
        <v>40</v>
      </c>
      <c r="K257" s="217">
        <f>J116</f>
        <v>-5.5</v>
      </c>
      <c r="L257" s="217">
        <f>K116</f>
        <v>-5.9</v>
      </c>
      <c r="M257" s="217">
        <f>L116</f>
        <v>0.20000000000000018</v>
      </c>
      <c r="N257" s="181"/>
      <c r="O257" s="728"/>
      <c r="P257" s="216">
        <v>11</v>
      </c>
      <c r="Q257" s="217">
        <f>O116</f>
        <v>800</v>
      </c>
      <c r="R257" s="217" t="str">
        <f>P116</f>
        <v>-</v>
      </c>
      <c r="S257" s="217" t="str">
        <f>Q116</f>
        <v>-</v>
      </c>
      <c r="T257" s="218">
        <f>R116</f>
        <v>0</v>
      </c>
      <c r="V257" s="214">
        <v>9</v>
      </c>
      <c r="W257" s="215">
        <f>U92</f>
        <v>2.4</v>
      </c>
    </row>
    <row r="258" spans="1:23" ht="13" hidden="1" x14ac:dyDescent="0.3">
      <c r="A258" s="731"/>
      <c r="B258" s="216">
        <v>12</v>
      </c>
      <c r="C258" s="217">
        <f>C127</f>
        <v>20</v>
      </c>
      <c r="D258" s="217">
        <f>D127</f>
        <v>0</v>
      </c>
      <c r="E258" s="217" t="str">
        <f>E127</f>
        <v>-</v>
      </c>
      <c r="F258" s="217">
        <f>F127</f>
        <v>0</v>
      </c>
      <c r="G258" s="181"/>
      <c r="H258" s="728"/>
      <c r="I258" s="216">
        <v>12</v>
      </c>
      <c r="J258" s="217">
        <f>I127</f>
        <v>40</v>
      </c>
      <c r="K258" s="217">
        <f>J127</f>
        <v>-0.1</v>
      </c>
      <c r="L258" s="217" t="str">
        <f>K127</f>
        <v>-</v>
      </c>
      <c r="M258" s="217">
        <f>L127</f>
        <v>0</v>
      </c>
      <c r="N258" s="181"/>
      <c r="O258" s="728"/>
      <c r="P258" s="216">
        <v>12</v>
      </c>
      <c r="Q258" s="217">
        <f>O127</f>
        <v>850</v>
      </c>
      <c r="R258" s="217">
        <f>P127</f>
        <v>-0.5</v>
      </c>
      <c r="S258" s="217" t="str">
        <f>Q127</f>
        <v>-</v>
      </c>
      <c r="T258" s="218">
        <f>R127</f>
        <v>0</v>
      </c>
      <c r="V258" s="214">
        <v>10</v>
      </c>
      <c r="W258" s="215">
        <f>U103</f>
        <v>1.5</v>
      </c>
    </row>
    <row r="259" spans="1:23" ht="13" hidden="1" x14ac:dyDescent="0.3">
      <c r="A259" s="731"/>
      <c r="B259" s="216">
        <v>13</v>
      </c>
      <c r="C259" s="217">
        <f>C138</f>
        <v>20</v>
      </c>
      <c r="D259" s="217">
        <f>D138</f>
        <v>-0.4</v>
      </c>
      <c r="E259" s="217" t="str">
        <f>E138</f>
        <v>-</v>
      </c>
      <c r="F259" s="217">
        <f>F138</f>
        <v>0</v>
      </c>
      <c r="G259" s="181"/>
      <c r="H259" s="728"/>
      <c r="I259" s="216">
        <v>13</v>
      </c>
      <c r="J259" s="217">
        <f>I138</f>
        <v>40</v>
      </c>
      <c r="K259" s="217">
        <f>J138</f>
        <v>-1.3</v>
      </c>
      <c r="L259" s="217" t="str">
        <f>K138</f>
        <v>-</v>
      </c>
      <c r="M259" s="217">
        <f>L138</f>
        <v>0</v>
      </c>
      <c r="N259" s="181"/>
      <c r="O259" s="728"/>
      <c r="P259" s="216">
        <v>13</v>
      </c>
      <c r="Q259" s="217">
        <f>O138</f>
        <v>970</v>
      </c>
      <c r="R259" s="217">
        <f>P138</f>
        <v>1</v>
      </c>
      <c r="S259" s="217" t="str">
        <f>Q138</f>
        <v>-</v>
      </c>
      <c r="T259" s="218">
        <f>R138</f>
        <v>0</v>
      </c>
      <c r="V259" s="214">
        <v>11</v>
      </c>
      <c r="W259" s="215">
        <f>U114</f>
        <v>1.8</v>
      </c>
    </row>
    <row r="260" spans="1:23" ht="13" hidden="1" x14ac:dyDescent="0.3">
      <c r="A260" s="731"/>
      <c r="B260" s="216">
        <v>14</v>
      </c>
      <c r="C260" s="217">
        <f>C149</f>
        <v>20</v>
      </c>
      <c r="D260" s="217">
        <f>D149</f>
        <v>-0.1</v>
      </c>
      <c r="E260" s="217" t="str">
        <f>E149</f>
        <v>-</v>
      </c>
      <c r="F260" s="217">
        <f>F149</f>
        <v>0</v>
      </c>
      <c r="G260" s="181"/>
      <c r="H260" s="728"/>
      <c r="I260" s="216">
        <v>14</v>
      </c>
      <c r="J260" s="217">
        <f>I149</f>
        <v>40</v>
      </c>
      <c r="K260" s="217">
        <f>J149</f>
        <v>0.3</v>
      </c>
      <c r="L260" s="217" t="str">
        <f>K149</f>
        <v>-</v>
      </c>
      <c r="M260" s="217">
        <f>L149</f>
        <v>0</v>
      </c>
      <c r="N260" s="181"/>
      <c r="O260" s="728"/>
      <c r="P260" s="216">
        <v>14</v>
      </c>
      <c r="Q260" s="217">
        <f>O149</f>
        <v>970</v>
      </c>
      <c r="R260" s="217">
        <f>P149</f>
        <v>1</v>
      </c>
      <c r="S260" s="217" t="str">
        <f>Q149</f>
        <v>-</v>
      </c>
      <c r="T260" s="218">
        <f>R149</f>
        <v>0</v>
      </c>
      <c r="V260" s="214">
        <v>12</v>
      </c>
      <c r="W260" s="243">
        <f>U125</f>
        <v>2</v>
      </c>
    </row>
    <row r="261" spans="1:23" ht="13" hidden="1" x14ac:dyDescent="0.3">
      <c r="A261" s="731"/>
      <c r="B261" s="216">
        <v>15</v>
      </c>
      <c r="C261" s="217">
        <f>C160</f>
        <v>20</v>
      </c>
      <c r="D261" s="217">
        <f>D160</f>
        <v>-0.5</v>
      </c>
      <c r="E261" s="217" t="str">
        <f>E160</f>
        <v>-</v>
      </c>
      <c r="F261" s="217">
        <f>F160</f>
        <v>0</v>
      </c>
      <c r="G261" s="181"/>
      <c r="H261" s="728"/>
      <c r="I261" s="216">
        <v>15</v>
      </c>
      <c r="J261" s="217">
        <f>I160</f>
        <v>40</v>
      </c>
      <c r="K261" s="217">
        <f>J160</f>
        <v>-0.3</v>
      </c>
      <c r="L261" s="217" t="str">
        <f>K160</f>
        <v>-</v>
      </c>
      <c r="M261" s="217">
        <f>L160</f>
        <v>0</v>
      </c>
      <c r="N261" s="181"/>
      <c r="O261" s="728"/>
      <c r="P261" s="216">
        <v>15</v>
      </c>
      <c r="Q261" s="217">
        <f>O160</f>
        <v>970</v>
      </c>
      <c r="R261" s="217">
        <f>P160</f>
        <v>1</v>
      </c>
      <c r="S261" s="217" t="str">
        <f>Q160</f>
        <v>-</v>
      </c>
      <c r="T261" s="218">
        <f>R160</f>
        <v>0</v>
      </c>
      <c r="V261" s="214">
        <v>13</v>
      </c>
      <c r="W261" s="215">
        <f>U136</f>
        <v>2.7</v>
      </c>
    </row>
    <row r="262" spans="1:23" ht="13" hidden="1" x14ac:dyDescent="0.3">
      <c r="A262" s="731"/>
      <c r="B262" s="216">
        <v>16</v>
      </c>
      <c r="C262" s="217">
        <f>C171</f>
        <v>20</v>
      </c>
      <c r="D262" s="217">
        <f>D171</f>
        <v>0.2</v>
      </c>
      <c r="E262" s="217" t="str">
        <f>E171</f>
        <v>-</v>
      </c>
      <c r="F262" s="217">
        <f>F171</f>
        <v>0</v>
      </c>
      <c r="G262" s="181"/>
      <c r="H262" s="728"/>
      <c r="I262" s="216">
        <v>16</v>
      </c>
      <c r="J262" s="217">
        <f>I171</f>
        <v>40</v>
      </c>
      <c r="K262" s="217">
        <f>J171</f>
        <v>-1.4</v>
      </c>
      <c r="L262" s="217" t="str">
        <f>K171</f>
        <v>-</v>
      </c>
      <c r="M262" s="217">
        <f>L171</f>
        <v>0</v>
      </c>
      <c r="N262" s="181"/>
      <c r="O262" s="728"/>
      <c r="P262" s="216">
        <v>16</v>
      </c>
      <c r="Q262" s="217">
        <f>O171</f>
        <v>850</v>
      </c>
      <c r="R262" s="217">
        <f>P171</f>
        <v>-2.2999999999999998</v>
      </c>
      <c r="S262" s="217" t="str">
        <f>Q171</f>
        <v>-</v>
      </c>
      <c r="T262" s="218">
        <f>R171</f>
        <v>0</v>
      </c>
      <c r="V262" s="214">
        <v>14</v>
      </c>
      <c r="W262" s="215">
        <f>U147</f>
        <v>2.2000000000000002</v>
      </c>
    </row>
    <row r="263" spans="1:23" ht="13" hidden="1" x14ac:dyDescent="0.3">
      <c r="A263" s="731"/>
      <c r="B263" s="216">
        <v>17</v>
      </c>
      <c r="C263" s="217">
        <f>C182</f>
        <v>20</v>
      </c>
      <c r="D263" s="217">
        <f>D182</f>
        <v>0.1</v>
      </c>
      <c r="E263" s="217" t="str">
        <f>E182</f>
        <v>-</v>
      </c>
      <c r="F263" s="217">
        <f>F182</f>
        <v>0</v>
      </c>
      <c r="G263" s="181"/>
      <c r="H263" s="728"/>
      <c r="I263" s="216">
        <v>17</v>
      </c>
      <c r="J263" s="217">
        <f>I182</f>
        <v>40</v>
      </c>
      <c r="K263" s="217">
        <f>J182</f>
        <v>0.2</v>
      </c>
      <c r="L263" s="217" t="str">
        <f>K182</f>
        <v>-</v>
      </c>
      <c r="M263" s="217">
        <f>L182</f>
        <v>0</v>
      </c>
      <c r="N263" s="181"/>
      <c r="O263" s="728"/>
      <c r="P263" s="216">
        <v>17</v>
      </c>
      <c r="Q263" s="217">
        <f>O182</f>
        <v>970</v>
      </c>
      <c r="R263" s="217">
        <f>P182</f>
        <v>-0.6</v>
      </c>
      <c r="S263" s="217" t="str">
        <f>Q182</f>
        <v>-</v>
      </c>
      <c r="T263" s="218">
        <f>R182</f>
        <v>0</v>
      </c>
      <c r="V263" s="214">
        <v>15</v>
      </c>
      <c r="W263" s="215">
        <f>U158</f>
        <v>2.7</v>
      </c>
    </row>
    <row r="264" spans="1:23" ht="13" hidden="1" x14ac:dyDescent="0.3">
      <c r="A264" s="731"/>
      <c r="B264" s="216">
        <v>18</v>
      </c>
      <c r="C264" s="217">
        <f>C193</f>
        <v>20</v>
      </c>
      <c r="D264" s="217">
        <f>D193</f>
        <v>-0.1</v>
      </c>
      <c r="E264" s="217" t="str">
        <f>E193</f>
        <v>-</v>
      </c>
      <c r="F264" s="217">
        <f>F193</f>
        <v>0</v>
      </c>
      <c r="G264" s="181"/>
      <c r="H264" s="728"/>
      <c r="I264" s="216">
        <v>18</v>
      </c>
      <c r="J264" s="217">
        <f>I193</f>
        <v>40</v>
      </c>
      <c r="K264" s="217">
        <f>J193</f>
        <v>-0.2</v>
      </c>
      <c r="L264" s="217" t="str">
        <f>K193</f>
        <v>-</v>
      </c>
      <c r="M264" s="217">
        <f>L193</f>
        <v>0</v>
      </c>
      <c r="N264" s="181"/>
      <c r="O264" s="728"/>
      <c r="P264" s="216">
        <v>18</v>
      </c>
      <c r="Q264" s="217">
        <f>O193</f>
        <v>850</v>
      </c>
      <c r="R264" s="217">
        <f>P193</f>
        <v>-1.3</v>
      </c>
      <c r="S264" s="217" t="str">
        <f>Q193</f>
        <v>-</v>
      </c>
      <c r="T264" s="218">
        <f>R193</f>
        <v>0</v>
      </c>
      <c r="V264" s="214">
        <v>16</v>
      </c>
      <c r="W264" s="215">
        <f>U169</f>
        <v>2.2000000000000002</v>
      </c>
    </row>
    <row r="265" spans="1:23" ht="13" hidden="1" x14ac:dyDescent="0.3">
      <c r="A265" s="731"/>
      <c r="B265" s="216">
        <v>19</v>
      </c>
      <c r="C265" s="217">
        <f>C204</f>
        <v>20</v>
      </c>
      <c r="D265" s="217">
        <f>D204</f>
        <v>0.1</v>
      </c>
      <c r="E265" s="217" t="str">
        <f>E204</f>
        <v>-</v>
      </c>
      <c r="F265" s="217">
        <f>F204</f>
        <v>0</v>
      </c>
      <c r="G265" s="181"/>
      <c r="H265" s="728"/>
      <c r="I265" s="216">
        <v>19</v>
      </c>
      <c r="J265" s="217">
        <f>I204</f>
        <v>40</v>
      </c>
      <c r="K265" s="217">
        <f>J204</f>
        <v>-0.8</v>
      </c>
      <c r="L265" s="217" t="str">
        <f>K204</f>
        <v>-</v>
      </c>
      <c r="M265" s="217">
        <f>L204</f>
        <v>0</v>
      </c>
      <c r="N265" s="181"/>
      <c r="O265" s="728"/>
      <c r="P265" s="216">
        <v>19</v>
      </c>
      <c r="Q265" s="217">
        <f>O204</f>
        <v>800</v>
      </c>
      <c r="R265" s="217">
        <f>P204</f>
        <v>2.5</v>
      </c>
      <c r="S265" s="217" t="str">
        <f>Q204</f>
        <v>-</v>
      </c>
      <c r="T265" s="218">
        <f>R204</f>
        <v>0</v>
      </c>
      <c r="V265" s="214">
        <v>17</v>
      </c>
      <c r="W265" s="215">
        <f>U180</f>
        <v>2.8</v>
      </c>
    </row>
    <row r="266" spans="1:23" ht="13.5" hidden="1" thickBot="1" x14ac:dyDescent="0.35">
      <c r="A266" s="732"/>
      <c r="B266" s="227">
        <v>20</v>
      </c>
      <c r="C266" s="244">
        <f>C215</f>
        <v>19.7</v>
      </c>
      <c r="D266" s="244">
        <f>D215</f>
        <v>0</v>
      </c>
      <c r="E266" s="244" t="str">
        <f>E215</f>
        <v>-</v>
      </c>
      <c r="F266" s="244">
        <f>F215</f>
        <v>0</v>
      </c>
      <c r="G266" s="229"/>
      <c r="H266" s="729"/>
      <c r="I266" s="227">
        <v>20</v>
      </c>
      <c r="J266" s="244">
        <f>I215</f>
        <v>54.3</v>
      </c>
      <c r="K266" s="244">
        <f>J215</f>
        <v>0</v>
      </c>
      <c r="L266" s="244" t="str">
        <f>K215</f>
        <v>-</v>
      </c>
      <c r="M266" s="244">
        <f>L215</f>
        <v>0</v>
      </c>
      <c r="N266" s="229"/>
      <c r="O266" s="729"/>
      <c r="P266" s="227">
        <v>20</v>
      </c>
      <c r="Q266" s="244">
        <f>O215</f>
        <v>800</v>
      </c>
      <c r="R266" s="244" t="str">
        <f>P215</f>
        <v>-</v>
      </c>
      <c r="S266" s="244" t="str">
        <f>Q215</f>
        <v>-</v>
      </c>
      <c r="T266" s="245">
        <f>R215</f>
        <v>0</v>
      </c>
      <c r="V266" s="214">
        <v>18</v>
      </c>
      <c r="W266" s="215">
        <f>U191</f>
        <v>1.6</v>
      </c>
    </row>
    <row r="267" spans="1:23" ht="13" hidden="1" x14ac:dyDescent="0.3">
      <c r="A267" s="232"/>
      <c r="B267" s="233"/>
      <c r="C267" s="246"/>
      <c r="D267" s="246"/>
      <c r="E267" s="246"/>
      <c r="F267" s="247"/>
      <c r="G267" s="236"/>
      <c r="H267" s="232"/>
      <c r="I267" s="233"/>
      <c r="J267" s="246"/>
      <c r="K267" s="246"/>
      <c r="L267" s="246"/>
      <c r="M267" s="247"/>
      <c r="N267" s="181"/>
      <c r="O267" s="232"/>
      <c r="P267" s="233"/>
      <c r="Q267" s="246"/>
      <c r="R267" s="246"/>
      <c r="S267" s="246"/>
      <c r="T267" s="247"/>
      <c r="V267" s="214">
        <v>19</v>
      </c>
      <c r="W267" s="224">
        <f>U202</f>
        <v>1.5</v>
      </c>
    </row>
    <row r="268" spans="1:23" ht="13.5" hidden="1" thickBot="1" x14ac:dyDescent="0.35">
      <c r="A268" s="724">
        <v>3</v>
      </c>
      <c r="B268" s="239">
        <v>1</v>
      </c>
      <c r="C268" s="248">
        <f>C7</f>
        <v>25</v>
      </c>
      <c r="D268" s="248">
        <f>D7</f>
        <v>0</v>
      </c>
      <c r="E268" s="248">
        <f>E7</f>
        <v>0.1</v>
      </c>
      <c r="F268" s="248">
        <f>F7</f>
        <v>0.05</v>
      </c>
      <c r="G268" s="241"/>
      <c r="H268" s="727">
        <v>3</v>
      </c>
      <c r="I268" s="239">
        <v>1</v>
      </c>
      <c r="J268" s="248">
        <f>I7</f>
        <v>50</v>
      </c>
      <c r="K268" s="248">
        <f>J7</f>
        <v>-5.8</v>
      </c>
      <c r="L268" s="248">
        <f>K7</f>
        <v>-7.2</v>
      </c>
      <c r="M268" s="248">
        <f>L7</f>
        <v>0.70000000000000018</v>
      </c>
      <c r="N268" s="241"/>
      <c r="O268" s="727">
        <v>3</v>
      </c>
      <c r="P268" s="239">
        <v>1</v>
      </c>
      <c r="Q268" s="248">
        <f>O7</f>
        <v>850</v>
      </c>
      <c r="R268" s="248" t="str">
        <f>P7</f>
        <v>-</v>
      </c>
      <c r="S268" s="248" t="str">
        <f>Q7</f>
        <v>-</v>
      </c>
      <c r="T268" s="249">
        <f>R7</f>
        <v>0</v>
      </c>
      <c r="V268" s="225">
        <v>20</v>
      </c>
      <c r="W268" s="226">
        <f>U213</f>
        <v>0</v>
      </c>
    </row>
    <row r="269" spans="1:23" ht="13" hidden="1" x14ac:dyDescent="0.3">
      <c r="A269" s="725"/>
      <c r="B269" s="216">
        <v>2</v>
      </c>
      <c r="C269" s="217">
        <f>C18</f>
        <v>25</v>
      </c>
      <c r="D269" s="217">
        <f>D18</f>
        <v>0.5</v>
      </c>
      <c r="E269" s="217">
        <f>E18</f>
        <v>-0.2</v>
      </c>
      <c r="F269" s="217">
        <f>F18</f>
        <v>0.35</v>
      </c>
      <c r="G269" s="181"/>
      <c r="H269" s="728"/>
      <c r="I269" s="216">
        <v>2</v>
      </c>
      <c r="J269" s="217">
        <f>I18</f>
        <v>50</v>
      </c>
      <c r="K269" s="217">
        <f>J18</f>
        <v>-5.3</v>
      </c>
      <c r="L269" s="217">
        <f>K18</f>
        <v>-1.5</v>
      </c>
      <c r="M269" s="217">
        <f>L18</f>
        <v>1.9</v>
      </c>
      <c r="N269" s="181"/>
      <c r="O269" s="728"/>
      <c r="P269" s="216">
        <v>2</v>
      </c>
      <c r="Q269" s="217">
        <f>O18</f>
        <v>850</v>
      </c>
      <c r="R269" s="217" t="str">
        <f>P18</f>
        <v>-</v>
      </c>
      <c r="S269" s="217" t="str">
        <f>Q18</f>
        <v>-</v>
      </c>
      <c r="T269" s="218">
        <f>R18</f>
        <v>0</v>
      </c>
    </row>
    <row r="270" spans="1:23" ht="13" hidden="1" x14ac:dyDescent="0.3">
      <c r="A270" s="725"/>
      <c r="B270" s="216">
        <v>3</v>
      </c>
      <c r="C270" s="217">
        <f>C29</f>
        <v>25</v>
      </c>
      <c r="D270" s="217">
        <f>D29</f>
        <v>0.7</v>
      </c>
      <c r="E270" s="217">
        <f>E29</f>
        <v>-0.1</v>
      </c>
      <c r="F270" s="217">
        <f>F29</f>
        <v>0.39999999999999997</v>
      </c>
      <c r="G270" s="181"/>
      <c r="H270" s="728"/>
      <c r="I270" s="216">
        <v>3</v>
      </c>
      <c r="J270" s="217">
        <f>I29</f>
        <v>50</v>
      </c>
      <c r="K270" s="217">
        <f>J29</f>
        <v>-4.5</v>
      </c>
      <c r="L270" s="217">
        <f>K29</f>
        <v>-4.9000000000000004</v>
      </c>
      <c r="M270" s="217">
        <f>L29</f>
        <v>0.20000000000000018</v>
      </c>
      <c r="N270" s="181"/>
      <c r="O270" s="728"/>
      <c r="P270" s="216">
        <v>3</v>
      </c>
      <c r="Q270" s="217">
        <f>O29</f>
        <v>850</v>
      </c>
      <c r="R270" s="217" t="str">
        <f>P29</f>
        <v>-</v>
      </c>
      <c r="S270" s="217" t="str">
        <f>Q29</f>
        <v>-</v>
      </c>
      <c r="T270" s="218">
        <f>R29</f>
        <v>0</v>
      </c>
    </row>
    <row r="271" spans="1:23" ht="13" hidden="1" x14ac:dyDescent="0.3">
      <c r="A271" s="725"/>
      <c r="B271" s="216">
        <v>4</v>
      </c>
      <c r="C271" s="217">
        <f>C40</f>
        <v>25</v>
      </c>
      <c r="D271" s="217">
        <f>D40</f>
        <v>-0.1</v>
      </c>
      <c r="E271" s="217">
        <f>E40</f>
        <v>-0.5</v>
      </c>
      <c r="F271" s="217">
        <f>F40</f>
        <v>0.2</v>
      </c>
      <c r="G271" s="181"/>
      <c r="H271" s="728"/>
      <c r="I271" s="216">
        <v>4</v>
      </c>
      <c r="J271" s="217">
        <f>I40</f>
        <v>50</v>
      </c>
      <c r="K271" s="217">
        <f>J40</f>
        <v>-4.3</v>
      </c>
      <c r="L271" s="217">
        <f>K40</f>
        <v>-1</v>
      </c>
      <c r="M271" s="217">
        <f>L40</f>
        <v>1.65</v>
      </c>
      <c r="N271" s="181"/>
      <c r="O271" s="728"/>
      <c r="P271" s="216">
        <v>4</v>
      </c>
      <c r="Q271" s="217">
        <f>O40</f>
        <v>850</v>
      </c>
      <c r="R271" s="217" t="str">
        <f>P40</f>
        <v>-</v>
      </c>
      <c r="S271" s="217" t="str">
        <f>Q40</f>
        <v>-</v>
      </c>
      <c r="T271" s="218">
        <f>R40</f>
        <v>0</v>
      </c>
      <c r="V271" s="736" t="s">
        <v>12</v>
      </c>
      <c r="W271" s="737"/>
    </row>
    <row r="272" spans="1:23" ht="13" hidden="1" x14ac:dyDescent="0.3">
      <c r="A272" s="725"/>
      <c r="B272" s="216">
        <v>5</v>
      </c>
      <c r="C272" s="217">
        <f>C51</f>
        <v>25</v>
      </c>
      <c r="D272" s="217">
        <f>D51</f>
        <v>0.4</v>
      </c>
      <c r="E272" s="217">
        <f>E51</f>
        <v>0.2</v>
      </c>
      <c r="F272" s="217">
        <f>F51</f>
        <v>0.1</v>
      </c>
      <c r="G272" s="181"/>
      <c r="H272" s="728"/>
      <c r="I272" s="216">
        <v>5</v>
      </c>
      <c r="J272" s="217">
        <f>I51</f>
        <v>50</v>
      </c>
      <c r="K272" s="217">
        <f>J51</f>
        <v>-6.2</v>
      </c>
      <c r="L272" s="217">
        <f>K51</f>
        <v>-6.2</v>
      </c>
      <c r="M272" s="217">
        <f>L51</f>
        <v>0</v>
      </c>
      <c r="N272" s="181"/>
      <c r="O272" s="728"/>
      <c r="P272" s="216">
        <v>5</v>
      </c>
      <c r="Q272" s="217">
        <f>O51</f>
        <v>850</v>
      </c>
      <c r="R272" s="217" t="str">
        <f>P51</f>
        <v>-</v>
      </c>
      <c r="S272" s="217" t="str">
        <f>Q51</f>
        <v>-</v>
      </c>
      <c r="T272" s="218">
        <f>R51</f>
        <v>0</v>
      </c>
      <c r="V272" s="738" t="s">
        <v>6</v>
      </c>
      <c r="W272" s="739"/>
    </row>
    <row r="273" spans="1:23" ht="13" hidden="1" x14ac:dyDescent="0.3">
      <c r="A273" s="725"/>
      <c r="B273" s="216">
        <v>6</v>
      </c>
      <c r="C273" s="217">
        <f>C62</f>
        <v>25</v>
      </c>
      <c r="D273" s="217">
        <f>D62</f>
        <v>0.2</v>
      </c>
      <c r="E273" s="217">
        <f>E62</f>
        <v>-0.1</v>
      </c>
      <c r="F273" s="217">
        <f>F62</f>
        <v>0.15000000000000002</v>
      </c>
      <c r="G273" s="181"/>
      <c r="H273" s="728"/>
      <c r="I273" s="216">
        <v>6</v>
      </c>
      <c r="J273" s="217">
        <f>I62</f>
        <v>50</v>
      </c>
      <c r="K273" s="217">
        <f>J62</f>
        <v>-5.4</v>
      </c>
      <c r="L273" s="217">
        <f>K62</f>
        <v>1.2</v>
      </c>
      <c r="M273" s="217">
        <f>L62</f>
        <v>3.3000000000000003</v>
      </c>
      <c r="N273" s="181"/>
      <c r="O273" s="728"/>
      <c r="P273" s="216">
        <v>6</v>
      </c>
      <c r="Q273" s="217">
        <f>O62</f>
        <v>850</v>
      </c>
      <c r="R273" s="217">
        <f>P62</f>
        <v>0.9</v>
      </c>
      <c r="S273" s="217">
        <f>Q62</f>
        <v>1.1000000000000001</v>
      </c>
      <c r="T273" s="218">
        <f>R62</f>
        <v>0.10000000000000003</v>
      </c>
      <c r="V273" s="214">
        <v>1</v>
      </c>
      <c r="W273" s="215">
        <f>U5</f>
        <v>0</v>
      </c>
    </row>
    <row r="274" spans="1:23" ht="13" hidden="1" x14ac:dyDescent="0.3">
      <c r="A274" s="725"/>
      <c r="B274" s="216">
        <v>7</v>
      </c>
      <c r="C274" s="217">
        <f>C73</f>
        <v>25</v>
      </c>
      <c r="D274" s="217">
        <f>D73</f>
        <v>0</v>
      </c>
      <c r="E274" s="217">
        <f>E73</f>
        <v>-0.2</v>
      </c>
      <c r="F274" s="217">
        <f>F73</f>
        <v>0.1</v>
      </c>
      <c r="G274" s="181"/>
      <c r="H274" s="728"/>
      <c r="I274" s="216">
        <v>7</v>
      </c>
      <c r="J274" s="217">
        <f>I73</f>
        <v>50</v>
      </c>
      <c r="K274" s="217">
        <f>J73</f>
        <v>-1.9</v>
      </c>
      <c r="L274" s="217">
        <f>K73</f>
        <v>0.8</v>
      </c>
      <c r="M274" s="217">
        <f>L73</f>
        <v>1.35</v>
      </c>
      <c r="N274" s="181"/>
      <c r="O274" s="728"/>
      <c r="P274" s="216">
        <v>7</v>
      </c>
      <c r="Q274" s="217">
        <f>O73</f>
        <v>850</v>
      </c>
      <c r="R274" s="217">
        <f>P73</f>
        <v>0</v>
      </c>
      <c r="S274" s="217">
        <f>Q73</f>
        <v>1.7</v>
      </c>
      <c r="T274" s="218">
        <f>R73</f>
        <v>0.85</v>
      </c>
      <c r="V274" s="219">
        <v>2</v>
      </c>
      <c r="W274" s="215">
        <f>U16</f>
        <v>0</v>
      </c>
    </row>
    <row r="275" spans="1:23" ht="13" hidden="1" x14ac:dyDescent="0.3">
      <c r="A275" s="725"/>
      <c r="B275" s="216">
        <v>8</v>
      </c>
      <c r="C275" s="217">
        <f>C84</f>
        <v>25</v>
      </c>
      <c r="D275" s="217">
        <f>D84</f>
        <v>-0.1</v>
      </c>
      <c r="E275" s="217">
        <f>E84</f>
        <v>-0.4</v>
      </c>
      <c r="F275" s="217">
        <f>F84</f>
        <v>0.15000000000000002</v>
      </c>
      <c r="G275" s="181"/>
      <c r="H275" s="728"/>
      <c r="I275" s="216">
        <v>8</v>
      </c>
      <c r="J275" s="217">
        <f>I84</f>
        <v>50</v>
      </c>
      <c r="K275" s="217">
        <f>J84</f>
        <v>-3.8</v>
      </c>
      <c r="L275" s="217">
        <f>K84</f>
        <v>-1.2</v>
      </c>
      <c r="M275" s="217">
        <f>L84</f>
        <v>1.2999999999999998</v>
      </c>
      <c r="N275" s="181"/>
      <c r="O275" s="728"/>
      <c r="P275" s="216">
        <v>8</v>
      </c>
      <c r="Q275" s="217">
        <f>O84</f>
        <v>850</v>
      </c>
      <c r="R275" s="217">
        <f>P84</f>
        <v>0</v>
      </c>
      <c r="S275" s="217">
        <f>Q84</f>
        <v>0</v>
      </c>
      <c r="T275" s="218">
        <f>R84</f>
        <v>0</v>
      </c>
      <c r="V275" s="219">
        <v>3</v>
      </c>
      <c r="W275" s="250">
        <f>U27</f>
        <v>0</v>
      </c>
    </row>
    <row r="276" spans="1:23" ht="13" hidden="1" x14ac:dyDescent="0.3">
      <c r="A276" s="725"/>
      <c r="B276" s="216">
        <v>9</v>
      </c>
      <c r="C276" s="217">
        <f>C95</f>
        <v>25</v>
      </c>
      <c r="D276" s="217">
        <f>D95</f>
        <v>-0.4</v>
      </c>
      <c r="E276" s="217" t="str">
        <f>E95</f>
        <v>-</v>
      </c>
      <c r="F276" s="217">
        <f>F95</f>
        <v>0</v>
      </c>
      <c r="G276" s="181"/>
      <c r="H276" s="728"/>
      <c r="I276" s="216">
        <v>9</v>
      </c>
      <c r="J276" s="217">
        <f>I95</f>
        <v>50</v>
      </c>
      <c r="K276" s="217">
        <f>J95</f>
        <v>-0.9</v>
      </c>
      <c r="L276" s="217" t="str">
        <f>K95</f>
        <v>-</v>
      </c>
      <c r="M276" s="217">
        <f>L95</f>
        <v>0</v>
      </c>
      <c r="N276" s="181"/>
      <c r="O276" s="728"/>
      <c r="P276" s="216">
        <v>9</v>
      </c>
      <c r="Q276" s="217">
        <f>O95</f>
        <v>850</v>
      </c>
      <c r="R276" s="217">
        <f>P95</f>
        <v>0</v>
      </c>
      <c r="S276" s="217" t="str">
        <f>Q95</f>
        <v>-</v>
      </c>
      <c r="T276" s="218">
        <f>R95</f>
        <v>0</v>
      </c>
      <c r="V276" s="219">
        <v>4</v>
      </c>
      <c r="W276" s="250">
        <f>U39</f>
        <v>0</v>
      </c>
    </row>
    <row r="277" spans="1:23" ht="13" hidden="1" x14ac:dyDescent="0.3">
      <c r="A277" s="725"/>
      <c r="B277" s="216">
        <v>10</v>
      </c>
      <c r="C277" s="217">
        <f>C106</f>
        <v>25</v>
      </c>
      <c r="D277" s="217">
        <f>D106</f>
        <v>0.1</v>
      </c>
      <c r="E277" s="217">
        <f>E106</f>
        <v>-0.5</v>
      </c>
      <c r="F277" s="217">
        <f>F106</f>
        <v>0.3</v>
      </c>
      <c r="G277" s="181"/>
      <c r="H277" s="728"/>
      <c r="I277" s="216">
        <v>10</v>
      </c>
      <c r="J277" s="217">
        <f>I106</f>
        <v>50</v>
      </c>
      <c r="K277" s="217">
        <f>J106</f>
        <v>-3.1</v>
      </c>
      <c r="L277" s="217">
        <f>K106</f>
        <v>-6.1</v>
      </c>
      <c r="M277" s="217">
        <f>L106</f>
        <v>1.4999999999999998</v>
      </c>
      <c r="N277" s="181"/>
      <c r="O277" s="728"/>
      <c r="P277" s="216">
        <v>10</v>
      </c>
      <c r="Q277" s="217">
        <f>O106</f>
        <v>850</v>
      </c>
      <c r="R277" s="217" t="str">
        <f>P106</f>
        <v>-</v>
      </c>
      <c r="S277" s="217" t="str">
        <f>Q106</f>
        <v>-</v>
      </c>
      <c r="T277" s="218">
        <f>R106</f>
        <v>0</v>
      </c>
      <c r="V277" s="219">
        <v>5</v>
      </c>
      <c r="W277" s="250">
        <f>U49</f>
        <v>0</v>
      </c>
    </row>
    <row r="278" spans="1:23" ht="13" hidden="1" x14ac:dyDescent="0.3">
      <c r="A278" s="725"/>
      <c r="B278" s="216">
        <v>11</v>
      </c>
      <c r="C278" s="217">
        <f>C117</f>
        <v>25</v>
      </c>
      <c r="D278" s="217">
        <f>D117</f>
        <v>0.4</v>
      </c>
      <c r="E278" s="217">
        <f>E117</f>
        <v>0.5</v>
      </c>
      <c r="F278" s="217">
        <f>F117</f>
        <v>4.9999999999999989E-2</v>
      </c>
      <c r="G278" s="181"/>
      <c r="H278" s="728"/>
      <c r="I278" s="216">
        <v>11</v>
      </c>
      <c r="J278" s="217">
        <f>I117</f>
        <v>50</v>
      </c>
      <c r="K278" s="217">
        <f>J117</f>
        <v>-5.5</v>
      </c>
      <c r="L278" s="217">
        <f>K117</f>
        <v>-5.6</v>
      </c>
      <c r="M278" s="217">
        <f>L117</f>
        <v>4.9999999999999822E-2</v>
      </c>
      <c r="N278" s="181"/>
      <c r="O278" s="728"/>
      <c r="P278" s="216">
        <v>11</v>
      </c>
      <c r="Q278" s="217">
        <f>O117</f>
        <v>850</v>
      </c>
      <c r="R278" s="217" t="str">
        <f>P117</f>
        <v>-</v>
      </c>
      <c r="S278" s="217" t="str">
        <f>Q117</f>
        <v>-</v>
      </c>
      <c r="T278" s="218">
        <f>R117</f>
        <v>0</v>
      </c>
      <c r="V278" s="214">
        <v>6</v>
      </c>
      <c r="W278" s="215">
        <f>U60</f>
        <v>1.6</v>
      </c>
    </row>
    <row r="279" spans="1:23" ht="13" hidden="1" x14ac:dyDescent="0.3">
      <c r="A279" s="725"/>
      <c r="B279" s="216">
        <v>12</v>
      </c>
      <c r="C279" s="217">
        <f>C128</f>
        <v>25</v>
      </c>
      <c r="D279" s="217">
        <f>D128</f>
        <v>0</v>
      </c>
      <c r="E279" s="217" t="str">
        <f>E128</f>
        <v>-</v>
      </c>
      <c r="F279" s="217">
        <f>F128</f>
        <v>0</v>
      </c>
      <c r="G279" s="181"/>
      <c r="H279" s="728"/>
      <c r="I279" s="216">
        <v>12</v>
      </c>
      <c r="J279" s="217">
        <f>I128</f>
        <v>50</v>
      </c>
      <c r="K279" s="217">
        <f>J128</f>
        <v>0</v>
      </c>
      <c r="L279" s="217" t="str">
        <f>K128</f>
        <v>-</v>
      </c>
      <c r="M279" s="217">
        <f>L128</f>
        <v>0</v>
      </c>
      <c r="N279" s="181"/>
      <c r="O279" s="728"/>
      <c r="P279" s="216">
        <v>12</v>
      </c>
      <c r="Q279" s="217">
        <f>O128</f>
        <v>900</v>
      </c>
      <c r="R279" s="217">
        <f>P128</f>
        <v>-0.6</v>
      </c>
      <c r="S279" s="217" t="str">
        <f>Q128</f>
        <v>-</v>
      </c>
      <c r="T279" s="218">
        <f>R128</f>
        <v>0</v>
      </c>
      <c r="V279" s="214">
        <v>7</v>
      </c>
      <c r="W279" s="215">
        <f>U71</f>
        <v>2.4</v>
      </c>
    </row>
    <row r="280" spans="1:23" ht="13" hidden="1" x14ac:dyDescent="0.3">
      <c r="A280" s="725"/>
      <c r="B280" s="216">
        <v>13</v>
      </c>
      <c r="C280" s="217">
        <f>C139</f>
        <v>25</v>
      </c>
      <c r="D280" s="217">
        <f>D139</f>
        <v>-0.2</v>
      </c>
      <c r="E280" s="217" t="str">
        <f>E139</f>
        <v>-</v>
      </c>
      <c r="F280" s="217">
        <f>F139</f>
        <v>0</v>
      </c>
      <c r="G280" s="181"/>
      <c r="H280" s="728"/>
      <c r="I280" s="216">
        <v>13</v>
      </c>
      <c r="J280" s="217">
        <f>I139</f>
        <v>50</v>
      </c>
      <c r="K280" s="217">
        <f>J139</f>
        <v>-1.3</v>
      </c>
      <c r="L280" s="217" t="str">
        <f>K139</f>
        <v>-</v>
      </c>
      <c r="M280" s="217">
        <f>L139</f>
        <v>0</v>
      </c>
      <c r="N280" s="181"/>
      <c r="O280" s="728"/>
      <c r="P280" s="216">
        <v>13</v>
      </c>
      <c r="Q280" s="217">
        <f>O139</f>
        <v>980</v>
      </c>
      <c r="R280" s="217">
        <f>P139</f>
        <v>1</v>
      </c>
      <c r="S280" s="217" t="str">
        <f>Q139</f>
        <v>-</v>
      </c>
      <c r="T280" s="218">
        <f>R139</f>
        <v>0</v>
      </c>
      <c r="V280" s="214">
        <v>8</v>
      </c>
      <c r="W280" s="215">
        <f>U82</f>
        <v>2.1</v>
      </c>
    </row>
    <row r="281" spans="1:23" ht="13" hidden="1" x14ac:dyDescent="0.3">
      <c r="A281" s="725"/>
      <c r="B281" s="216">
        <v>14</v>
      </c>
      <c r="C281" s="217">
        <f>C150</f>
        <v>25</v>
      </c>
      <c r="D281" s="217">
        <f>D150</f>
        <v>-0.1</v>
      </c>
      <c r="E281" s="217" t="str">
        <f>E150</f>
        <v>-</v>
      </c>
      <c r="F281" s="217">
        <f>F150</f>
        <v>0</v>
      </c>
      <c r="G281" s="181"/>
      <c r="H281" s="728"/>
      <c r="I281" s="216">
        <v>14</v>
      </c>
      <c r="J281" s="217">
        <f>I151</f>
        <v>60</v>
      </c>
      <c r="K281" s="217">
        <f>J151</f>
        <v>-0.6</v>
      </c>
      <c r="L281" s="217" t="str">
        <f>K151</f>
        <v>-</v>
      </c>
      <c r="M281" s="217">
        <f>L151</f>
        <v>0</v>
      </c>
      <c r="N281" s="181"/>
      <c r="O281" s="728"/>
      <c r="P281" s="216">
        <v>14</v>
      </c>
      <c r="Q281" s="217">
        <f>O150</f>
        <v>980</v>
      </c>
      <c r="R281" s="217">
        <f>P150</f>
        <v>1</v>
      </c>
      <c r="S281" s="217" t="str">
        <f>Q150</f>
        <v>-</v>
      </c>
      <c r="T281" s="218">
        <f>R150</f>
        <v>0</v>
      </c>
      <c r="V281" s="214">
        <v>9</v>
      </c>
      <c r="W281" s="215">
        <f>U93</f>
        <v>2.2000000000000002</v>
      </c>
    </row>
    <row r="282" spans="1:23" ht="13" hidden="1" x14ac:dyDescent="0.3">
      <c r="A282" s="725"/>
      <c r="B282" s="216">
        <v>15</v>
      </c>
      <c r="C282" s="217">
        <f>C161</f>
        <v>25</v>
      </c>
      <c r="D282" s="217">
        <f>D161</f>
        <v>-0.4</v>
      </c>
      <c r="E282" s="217" t="str">
        <f>E161</f>
        <v>-</v>
      </c>
      <c r="F282" s="217">
        <f>F161</f>
        <v>0</v>
      </c>
      <c r="G282" s="181"/>
      <c r="H282" s="728"/>
      <c r="I282" s="216">
        <v>15</v>
      </c>
      <c r="J282" s="217">
        <f>I161</f>
        <v>50</v>
      </c>
      <c r="K282" s="217">
        <f>J161</f>
        <v>-0.3</v>
      </c>
      <c r="L282" s="217" t="str">
        <f>K161</f>
        <v>-</v>
      </c>
      <c r="M282" s="217">
        <f>L161</f>
        <v>0</v>
      </c>
      <c r="N282" s="181"/>
      <c r="O282" s="728"/>
      <c r="P282" s="216">
        <v>15</v>
      </c>
      <c r="Q282" s="217">
        <f>O161</f>
        <v>980</v>
      </c>
      <c r="R282" s="217">
        <f>P161</f>
        <v>1</v>
      </c>
      <c r="S282" s="217" t="str">
        <f>Q161</f>
        <v>-</v>
      </c>
      <c r="T282" s="218">
        <f>R161</f>
        <v>0</v>
      </c>
      <c r="V282" s="214">
        <v>10</v>
      </c>
      <c r="W282" s="215">
        <f>U104</f>
        <v>0</v>
      </c>
    </row>
    <row r="283" spans="1:23" ht="13" hidden="1" x14ac:dyDescent="0.3">
      <c r="A283" s="725"/>
      <c r="B283" s="216">
        <v>16</v>
      </c>
      <c r="C283" s="217">
        <f>C172</f>
        <v>25</v>
      </c>
      <c r="D283" s="217">
        <f>D172</f>
        <v>0.2</v>
      </c>
      <c r="E283" s="217" t="str">
        <f>E172</f>
        <v>-</v>
      </c>
      <c r="F283" s="217">
        <f>F172</f>
        <v>0</v>
      </c>
      <c r="G283" s="181"/>
      <c r="H283" s="728"/>
      <c r="I283" s="216">
        <v>16</v>
      </c>
      <c r="J283" s="217">
        <f>I172</f>
        <v>50</v>
      </c>
      <c r="K283" s="217">
        <f>J172</f>
        <v>-1.4</v>
      </c>
      <c r="L283" s="217" t="str">
        <f>K172</f>
        <v>-</v>
      </c>
      <c r="M283" s="217">
        <f>L172</f>
        <v>0</v>
      </c>
      <c r="N283" s="181"/>
      <c r="O283" s="728"/>
      <c r="P283" s="216">
        <v>16</v>
      </c>
      <c r="Q283" s="217">
        <f>O172</f>
        <v>900</v>
      </c>
      <c r="R283" s="217">
        <f>P172</f>
        <v>-1.7</v>
      </c>
      <c r="S283" s="217" t="str">
        <f>Q172</f>
        <v>-</v>
      </c>
      <c r="T283" s="218">
        <f>R172</f>
        <v>0</v>
      </c>
      <c r="V283" s="214">
        <v>11</v>
      </c>
      <c r="W283" s="215">
        <f>U115</f>
        <v>0</v>
      </c>
    </row>
    <row r="284" spans="1:23" ht="13" hidden="1" x14ac:dyDescent="0.3">
      <c r="A284" s="725"/>
      <c r="B284" s="216">
        <v>17</v>
      </c>
      <c r="C284" s="217">
        <f>C183</f>
        <v>25</v>
      </c>
      <c r="D284" s="217">
        <f>D183</f>
        <v>0</v>
      </c>
      <c r="E284" s="217" t="str">
        <f>E183</f>
        <v>-</v>
      </c>
      <c r="F284" s="217">
        <f>F183</f>
        <v>0</v>
      </c>
      <c r="G284" s="181"/>
      <c r="H284" s="728"/>
      <c r="I284" s="216">
        <v>17</v>
      </c>
      <c r="J284" s="217">
        <f>I183</f>
        <v>50</v>
      </c>
      <c r="K284" s="217">
        <f>J183</f>
        <v>0.2</v>
      </c>
      <c r="L284" s="217" t="str">
        <f>K183</f>
        <v>-</v>
      </c>
      <c r="M284" s="217">
        <f>L183</f>
        <v>0</v>
      </c>
      <c r="N284" s="181"/>
      <c r="O284" s="728"/>
      <c r="P284" s="216">
        <v>17</v>
      </c>
      <c r="Q284" s="217">
        <f>O183</f>
        <v>980</v>
      </c>
      <c r="R284" s="217">
        <f>P183</f>
        <v>-0.6</v>
      </c>
      <c r="S284" s="217" t="str">
        <f>Q183</f>
        <v>-</v>
      </c>
      <c r="T284" s="218">
        <f>R183</f>
        <v>0</v>
      </c>
      <c r="V284" s="214">
        <v>12</v>
      </c>
      <c r="W284" s="243">
        <f>U126</f>
        <v>2.4</v>
      </c>
    </row>
    <row r="285" spans="1:23" ht="13" hidden="1" x14ac:dyDescent="0.3">
      <c r="A285" s="725"/>
      <c r="B285" s="216">
        <v>18</v>
      </c>
      <c r="C285" s="217">
        <f>C194</f>
        <v>25</v>
      </c>
      <c r="D285" s="217">
        <f>D194</f>
        <v>-0.2</v>
      </c>
      <c r="E285" s="217" t="str">
        <f>E194</f>
        <v>-</v>
      </c>
      <c r="F285" s="217">
        <f>F194</f>
        <v>0</v>
      </c>
      <c r="G285" s="181"/>
      <c r="H285" s="728"/>
      <c r="I285" s="216">
        <v>18</v>
      </c>
      <c r="J285" s="217">
        <f>I194</f>
        <v>50</v>
      </c>
      <c r="K285" s="217">
        <f>J194</f>
        <v>-0.2</v>
      </c>
      <c r="L285" s="217" t="str">
        <f>K194</f>
        <v>-</v>
      </c>
      <c r="M285" s="217">
        <f>L194</f>
        <v>0</v>
      </c>
      <c r="N285" s="181"/>
      <c r="O285" s="728"/>
      <c r="P285" s="216">
        <v>18</v>
      </c>
      <c r="Q285" s="217">
        <f>O194</f>
        <v>900</v>
      </c>
      <c r="R285" s="217">
        <f>P194</f>
        <v>-1.1000000000000001</v>
      </c>
      <c r="S285" s="217" t="str">
        <f>Q194</f>
        <v>-</v>
      </c>
      <c r="T285" s="218">
        <f>R194</f>
        <v>0</v>
      </c>
      <c r="V285" s="214">
        <v>13</v>
      </c>
      <c r="W285" s="215">
        <f>U137</f>
        <v>1.5</v>
      </c>
    </row>
    <row r="286" spans="1:23" ht="13" hidden="1" x14ac:dyDescent="0.3">
      <c r="A286" s="725"/>
      <c r="B286" s="216">
        <v>19</v>
      </c>
      <c r="C286" s="217">
        <f>C194</f>
        <v>25</v>
      </c>
      <c r="D286" s="217">
        <f>D194</f>
        <v>-0.2</v>
      </c>
      <c r="E286" s="217" t="str">
        <f>E194</f>
        <v>-</v>
      </c>
      <c r="F286" s="217">
        <f>F194</f>
        <v>0</v>
      </c>
      <c r="G286" s="181"/>
      <c r="H286" s="728"/>
      <c r="I286" s="216">
        <v>19</v>
      </c>
      <c r="J286" s="217">
        <f>I205</f>
        <v>50</v>
      </c>
      <c r="K286" s="217">
        <f>J205</f>
        <v>-0.2</v>
      </c>
      <c r="L286" s="217" t="str">
        <f>K205</f>
        <v>-</v>
      </c>
      <c r="M286" s="217">
        <f>L205</f>
        <v>0</v>
      </c>
      <c r="N286" s="181"/>
      <c r="O286" s="728"/>
      <c r="P286" s="216">
        <v>19</v>
      </c>
      <c r="Q286" s="217">
        <f>O205</f>
        <v>850</v>
      </c>
      <c r="R286" s="217">
        <f>P205</f>
        <v>2.4</v>
      </c>
      <c r="S286" s="217" t="str">
        <f>Q205</f>
        <v>-</v>
      </c>
      <c r="T286" s="218">
        <f>R205</f>
        <v>0</v>
      </c>
      <c r="V286" s="214">
        <v>14</v>
      </c>
      <c r="W286" s="215">
        <f>U148</f>
        <v>1.5</v>
      </c>
    </row>
    <row r="287" spans="1:23" ht="13.5" hidden="1" thickBot="1" x14ac:dyDescent="0.35">
      <c r="A287" s="726"/>
      <c r="B287" s="227">
        <v>20</v>
      </c>
      <c r="C287" s="244">
        <f>C216</f>
        <v>24.6</v>
      </c>
      <c r="D287" s="244">
        <f>D216</f>
        <v>0</v>
      </c>
      <c r="E287" s="244" t="str">
        <f>E216</f>
        <v>-</v>
      </c>
      <c r="F287" s="244">
        <f>F216</f>
        <v>0</v>
      </c>
      <c r="G287" s="229"/>
      <c r="H287" s="729"/>
      <c r="I287" s="227">
        <v>20</v>
      </c>
      <c r="J287" s="244">
        <f>I216</f>
        <v>62.5</v>
      </c>
      <c r="K287" s="244">
        <f>J216</f>
        <v>0</v>
      </c>
      <c r="L287" s="244" t="str">
        <f>K216</f>
        <v>-</v>
      </c>
      <c r="M287" s="244">
        <f>L216</f>
        <v>0</v>
      </c>
      <c r="N287" s="229"/>
      <c r="O287" s="729"/>
      <c r="P287" s="227">
        <v>20</v>
      </c>
      <c r="Q287" s="244">
        <f>O216</f>
        <v>850</v>
      </c>
      <c r="R287" s="244" t="str">
        <f>P216</f>
        <v>-</v>
      </c>
      <c r="S287" s="244" t="str">
        <f>Q216</f>
        <v>-</v>
      </c>
      <c r="T287" s="245">
        <f>R216</f>
        <v>0</v>
      </c>
      <c r="V287" s="214">
        <v>15</v>
      </c>
      <c r="W287" s="215">
        <f>U159</f>
        <v>1.5</v>
      </c>
    </row>
    <row r="288" spans="1:23" ht="13" hidden="1" x14ac:dyDescent="0.3">
      <c r="A288" s="232"/>
      <c r="B288" s="233"/>
      <c r="C288" s="246"/>
      <c r="D288" s="246"/>
      <c r="E288" s="246"/>
      <c r="F288" s="247"/>
      <c r="G288" s="236"/>
      <c r="H288" s="232"/>
      <c r="I288" s="251"/>
      <c r="J288" s="246"/>
      <c r="K288" s="246"/>
      <c r="L288" s="246"/>
      <c r="M288" s="247"/>
      <c r="N288" s="181"/>
      <c r="O288" s="232"/>
      <c r="P288" s="251"/>
      <c r="Q288" s="246"/>
      <c r="R288" s="246"/>
      <c r="S288" s="246"/>
      <c r="T288" s="247"/>
      <c r="V288" s="214">
        <v>16</v>
      </c>
      <c r="W288" s="224">
        <f>U170</f>
        <v>2.2999999999999998</v>
      </c>
    </row>
    <row r="289" spans="1:23" ht="13" hidden="1" x14ac:dyDescent="0.3">
      <c r="A289" s="724">
        <v>4</v>
      </c>
      <c r="B289" s="239">
        <v>1</v>
      </c>
      <c r="C289" s="248">
        <f>C8</f>
        <v>30</v>
      </c>
      <c r="D289" s="248">
        <f>D8</f>
        <v>0</v>
      </c>
      <c r="E289" s="248">
        <f>E8</f>
        <v>-0.2</v>
      </c>
      <c r="F289" s="248">
        <f>F8</f>
        <v>0.1</v>
      </c>
      <c r="G289" s="241"/>
      <c r="H289" s="727">
        <v>4</v>
      </c>
      <c r="I289" s="239">
        <v>1</v>
      </c>
      <c r="J289" s="248">
        <f>I8</f>
        <v>60</v>
      </c>
      <c r="K289" s="248">
        <f>J8</f>
        <v>-5.3</v>
      </c>
      <c r="L289" s="248">
        <f>K8</f>
        <v>-5.2</v>
      </c>
      <c r="M289" s="248">
        <f>L8</f>
        <v>4.9999999999999822E-2</v>
      </c>
      <c r="N289" s="241"/>
      <c r="O289" s="727">
        <v>4</v>
      </c>
      <c r="P289" s="239">
        <v>1</v>
      </c>
      <c r="Q289" s="248">
        <f>O8</f>
        <v>900</v>
      </c>
      <c r="R289" s="248" t="str">
        <f>P8</f>
        <v>-</v>
      </c>
      <c r="S289" s="248" t="str">
        <f>Q8</f>
        <v>-</v>
      </c>
      <c r="T289" s="249">
        <f>R8</f>
        <v>0</v>
      </c>
      <c r="V289" s="214">
        <v>17</v>
      </c>
      <c r="W289" s="224">
        <f>U181</f>
        <v>2.1</v>
      </c>
    </row>
    <row r="290" spans="1:23" ht="13" hidden="1" x14ac:dyDescent="0.3">
      <c r="A290" s="725"/>
      <c r="B290" s="216">
        <v>2</v>
      </c>
      <c r="C290" s="217">
        <f>C19</f>
        <v>30</v>
      </c>
      <c r="D290" s="217">
        <f>D19</f>
        <v>0.2</v>
      </c>
      <c r="E290" s="217">
        <f>E19</f>
        <v>-0.3</v>
      </c>
      <c r="F290" s="217">
        <f>F19</f>
        <v>0.25</v>
      </c>
      <c r="G290" s="181"/>
      <c r="H290" s="728"/>
      <c r="I290" s="216">
        <v>2</v>
      </c>
      <c r="J290" s="217">
        <f>I19</f>
        <v>60</v>
      </c>
      <c r="K290" s="217">
        <f>J19</f>
        <v>-4</v>
      </c>
      <c r="L290" s="217">
        <f>K19</f>
        <v>-1.3</v>
      </c>
      <c r="M290" s="217">
        <f>L19</f>
        <v>1.35</v>
      </c>
      <c r="N290" s="181"/>
      <c r="O290" s="728"/>
      <c r="P290" s="216">
        <v>2</v>
      </c>
      <c r="Q290" s="217">
        <f>O19</f>
        <v>900</v>
      </c>
      <c r="R290" s="217" t="str">
        <f>P19</f>
        <v>-</v>
      </c>
      <c r="S290" s="217" t="str">
        <f>Q19</f>
        <v>-</v>
      </c>
      <c r="T290" s="218">
        <f>R19</f>
        <v>0</v>
      </c>
      <c r="V290" s="214">
        <v>18</v>
      </c>
      <c r="W290" s="224">
        <f>U192</f>
        <v>2.4</v>
      </c>
    </row>
    <row r="291" spans="1:23" ht="13" hidden="1" x14ac:dyDescent="0.3">
      <c r="A291" s="725"/>
      <c r="B291" s="216">
        <v>3</v>
      </c>
      <c r="C291" s="217">
        <f>C30</f>
        <v>30</v>
      </c>
      <c r="D291" s="217">
        <f>D30</f>
        <v>0</v>
      </c>
      <c r="E291" s="217">
        <f>E30</f>
        <v>-0.3</v>
      </c>
      <c r="F291" s="217">
        <f>F30</f>
        <v>0.15</v>
      </c>
      <c r="G291" s="181"/>
      <c r="H291" s="728"/>
      <c r="I291" s="216">
        <v>3</v>
      </c>
      <c r="J291" s="217">
        <f>I30</f>
        <v>60</v>
      </c>
      <c r="K291" s="217">
        <f>J30</f>
        <v>-3.2</v>
      </c>
      <c r="L291" s="217">
        <f>K30</f>
        <v>-4.3</v>
      </c>
      <c r="M291" s="217">
        <f>L30</f>
        <v>0.54999999999999982</v>
      </c>
      <c r="N291" s="181"/>
      <c r="O291" s="728"/>
      <c r="P291" s="216">
        <v>3</v>
      </c>
      <c r="Q291" s="217">
        <f>O30</f>
        <v>900</v>
      </c>
      <c r="R291" s="217" t="str">
        <f>P30</f>
        <v>-</v>
      </c>
      <c r="S291" s="217" t="str">
        <f>Q30</f>
        <v>-</v>
      </c>
      <c r="T291" s="218">
        <f>R30</f>
        <v>0</v>
      </c>
      <c r="V291" s="214">
        <v>19</v>
      </c>
      <c r="W291" s="224">
        <f>U203</f>
        <v>0.4</v>
      </c>
    </row>
    <row r="292" spans="1:23" ht="13.5" hidden="1" thickBot="1" x14ac:dyDescent="0.35">
      <c r="A292" s="725"/>
      <c r="B292" s="216">
        <v>4</v>
      </c>
      <c r="C292" s="217">
        <f>C41</f>
        <v>30</v>
      </c>
      <c r="D292" s="217">
        <f>D41</f>
        <v>-0.1</v>
      </c>
      <c r="E292" s="217">
        <f>E41</f>
        <v>-0.6</v>
      </c>
      <c r="F292" s="217">
        <f>F41</f>
        <v>0.25</v>
      </c>
      <c r="G292" s="181"/>
      <c r="H292" s="728"/>
      <c r="I292" s="216">
        <v>4</v>
      </c>
      <c r="J292" s="217">
        <f>I41</f>
        <v>60</v>
      </c>
      <c r="K292" s="217">
        <f>J41</f>
        <v>-4.2</v>
      </c>
      <c r="L292" s="217">
        <f>K41</f>
        <v>-0.3</v>
      </c>
      <c r="M292" s="217">
        <f>L41</f>
        <v>1.9500000000000002</v>
      </c>
      <c r="N292" s="181"/>
      <c r="O292" s="728"/>
      <c r="P292" s="216">
        <v>4</v>
      </c>
      <c r="Q292" s="217">
        <f>O41</f>
        <v>900</v>
      </c>
      <c r="R292" s="217" t="str">
        <f>P41</f>
        <v>-</v>
      </c>
      <c r="S292" s="217" t="str">
        <f>Q41</f>
        <v>-</v>
      </c>
      <c r="T292" s="218">
        <f>R41</f>
        <v>0</v>
      </c>
      <c r="V292" s="225">
        <v>20</v>
      </c>
      <c r="W292" s="226">
        <f>U214</f>
        <v>0</v>
      </c>
    </row>
    <row r="293" spans="1:23" ht="13" hidden="1" x14ac:dyDescent="0.3">
      <c r="A293" s="725"/>
      <c r="B293" s="216">
        <v>5</v>
      </c>
      <c r="C293" s="217">
        <f>C52</f>
        <v>30</v>
      </c>
      <c r="D293" s="217">
        <f>D52</f>
        <v>0.6</v>
      </c>
      <c r="E293" s="217">
        <f>E52</f>
        <v>0.1</v>
      </c>
      <c r="F293" s="217">
        <f>F52</f>
        <v>0.25</v>
      </c>
      <c r="G293" s="181"/>
      <c r="H293" s="728"/>
      <c r="I293" s="216">
        <v>5</v>
      </c>
      <c r="J293" s="217">
        <f>I52</f>
        <v>60</v>
      </c>
      <c r="K293" s="217">
        <f>J52</f>
        <v>-5.2</v>
      </c>
      <c r="L293" s="217">
        <f>K52</f>
        <v>-4.2</v>
      </c>
      <c r="M293" s="217">
        <f>L52</f>
        <v>0.5</v>
      </c>
      <c r="N293" s="181"/>
      <c r="O293" s="728"/>
      <c r="P293" s="216">
        <v>5</v>
      </c>
      <c r="Q293" s="217">
        <f>O52</f>
        <v>900</v>
      </c>
      <c r="R293" s="217" t="str">
        <f>P52</f>
        <v>-</v>
      </c>
      <c r="S293" s="217" t="str">
        <f>Q52</f>
        <v>-</v>
      </c>
      <c r="T293" s="218">
        <f>R52</f>
        <v>0</v>
      </c>
    </row>
    <row r="294" spans="1:23" ht="13" hidden="1" x14ac:dyDescent="0.3">
      <c r="A294" s="725"/>
      <c r="B294" s="216">
        <v>6</v>
      </c>
      <c r="C294" s="217">
        <f>C63</f>
        <v>30</v>
      </c>
      <c r="D294" s="217">
        <f>D63</f>
        <v>0.1</v>
      </c>
      <c r="E294" s="217">
        <f>E63</f>
        <v>-0.5</v>
      </c>
      <c r="F294" s="217">
        <f>F63</f>
        <v>0.3</v>
      </c>
      <c r="G294" s="181"/>
      <c r="H294" s="728"/>
      <c r="I294" s="216">
        <v>6</v>
      </c>
      <c r="J294" s="217">
        <f>I63</f>
        <v>60</v>
      </c>
      <c r="K294" s="217">
        <f>J63</f>
        <v>-6.4</v>
      </c>
      <c r="L294" s="217">
        <f>K63</f>
        <v>1.1000000000000001</v>
      </c>
      <c r="M294" s="217">
        <f>L63</f>
        <v>3.75</v>
      </c>
      <c r="N294" s="181"/>
      <c r="O294" s="728"/>
      <c r="P294" s="216">
        <v>6</v>
      </c>
      <c r="Q294" s="217">
        <f>O63</f>
        <v>900</v>
      </c>
      <c r="R294" s="217">
        <f>P63</f>
        <v>0.9</v>
      </c>
      <c r="S294" s="217">
        <f>Q63</f>
        <v>0.7</v>
      </c>
      <c r="T294" s="218">
        <f>R63</f>
        <v>0.10000000000000003</v>
      </c>
    </row>
    <row r="295" spans="1:23" ht="13" hidden="1" x14ac:dyDescent="0.3">
      <c r="A295" s="725"/>
      <c r="B295" s="216">
        <v>7</v>
      </c>
      <c r="C295" s="217">
        <f>C74</f>
        <v>30</v>
      </c>
      <c r="D295" s="217">
        <f>D74</f>
        <v>0</v>
      </c>
      <c r="E295" s="217">
        <f>E74</f>
        <v>-0.6</v>
      </c>
      <c r="F295" s="217">
        <f>F74</f>
        <v>0.3</v>
      </c>
      <c r="G295" s="181"/>
      <c r="H295" s="728"/>
      <c r="I295" s="216">
        <v>7</v>
      </c>
      <c r="J295" s="217">
        <f>I74</f>
        <v>60</v>
      </c>
      <c r="K295" s="217">
        <f>J74</f>
        <v>-2.1</v>
      </c>
      <c r="L295" s="217">
        <f>K74</f>
        <v>0.7</v>
      </c>
      <c r="M295" s="217">
        <f>L74</f>
        <v>1.4</v>
      </c>
      <c r="N295" s="181"/>
      <c r="O295" s="728"/>
      <c r="P295" s="216">
        <v>7</v>
      </c>
      <c r="Q295" s="217">
        <f>O74</f>
        <v>900</v>
      </c>
      <c r="R295" s="217">
        <f>P74</f>
        <v>0</v>
      </c>
      <c r="S295" s="217">
        <f>Q74</f>
        <v>1</v>
      </c>
      <c r="T295" s="218">
        <f>R74</f>
        <v>0.5</v>
      </c>
    </row>
    <row r="296" spans="1:23" ht="13" hidden="1" x14ac:dyDescent="0.3">
      <c r="A296" s="725"/>
      <c r="B296" s="216">
        <v>8</v>
      </c>
      <c r="C296" s="217">
        <f>C85</f>
        <v>30</v>
      </c>
      <c r="D296" s="217">
        <f>D85</f>
        <v>-0.2</v>
      </c>
      <c r="E296" s="217">
        <f>E85</f>
        <v>-0.4</v>
      </c>
      <c r="F296" s="217">
        <f>F85</f>
        <v>0.1</v>
      </c>
      <c r="G296" s="181"/>
      <c r="H296" s="728"/>
      <c r="I296" s="216">
        <v>8</v>
      </c>
      <c r="J296" s="217">
        <f>I85</f>
        <v>60</v>
      </c>
      <c r="K296" s="217">
        <f>J85</f>
        <v>-3.9</v>
      </c>
      <c r="L296" s="217">
        <f>K85</f>
        <v>-1.1000000000000001</v>
      </c>
      <c r="M296" s="217">
        <f>L85</f>
        <v>1.4</v>
      </c>
      <c r="N296" s="181"/>
      <c r="O296" s="728"/>
      <c r="P296" s="216">
        <v>8</v>
      </c>
      <c r="Q296" s="217">
        <f>O85</f>
        <v>900</v>
      </c>
      <c r="R296" s="217">
        <f>P85</f>
        <v>-4.4000000000000004</v>
      </c>
      <c r="S296" s="217">
        <f>Q85</f>
        <v>0</v>
      </c>
      <c r="T296" s="218">
        <f>R85</f>
        <v>2.2000000000000002</v>
      </c>
    </row>
    <row r="297" spans="1:23" ht="13" hidden="1" x14ac:dyDescent="0.3">
      <c r="A297" s="725"/>
      <c r="B297" s="216">
        <v>9</v>
      </c>
      <c r="C297" s="217">
        <f>C96</f>
        <v>30</v>
      </c>
      <c r="D297" s="217">
        <f>D96</f>
        <v>-0.5</v>
      </c>
      <c r="E297" s="217" t="str">
        <f>E96</f>
        <v>-</v>
      </c>
      <c r="F297" s="217">
        <f>F96</f>
        <v>0</v>
      </c>
      <c r="G297" s="181"/>
      <c r="H297" s="728"/>
      <c r="I297" s="216">
        <v>9</v>
      </c>
      <c r="J297" s="217">
        <f>I96</f>
        <v>60</v>
      </c>
      <c r="K297" s="217">
        <f>J96</f>
        <v>-0.8</v>
      </c>
      <c r="L297" s="217" t="str">
        <f>K96</f>
        <v>-</v>
      </c>
      <c r="M297" s="217">
        <f>L96</f>
        <v>0</v>
      </c>
      <c r="N297" s="181"/>
      <c r="O297" s="728"/>
      <c r="P297" s="216">
        <v>9</v>
      </c>
      <c r="Q297" s="217">
        <f>O96</f>
        <v>900</v>
      </c>
      <c r="R297" s="217">
        <f>P96</f>
        <v>0</v>
      </c>
      <c r="S297" s="217" t="str">
        <f>Q96</f>
        <v>-</v>
      </c>
      <c r="T297" s="218">
        <f>R96</f>
        <v>0</v>
      </c>
    </row>
    <row r="298" spans="1:23" ht="13" hidden="1" x14ac:dyDescent="0.3">
      <c r="A298" s="725"/>
      <c r="B298" s="216">
        <v>10</v>
      </c>
      <c r="C298" s="217">
        <f>C107</f>
        <v>30</v>
      </c>
      <c r="D298" s="217">
        <f>D107</f>
        <v>0.1</v>
      </c>
      <c r="E298" s="217">
        <f>E107</f>
        <v>0.2</v>
      </c>
      <c r="F298" s="217">
        <f>F107</f>
        <v>0.05</v>
      </c>
      <c r="G298" s="181"/>
      <c r="H298" s="728"/>
      <c r="I298" s="216">
        <v>10</v>
      </c>
      <c r="J298" s="217">
        <f>I107</f>
        <v>60</v>
      </c>
      <c r="K298" s="217">
        <f>J107</f>
        <v>-2.1</v>
      </c>
      <c r="L298" s="217">
        <f>K107</f>
        <v>-5.6</v>
      </c>
      <c r="M298" s="217">
        <f>L107</f>
        <v>1.7499999999999998</v>
      </c>
      <c r="N298" s="181"/>
      <c r="O298" s="728"/>
      <c r="P298" s="216">
        <v>10</v>
      </c>
      <c r="Q298" s="217">
        <f>O107</f>
        <v>900</v>
      </c>
      <c r="R298" s="217" t="str">
        <f>P107</f>
        <v>-</v>
      </c>
      <c r="S298" s="217" t="str">
        <f>Q107</f>
        <v>-</v>
      </c>
      <c r="T298" s="218">
        <f>R107</f>
        <v>0</v>
      </c>
    </row>
    <row r="299" spans="1:23" ht="13" hidden="1" x14ac:dyDescent="0.3">
      <c r="A299" s="725"/>
      <c r="B299" s="216">
        <v>11</v>
      </c>
      <c r="C299" s="217">
        <f>C118</f>
        <v>30</v>
      </c>
      <c r="D299" s="217">
        <f>D118</f>
        <v>0.5</v>
      </c>
      <c r="E299" s="217">
        <f>E118</f>
        <v>0.4</v>
      </c>
      <c r="F299" s="217">
        <f>F118</f>
        <v>4.9999999999999989E-2</v>
      </c>
      <c r="G299" s="181"/>
      <c r="H299" s="728"/>
      <c r="I299" s="216">
        <v>11</v>
      </c>
      <c r="J299" s="217">
        <f>I118</f>
        <v>60</v>
      </c>
      <c r="K299" s="217">
        <f>J118</f>
        <v>-4.8</v>
      </c>
      <c r="L299" s="217">
        <f>K118</f>
        <v>-4.5</v>
      </c>
      <c r="M299" s="217">
        <f>L118</f>
        <v>0.14999999999999991</v>
      </c>
      <c r="N299" s="181"/>
      <c r="O299" s="728"/>
      <c r="P299" s="216">
        <v>11</v>
      </c>
      <c r="Q299" s="217">
        <f>O118</f>
        <v>900</v>
      </c>
      <c r="R299" s="217" t="str">
        <f>P118</f>
        <v>-</v>
      </c>
      <c r="S299" s="217" t="str">
        <f>Q118</f>
        <v>-</v>
      </c>
      <c r="T299" s="218">
        <f>R118</f>
        <v>0</v>
      </c>
    </row>
    <row r="300" spans="1:23" ht="13" hidden="1" x14ac:dyDescent="0.3">
      <c r="A300" s="725"/>
      <c r="B300" s="216">
        <v>12</v>
      </c>
      <c r="C300" s="217">
        <f>C129</f>
        <v>30</v>
      </c>
      <c r="D300" s="217">
        <f>D129</f>
        <v>-0.1</v>
      </c>
      <c r="E300" s="217" t="str">
        <f>E129</f>
        <v>-</v>
      </c>
      <c r="F300" s="217">
        <f>F129</f>
        <v>0</v>
      </c>
      <c r="G300" s="181"/>
      <c r="H300" s="728"/>
      <c r="I300" s="216">
        <v>12</v>
      </c>
      <c r="J300" s="217">
        <f>I129</f>
        <v>60</v>
      </c>
      <c r="K300" s="217">
        <f>J129</f>
        <v>0</v>
      </c>
      <c r="L300" s="217" t="str">
        <f>K129</f>
        <v>-</v>
      </c>
      <c r="M300" s="217">
        <f>L129</f>
        <v>0</v>
      </c>
      <c r="N300" s="181"/>
      <c r="O300" s="728"/>
      <c r="P300" s="216">
        <v>12</v>
      </c>
      <c r="Q300" s="217">
        <f>O129</f>
        <v>950</v>
      </c>
      <c r="R300" s="217">
        <f>P129</f>
        <v>-0.7</v>
      </c>
      <c r="S300" s="217" t="str">
        <f>Q129</f>
        <v>-</v>
      </c>
      <c r="T300" s="218">
        <f>R129</f>
        <v>0</v>
      </c>
    </row>
    <row r="301" spans="1:23" ht="13" hidden="1" x14ac:dyDescent="0.3">
      <c r="A301" s="725"/>
      <c r="B301" s="216">
        <v>13</v>
      </c>
      <c r="C301" s="217">
        <f>C151</f>
        <v>30</v>
      </c>
      <c r="D301" s="217">
        <f>D151</f>
        <v>-0.3</v>
      </c>
      <c r="E301" s="217" t="str">
        <f>E151</f>
        <v>-</v>
      </c>
      <c r="F301" s="217">
        <f>F151</f>
        <v>0</v>
      </c>
      <c r="G301" s="181"/>
      <c r="H301" s="728"/>
      <c r="I301" s="216">
        <v>13</v>
      </c>
      <c r="J301" s="217">
        <f>I140</f>
        <v>60</v>
      </c>
      <c r="K301" s="217">
        <f>J140</f>
        <v>-1.5</v>
      </c>
      <c r="L301" s="217" t="str">
        <f>K140</f>
        <v>-</v>
      </c>
      <c r="M301" s="217">
        <f>L140</f>
        <v>0</v>
      </c>
      <c r="N301" s="181"/>
      <c r="O301" s="728"/>
      <c r="P301" s="216">
        <v>13</v>
      </c>
      <c r="Q301" s="217">
        <f>O140</f>
        <v>990</v>
      </c>
      <c r="R301" s="217">
        <f>P140</f>
        <v>1.1000000000000001</v>
      </c>
      <c r="S301" s="217" t="str">
        <f>Q140</f>
        <v>-</v>
      </c>
      <c r="T301" s="218">
        <f>R140</f>
        <v>0</v>
      </c>
    </row>
    <row r="302" spans="1:23" ht="13" hidden="1" x14ac:dyDescent="0.3">
      <c r="A302" s="725"/>
      <c r="B302" s="216">
        <v>14</v>
      </c>
      <c r="C302" s="217">
        <f>C151</f>
        <v>30</v>
      </c>
      <c r="D302" s="217">
        <f>D151</f>
        <v>-0.3</v>
      </c>
      <c r="E302" s="217" t="str">
        <f>E151</f>
        <v>-</v>
      </c>
      <c r="F302" s="217">
        <f>F151</f>
        <v>0</v>
      </c>
      <c r="G302" s="181"/>
      <c r="H302" s="728"/>
      <c r="I302" s="216">
        <v>14</v>
      </c>
      <c r="J302" s="217">
        <f>I151</f>
        <v>60</v>
      </c>
      <c r="K302" s="217">
        <f>J151</f>
        <v>-0.6</v>
      </c>
      <c r="L302" s="217" t="str">
        <f>K151</f>
        <v>-</v>
      </c>
      <c r="M302" s="217">
        <f>L151</f>
        <v>0</v>
      </c>
      <c r="N302" s="181"/>
      <c r="O302" s="728"/>
      <c r="P302" s="216">
        <v>14</v>
      </c>
      <c r="Q302" s="217">
        <f>O151</f>
        <v>990</v>
      </c>
      <c r="R302" s="217">
        <f>P151</f>
        <v>1.1000000000000001</v>
      </c>
      <c r="S302" s="217" t="str">
        <f>Q151</f>
        <v>-</v>
      </c>
      <c r="T302" s="218">
        <f>R151</f>
        <v>0</v>
      </c>
    </row>
    <row r="303" spans="1:23" ht="13" hidden="1" x14ac:dyDescent="0.3">
      <c r="A303" s="725"/>
      <c r="B303" s="216">
        <v>15</v>
      </c>
      <c r="C303" s="217">
        <f>C162</f>
        <v>30</v>
      </c>
      <c r="D303" s="217">
        <f>D162</f>
        <v>-0.2</v>
      </c>
      <c r="E303" s="217" t="str">
        <f>E162</f>
        <v>-</v>
      </c>
      <c r="F303" s="217">
        <f>F162</f>
        <v>0</v>
      </c>
      <c r="G303" s="181"/>
      <c r="H303" s="728"/>
      <c r="I303" s="216">
        <v>15</v>
      </c>
      <c r="J303" s="217">
        <f>I162</f>
        <v>60</v>
      </c>
      <c r="K303" s="217">
        <f>J162</f>
        <v>-0.5</v>
      </c>
      <c r="L303" s="217" t="str">
        <f>K162</f>
        <v>-</v>
      </c>
      <c r="M303" s="217">
        <f>L162</f>
        <v>0</v>
      </c>
      <c r="N303" s="181"/>
      <c r="O303" s="728"/>
      <c r="P303" s="216">
        <v>15</v>
      </c>
      <c r="Q303" s="217">
        <f>O162</f>
        <v>990</v>
      </c>
      <c r="R303" s="217">
        <f>P162</f>
        <v>1.1000000000000001</v>
      </c>
      <c r="S303" s="217" t="str">
        <f>Q162</f>
        <v>-</v>
      </c>
      <c r="T303" s="218">
        <f>R162</f>
        <v>0</v>
      </c>
    </row>
    <row r="304" spans="1:23" ht="13" hidden="1" x14ac:dyDescent="0.3">
      <c r="A304" s="725"/>
      <c r="B304" s="216">
        <v>16</v>
      </c>
      <c r="C304" s="217">
        <f>C173</f>
        <v>30</v>
      </c>
      <c r="D304" s="217">
        <f>D173</f>
        <v>0.2</v>
      </c>
      <c r="E304" s="217" t="str">
        <f>E173</f>
        <v>-</v>
      </c>
      <c r="F304" s="217">
        <f>F173</f>
        <v>0</v>
      </c>
      <c r="G304" s="181"/>
      <c r="H304" s="728"/>
      <c r="I304" s="216">
        <v>16</v>
      </c>
      <c r="J304" s="217">
        <f>I173</f>
        <v>60</v>
      </c>
      <c r="K304" s="217">
        <f>J173</f>
        <v>-1.5</v>
      </c>
      <c r="L304" s="217" t="str">
        <f>K173</f>
        <v>-</v>
      </c>
      <c r="M304" s="217">
        <f>L173</f>
        <v>0</v>
      </c>
      <c r="N304" s="181"/>
      <c r="O304" s="728"/>
      <c r="P304" s="216">
        <v>16</v>
      </c>
      <c r="Q304" s="217">
        <f>O173</f>
        <v>950</v>
      </c>
      <c r="R304" s="217">
        <f>P173</f>
        <v>-1.1000000000000001</v>
      </c>
      <c r="S304" s="217" t="str">
        <f>Q173</f>
        <v>-</v>
      </c>
      <c r="T304" s="218">
        <f>R173</f>
        <v>0</v>
      </c>
    </row>
    <row r="305" spans="1:20" ht="13" hidden="1" x14ac:dyDescent="0.3">
      <c r="A305" s="725"/>
      <c r="B305" s="216">
        <v>17</v>
      </c>
      <c r="C305" s="217">
        <f>C184</f>
        <v>30</v>
      </c>
      <c r="D305" s="217">
        <f>D184</f>
        <v>-0.2</v>
      </c>
      <c r="E305" s="217" t="str">
        <f>E184</f>
        <v>-</v>
      </c>
      <c r="F305" s="217">
        <f>F184</f>
        <v>0</v>
      </c>
      <c r="G305" s="181"/>
      <c r="H305" s="728"/>
      <c r="I305" s="216">
        <v>17</v>
      </c>
      <c r="J305" s="217">
        <f>I184</f>
        <v>60</v>
      </c>
      <c r="K305" s="217">
        <f>J184</f>
        <v>0</v>
      </c>
      <c r="L305" s="217" t="str">
        <f>K184</f>
        <v>-</v>
      </c>
      <c r="M305" s="217">
        <f>L184</f>
        <v>0</v>
      </c>
      <c r="N305" s="181"/>
      <c r="O305" s="728"/>
      <c r="P305" s="216">
        <v>17</v>
      </c>
      <c r="Q305" s="217">
        <f>O184</f>
        <v>990</v>
      </c>
      <c r="R305" s="217">
        <f>P184</f>
        <v>-0.6</v>
      </c>
      <c r="S305" s="217" t="str">
        <f>Q184</f>
        <v>-</v>
      </c>
      <c r="T305" s="218">
        <f>R184</f>
        <v>0</v>
      </c>
    </row>
    <row r="306" spans="1:20" ht="13" hidden="1" x14ac:dyDescent="0.3">
      <c r="A306" s="725"/>
      <c r="B306" s="216">
        <v>18</v>
      </c>
      <c r="C306" s="217">
        <f>C195</f>
        <v>30</v>
      </c>
      <c r="D306" s="217">
        <f>D195</f>
        <v>-0.2</v>
      </c>
      <c r="E306" s="217" t="str">
        <f>E195</f>
        <v>-</v>
      </c>
      <c r="F306" s="217">
        <f>F195</f>
        <v>0</v>
      </c>
      <c r="G306" s="181"/>
      <c r="H306" s="728"/>
      <c r="I306" s="216">
        <v>18</v>
      </c>
      <c r="J306" s="217">
        <f>I195</f>
        <v>60</v>
      </c>
      <c r="K306" s="217">
        <f>J195</f>
        <v>-0.2</v>
      </c>
      <c r="L306" s="217" t="str">
        <f>K195</f>
        <v>-</v>
      </c>
      <c r="M306" s="217">
        <f>L195</f>
        <v>0</v>
      </c>
      <c r="N306" s="181"/>
      <c r="O306" s="728"/>
      <c r="P306" s="216">
        <v>18</v>
      </c>
      <c r="Q306" s="217">
        <f>O195</f>
        <v>950</v>
      </c>
      <c r="R306" s="217">
        <f>P195</f>
        <v>-0.9</v>
      </c>
      <c r="S306" s="217" t="str">
        <f>Q195</f>
        <v>-</v>
      </c>
      <c r="T306" s="218">
        <f>R195</f>
        <v>0</v>
      </c>
    </row>
    <row r="307" spans="1:20" ht="13" hidden="1" x14ac:dyDescent="0.3">
      <c r="A307" s="725"/>
      <c r="B307" s="216">
        <v>19</v>
      </c>
      <c r="C307" s="217">
        <f>C206</f>
        <v>30</v>
      </c>
      <c r="D307" s="217">
        <f>D206</f>
        <v>-0.1</v>
      </c>
      <c r="E307" s="217" t="str">
        <f>E206</f>
        <v>-</v>
      </c>
      <c r="F307" s="217">
        <f>F206</f>
        <v>0</v>
      </c>
      <c r="G307" s="181"/>
      <c r="H307" s="728"/>
      <c r="I307" s="216">
        <v>19</v>
      </c>
      <c r="J307" s="217">
        <f>I206</f>
        <v>60</v>
      </c>
      <c r="K307" s="217">
        <f>J206</f>
        <v>0.4</v>
      </c>
      <c r="L307" s="217" t="str">
        <f>K206</f>
        <v>-</v>
      </c>
      <c r="M307" s="217">
        <f>L206</f>
        <v>0</v>
      </c>
      <c r="N307" s="181"/>
      <c r="O307" s="728"/>
      <c r="P307" s="216">
        <v>19</v>
      </c>
      <c r="Q307" s="217">
        <f>O206</f>
        <v>900</v>
      </c>
      <c r="R307" s="217">
        <f>P206</f>
        <v>2.2999999999999998</v>
      </c>
      <c r="S307" s="217" t="str">
        <f>Q206</f>
        <v>-</v>
      </c>
      <c r="T307" s="218">
        <f>R206</f>
        <v>0</v>
      </c>
    </row>
    <row r="308" spans="1:20" ht="13.5" hidden="1" thickBot="1" x14ac:dyDescent="0.35">
      <c r="A308" s="726"/>
      <c r="B308" s="227">
        <v>20</v>
      </c>
      <c r="C308" s="244">
        <f>C217</f>
        <v>29.5</v>
      </c>
      <c r="D308" s="244">
        <f>D217</f>
        <v>0</v>
      </c>
      <c r="E308" s="244" t="str">
        <f>E217</f>
        <v>-</v>
      </c>
      <c r="F308" s="244">
        <f>F217</f>
        <v>0</v>
      </c>
      <c r="G308" s="229"/>
      <c r="H308" s="729"/>
      <c r="I308" s="227">
        <v>20</v>
      </c>
      <c r="J308" s="244">
        <f>I217</f>
        <v>71.5</v>
      </c>
      <c r="K308" s="244">
        <f>J217</f>
        <v>0</v>
      </c>
      <c r="L308" s="244" t="str">
        <f>K217</f>
        <v>-</v>
      </c>
      <c r="M308" s="244">
        <f>L217</f>
        <v>0</v>
      </c>
      <c r="N308" s="229"/>
      <c r="O308" s="729"/>
      <c r="P308" s="227">
        <v>20</v>
      </c>
      <c r="Q308" s="244">
        <f>O217</f>
        <v>900</v>
      </c>
      <c r="R308" s="244" t="str">
        <f>P217</f>
        <v>-</v>
      </c>
      <c r="S308" s="244" t="str">
        <f>Q217</f>
        <v>-</v>
      </c>
      <c r="T308" s="245">
        <f>R217</f>
        <v>0</v>
      </c>
    </row>
    <row r="309" spans="1:20" ht="13" hidden="1" x14ac:dyDescent="0.3">
      <c r="A309" s="232"/>
      <c r="B309" s="233"/>
      <c r="C309" s="246"/>
      <c r="D309" s="246"/>
      <c r="E309" s="246"/>
      <c r="F309" s="247"/>
      <c r="G309" s="236"/>
      <c r="H309" s="232"/>
      <c r="I309" s="251"/>
      <c r="J309" s="246"/>
      <c r="K309" s="246"/>
      <c r="L309" s="246"/>
      <c r="M309" s="247"/>
      <c r="N309" s="181"/>
      <c r="O309" s="232"/>
      <c r="P309" s="251"/>
      <c r="Q309" s="246"/>
      <c r="R309" s="246"/>
      <c r="S309" s="246"/>
      <c r="T309" s="247"/>
    </row>
    <row r="310" spans="1:20" ht="13" hidden="1" x14ac:dyDescent="0.3">
      <c r="A310" s="724">
        <v>5</v>
      </c>
      <c r="B310" s="239">
        <v>1</v>
      </c>
      <c r="C310" s="248">
        <f>C9</f>
        <v>35</v>
      </c>
      <c r="D310" s="248">
        <f>D9</f>
        <v>-0.1</v>
      </c>
      <c r="E310" s="248">
        <f>E9</f>
        <v>-0.5</v>
      </c>
      <c r="F310" s="248">
        <f>F9</f>
        <v>0.2</v>
      </c>
      <c r="G310" s="241"/>
      <c r="H310" s="727">
        <v>5</v>
      </c>
      <c r="I310" s="239">
        <v>1</v>
      </c>
      <c r="J310" s="248">
        <f>I20</f>
        <v>70</v>
      </c>
      <c r="K310" s="248">
        <f>J20</f>
        <v>-2.4</v>
      </c>
      <c r="L310" s="248">
        <f>K20</f>
        <v>-1.1000000000000001</v>
      </c>
      <c r="M310" s="248">
        <f>L20</f>
        <v>0.64999999999999991</v>
      </c>
      <c r="N310" s="241"/>
      <c r="O310" s="727">
        <v>5</v>
      </c>
      <c r="P310" s="239">
        <v>1</v>
      </c>
      <c r="Q310" s="248">
        <f>O9</f>
        <v>1000</v>
      </c>
      <c r="R310" s="248" t="str">
        <f>P9</f>
        <v>-</v>
      </c>
      <c r="S310" s="248" t="str">
        <f>Q9</f>
        <v>-</v>
      </c>
      <c r="T310" s="249">
        <f>R9</f>
        <v>0</v>
      </c>
    </row>
    <row r="311" spans="1:20" ht="13" hidden="1" x14ac:dyDescent="0.3">
      <c r="A311" s="725"/>
      <c r="B311" s="216">
        <v>2</v>
      </c>
      <c r="C311" s="217">
        <f>C20</f>
        <v>35</v>
      </c>
      <c r="D311" s="217">
        <f>D20</f>
        <v>-0.1</v>
      </c>
      <c r="E311" s="217">
        <f>E20</f>
        <v>-0.3</v>
      </c>
      <c r="F311" s="217">
        <f>F20</f>
        <v>9.9999999999999992E-2</v>
      </c>
      <c r="G311" s="181"/>
      <c r="H311" s="728"/>
      <c r="I311" s="216">
        <v>2</v>
      </c>
      <c r="J311" s="217">
        <f>I20</f>
        <v>70</v>
      </c>
      <c r="K311" s="217">
        <f>J20</f>
        <v>-2.4</v>
      </c>
      <c r="L311" s="217">
        <f>K20</f>
        <v>-1.1000000000000001</v>
      </c>
      <c r="M311" s="217">
        <f>L20</f>
        <v>0.64999999999999991</v>
      </c>
      <c r="N311" s="181"/>
      <c r="O311" s="728"/>
      <c r="P311" s="216">
        <v>2</v>
      </c>
      <c r="Q311" s="217">
        <f>O20</f>
        <v>1000</v>
      </c>
      <c r="R311" s="217" t="str">
        <f>P20</f>
        <v>-</v>
      </c>
      <c r="S311" s="217" t="str">
        <f>Q20</f>
        <v>-</v>
      </c>
      <c r="T311" s="218">
        <f>R20</f>
        <v>0</v>
      </c>
    </row>
    <row r="312" spans="1:20" ht="13" hidden="1" x14ac:dyDescent="0.3">
      <c r="A312" s="725"/>
      <c r="B312" s="216">
        <v>3</v>
      </c>
      <c r="C312" s="217">
        <f>C31</f>
        <v>35</v>
      </c>
      <c r="D312" s="217">
        <f>D31</f>
        <v>-0.3</v>
      </c>
      <c r="E312" s="217">
        <f>E31</f>
        <v>-0.5</v>
      </c>
      <c r="F312" s="217">
        <f>F31</f>
        <v>0.1</v>
      </c>
      <c r="G312" s="181"/>
      <c r="H312" s="728"/>
      <c r="I312" s="216">
        <v>3</v>
      </c>
      <c r="J312" s="217">
        <f>I31</f>
        <v>70</v>
      </c>
      <c r="K312" s="217">
        <f>J31</f>
        <v>-2</v>
      </c>
      <c r="L312" s="217">
        <f>K31</f>
        <v>-3.6</v>
      </c>
      <c r="M312" s="217">
        <f>L31</f>
        <v>0.8</v>
      </c>
      <c r="N312" s="181"/>
      <c r="O312" s="728"/>
      <c r="P312" s="216">
        <v>3</v>
      </c>
      <c r="Q312" s="217">
        <f>O31</f>
        <v>1000</v>
      </c>
      <c r="R312" s="217" t="str">
        <f>P31</f>
        <v>-</v>
      </c>
      <c r="S312" s="217" t="str">
        <f>Q31</f>
        <v>-</v>
      </c>
      <c r="T312" s="218">
        <f>R31</f>
        <v>0</v>
      </c>
    </row>
    <row r="313" spans="1:20" ht="13" hidden="1" x14ac:dyDescent="0.3">
      <c r="A313" s="725"/>
      <c r="B313" s="216">
        <v>4</v>
      </c>
      <c r="C313" s="217">
        <f>C42</f>
        <v>35</v>
      </c>
      <c r="D313" s="217">
        <f>D42</f>
        <v>-0.3</v>
      </c>
      <c r="E313" s="217">
        <f>E42</f>
        <v>-0.6</v>
      </c>
      <c r="F313" s="217">
        <f>F42</f>
        <v>0.15</v>
      </c>
      <c r="G313" s="181"/>
      <c r="H313" s="728"/>
      <c r="I313" s="216">
        <v>4</v>
      </c>
      <c r="J313" s="217">
        <f>I42</f>
        <v>70</v>
      </c>
      <c r="K313" s="217">
        <f>J42</f>
        <v>-4</v>
      </c>
      <c r="L313" s="217">
        <f>K42</f>
        <v>0.7</v>
      </c>
      <c r="M313" s="217">
        <f>L42</f>
        <v>2.35</v>
      </c>
      <c r="N313" s="181"/>
      <c r="O313" s="728"/>
      <c r="P313" s="216">
        <v>4</v>
      </c>
      <c r="Q313" s="217">
        <f>O42</f>
        <v>1000</v>
      </c>
      <c r="R313" s="217" t="str">
        <f>P42</f>
        <v>-</v>
      </c>
      <c r="S313" s="217" t="str">
        <f>Q42</f>
        <v>-</v>
      </c>
      <c r="T313" s="218">
        <f>R42</f>
        <v>0</v>
      </c>
    </row>
    <row r="314" spans="1:20" ht="13" hidden="1" x14ac:dyDescent="0.3">
      <c r="A314" s="725"/>
      <c r="B314" s="216">
        <v>5</v>
      </c>
      <c r="C314" s="217">
        <f>C53</f>
        <v>35</v>
      </c>
      <c r="D314" s="217">
        <f>D53</f>
        <v>0.7</v>
      </c>
      <c r="E314" s="217">
        <f>E53</f>
        <v>0</v>
      </c>
      <c r="F314" s="217">
        <f>F53</f>
        <v>0.35</v>
      </c>
      <c r="G314" s="181"/>
      <c r="H314" s="728"/>
      <c r="I314" s="216">
        <v>5</v>
      </c>
      <c r="J314" s="217">
        <f>I53</f>
        <v>70</v>
      </c>
      <c r="K314" s="217">
        <f>J53</f>
        <v>-4.0999999999999996</v>
      </c>
      <c r="L314" s="217">
        <f>K53</f>
        <v>-2.1</v>
      </c>
      <c r="M314" s="217">
        <f>L53</f>
        <v>0.99999999999999978</v>
      </c>
      <c r="N314" s="181"/>
      <c r="O314" s="728"/>
      <c r="P314" s="216">
        <v>5</v>
      </c>
      <c r="Q314" s="217">
        <f>O53</f>
        <v>1000</v>
      </c>
      <c r="R314" s="217" t="str">
        <f>P53</f>
        <v>-</v>
      </c>
      <c r="S314" s="217" t="str">
        <f>Q53</f>
        <v>-</v>
      </c>
      <c r="T314" s="218">
        <f>R53</f>
        <v>0</v>
      </c>
    </row>
    <row r="315" spans="1:20" ht="13" hidden="1" x14ac:dyDescent="0.3">
      <c r="A315" s="725"/>
      <c r="B315" s="216">
        <v>6</v>
      </c>
      <c r="C315" s="217">
        <f>C64</f>
        <v>35</v>
      </c>
      <c r="D315" s="217">
        <f>D64</f>
        <v>0.1</v>
      </c>
      <c r="E315" s="217">
        <f>E64</f>
        <v>-0.9</v>
      </c>
      <c r="F315" s="217">
        <f>F64</f>
        <v>0.5</v>
      </c>
      <c r="G315" s="181"/>
      <c r="H315" s="728"/>
      <c r="I315" s="216">
        <v>6</v>
      </c>
      <c r="J315" s="217">
        <f>I64</f>
        <v>70</v>
      </c>
      <c r="K315" s="217">
        <f>J64</f>
        <v>-6.7</v>
      </c>
      <c r="L315" s="217">
        <f>K64</f>
        <v>0.9</v>
      </c>
      <c r="M315" s="217">
        <f>L64</f>
        <v>3.8000000000000003</v>
      </c>
      <c r="N315" s="181"/>
      <c r="O315" s="728"/>
      <c r="P315" s="216">
        <v>6</v>
      </c>
      <c r="Q315" s="217">
        <f>O64</f>
        <v>1000</v>
      </c>
      <c r="R315" s="217">
        <f>P64</f>
        <v>0.9</v>
      </c>
      <c r="S315" s="217">
        <f>Q64</f>
        <v>-0.3</v>
      </c>
      <c r="T315" s="218">
        <f>R64</f>
        <v>0.6</v>
      </c>
    </row>
    <row r="316" spans="1:20" ht="13" hidden="1" x14ac:dyDescent="0.3">
      <c r="A316" s="725"/>
      <c r="B316" s="216">
        <v>7</v>
      </c>
      <c r="C316" s="217">
        <f>C75</f>
        <v>35</v>
      </c>
      <c r="D316" s="217">
        <f>D75</f>
        <v>0</v>
      </c>
      <c r="E316" s="217">
        <f>E75</f>
        <v>-1.1000000000000001</v>
      </c>
      <c r="F316" s="217">
        <f>F75</f>
        <v>0.55000000000000004</v>
      </c>
      <c r="G316" s="181"/>
      <c r="H316" s="728"/>
      <c r="I316" s="216">
        <v>7</v>
      </c>
      <c r="J316" s="217">
        <f>I75</f>
        <v>70</v>
      </c>
      <c r="K316" s="217">
        <f>J75</f>
        <v>-2.2999999999999998</v>
      </c>
      <c r="L316" s="217">
        <f>K75</f>
        <v>0.9</v>
      </c>
      <c r="M316" s="217">
        <f>L75</f>
        <v>1.5999999999999999</v>
      </c>
      <c r="N316" s="181"/>
      <c r="O316" s="728"/>
      <c r="P316" s="216">
        <v>7</v>
      </c>
      <c r="Q316" s="217">
        <f>O75</f>
        <v>1000</v>
      </c>
      <c r="R316" s="217">
        <f>P75</f>
        <v>-3.9</v>
      </c>
      <c r="S316" s="217">
        <f>Q75</f>
        <v>-0.4</v>
      </c>
      <c r="T316" s="218">
        <f>R75</f>
        <v>1.75</v>
      </c>
    </row>
    <row r="317" spans="1:20" ht="13" hidden="1" x14ac:dyDescent="0.3">
      <c r="A317" s="725"/>
      <c r="B317" s="216">
        <v>8</v>
      </c>
      <c r="C317" s="217">
        <f>C86</f>
        <v>35</v>
      </c>
      <c r="D317" s="217">
        <f>D86</f>
        <v>-0.1</v>
      </c>
      <c r="E317" s="217">
        <f>E86</f>
        <v>-0.5</v>
      </c>
      <c r="F317" s="217">
        <f>F86</f>
        <v>0.2</v>
      </c>
      <c r="G317" s="181"/>
      <c r="H317" s="728"/>
      <c r="I317" s="216">
        <v>8</v>
      </c>
      <c r="J317" s="217">
        <f>I86</f>
        <v>70</v>
      </c>
      <c r="K317" s="217">
        <f>J86</f>
        <v>-4.0999999999999996</v>
      </c>
      <c r="L317" s="217">
        <f>K86</f>
        <v>-1.2</v>
      </c>
      <c r="M317" s="217">
        <f>L86</f>
        <v>1.4499999999999997</v>
      </c>
      <c r="N317" s="181"/>
      <c r="O317" s="728"/>
      <c r="P317" s="216">
        <v>8</v>
      </c>
      <c r="Q317" s="217">
        <f>O86</f>
        <v>1000</v>
      </c>
      <c r="R317" s="217">
        <f>P86</f>
        <v>-3.5</v>
      </c>
      <c r="S317" s="217">
        <f>Q86</f>
        <v>0.2</v>
      </c>
      <c r="T317" s="218">
        <f>R86</f>
        <v>1.85</v>
      </c>
    </row>
    <row r="318" spans="1:20" ht="13" hidden="1" x14ac:dyDescent="0.3">
      <c r="A318" s="725"/>
      <c r="B318" s="216">
        <v>9</v>
      </c>
      <c r="C318" s="217">
        <f>C97</f>
        <v>35</v>
      </c>
      <c r="D318" s="217">
        <f>D97</f>
        <v>-0.5</v>
      </c>
      <c r="E318" s="217" t="str">
        <f>E97</f>
        <v>-</v>
      </c>
      <c r="F318" s="217">
        <f>F97</f>
        <v>0</v>
      </c>
      <c r="G318" s="181"/>
      <c r="H318" s="728"/>
      <c r="I318" s="216">
        <v>9</v>
      </c>
      <c r="J318" s="217">
        <f>I97</f>
        <v>70</v>
      </c>
      <c r="K318" s="217">
        <f>J97</f>
        <v>-0.6</v>
      </c>
      <c r="L318" s="217" t="str">
        <f>K97</f>
        <v>-</v>
      </c>
      <c r="M318" s="217">
        <f>L97</f>
        <v>0</v>
      </c>
      <c r="N318" s="181"/>
      <c r="O318" s="728"/>
      <c r="P318" s="216">
        <v>9</v>
      </c>
      <c r="Q318" s="217">
        <f>O97</f>
        <v>1000</v>
      </c>
      <c r="R318" s="217">
        <f>P97</f>
        <v>0.2</v>
      </c>
      <c r="S318" s="217" t="str">
        <f>Q97</f>
        <v>-</v>
      </c>
      <c r="T318" s="218">
        <f>R97</f>
        <v>0</v>
      </c>
    </row>
    <row r="319" spans="1:20" ht="13" hidden="1" x14ac:dyDescent="0.3">
      <c r="A319" s="725"/>
      <c r="B319" s="216">
        <v>10</v>
      </c>
      <c r="C319" s="217">
        <f>C108</f>
        <v>35</v>
      </c>
      <c r="D319" s="217">
        <f>D108</f>
        <v>0.2</v>
      </c>
      <c r="E319" s="217">
        <f>E108</f>
        <v>0.8</v>
      </c>
      <c r="F319" s="217">
        <f>F108</f>
        <v>0.30000000000000004</v>
      </c>
      <c r="G319" s="181"/>
      <c r="H319" s="728"/>
      <c r="I319" s="216">
        <v>10</v>
      </c>
      <c r="J319" s="217">
        <f>I108</f>
        <v>70</v>
      </c>
      <c r="K319" s="217">
        <f>J108</f>
        <v>-0.3</v>
      </c>
      <c r="L319" s="217">
        <f>K108</f>
        <v>-5.0999999999999996</v>
      </c>
      <c r="M319" s="217">
        <f>L108</f>
        <v>2.4</v>
      </c>
      <c r="N319" s="181"/>
      <c r="O319" s="728"/>
      <c r="P319" s="216">
        <v>10</v>
      </c>
      <c r="Q319" s="217">
        <f>O108</f>
        <v>1000</v>
      </c>
      <c r="R319" s="217" t="str">
        <f>P108</f>
        <v>-</v>
      </c>
      <c r="S319" s="217" t="str">
        <f>Q108</f>
        <v>-</v>
      </c>
      <c r="T319" s="218">
        <f>R108</f>
        <v>0</v>
      </c>
    </row>
    <row r="320" spans="1:20" ht="13" hidden="1" x14ac:dyDescent="0.3">
      <c r="A320" s="725"/>
      <c r="B320" s="216">
        <v>11</v>
      </c>
      <c r="C320" s="217">
        <f>C119</f>
        <v>35</v>
      </c>
      <c r="D320" s="217">
        <f>D119</f>
        <v>0.5</v>
      </c>
      <c r="E320" s="217">
        <f>E119</f>
        <v>0.4</v>
      </c>
      <c r="F320" s="217">
        <f>F119</f>
        <v>4.9999999999999989E-2</v>
      </c>
      <c r="G320" s="181"/>
      <c r="H320" s="728"/>
      <c r="I320" s="216">
        <v>11</v>
      </c>
      <c r="J320" s="217">
        <f>I119</f>
        <v>70</v>
      </c>
      <c r="K320" s="217">
        <f>J119</f>
        <v>-3.4</v>
      </c>
      <c r="L320" s="217">
        <f>K119</f>
        <v>-1.7</v>
      </c>
      <c r="M320" s="217">
        <f>L119</f>
        <v>0.85</v>
      </c>
      <c r="N320" s="181"/>
      <c r="O320" s="728"/>
      <c r="P320" s="216">
        <v>11</v>
      </c>
      <c r="Q320" s="217">
        <f>O119</f>
        <v>1000</v>
      </c>
      <c r="R320" s="217" t="str">
        <f>P119</f>
        <v>-</v>
      </c>
      <c r="S320" s="217" t="str">
        <f>Q119</f>
        <v>-</v>
      </c>
      <c r="T320" s="218">
        <f>R119</f>
        <v>0</v>
      </c>
    </row>
    <row r="321" spans="1:20" ht="13" hidden="1" x14ac:dyDescent="0.3">
      <c r="A321" s="725"/>
      <c r="B321" s="216">
        <v>12</v>
      </c>
      <c r="C321" s="217">
        <f>C130</f>
        <v>35</v>
      </c>
      <c r="D321" s="217">
        <f>D130</f>
        <v>-0.2</v>
      </c>
      <c r="E321" s="217" t="str">
        <f>E130</f>
        <v>-</v>
      </c>
      <c r="F321" s="217">
        <f>F130</f>
        <v>0</v>
      </c>
      <c r="G321" s="181"/>
      <c r="H321" s="728"/>
      <c r="I321" s="216">
        <v>12</v>
      </c>
      <c r="J321" s="217">
        <f>I130</f>
        <v>70</v>
      </c>
      <c r="K321" s="217">
        <f>J130</f>
        <v>-0.1</v>
      </c>
      <c r="L321" s="217" t="str">
        <f>K130</f>
        <v>-</v>
      </c>
      <c r="M321" s="217">
        <f>L130</f>
        <v>0</v>
      </c>
      <c r="N321" s="181"/>
      <c r="O321" s="728"/>
      <c r="P321" s="216">
        <v>12</v>
      </c>
      <c r="Q321" s="217">
        <f>O130</f>
        <v>1000</v>
      </c>
      <c r="R321" s="217">
        <f>P130</f>
        <v>-0.8</v>
      </c>
      <c r="S321" s="217" t="str">
        <f>Q130</f>
        <v>-</v>
      </c>
      <c r="T321" s="218">
        <f>R130</f>
        <v>0</v>
      </c>
    </row>
    <row r="322" spans="1:20" ht="13" hidden="1" x14ac:dyDescent="0.3">
      <c r="A322" s="725"/>
      <c r="B322" s="216">
        <v>13</v>
      </c>
      <c r="C322" s="217">
        <f>C141</f>
        <v>35</v>
      </c>
      <c r="D322" s="217">
        <f>D141</f>
        <v>0.3</v>
      </c>
      <c r="E322" s="217" t="str">
        <f>E141</f>
        <v>-</v>
      </c>
      <c r="F322" s="217">
        <f>F141</f>
        <v>0</v>
      </c>
      <c r="G322" s="181"/>
      <c r="H322" s="728"/>
      <c r="I322" s="216">
        <v>13</v>
      </c>
      <c r="J322" s="217">
        <f>I141</f>
        <v>70</v>
      </c>
      <c r="K322" s="217">
        <f>J141</f>
        <v>-1.9</v>
      </c>
      <c r="L322" s="217" t="str">
        <f>K141</f>
        <v>-</v>
      </c>
      <c r="M322" s="217">
        <f>L141</f>
        <v>0</v>
      </c>
      <c r="N322" s="181"/>
      <c r="O322" s="728"/>
      <c r="P322" s="216">
        <v>13</v>
      </c>
      <c r="Q322" s="217">
        <f>O141</f>
        <v>1000</v>
      </c>
      <c r="R322" s="217">
        <f>P141</f>
        <v>1.1000000000000001</v>
      </c>
      <c r="S322" s="217" t="str">
        <f>Q141</f>
        <v>-</v>
      </c>
      <c r="T322" s="218">
        <f>R141</f>
        <v>0</v>
      </c>
    </row>
    <row r="323" spans="1:20" ht="13" hidden="1" x14ac:dyDescent="0.3">
      <c r="A323" s="725"/>
      <c r="B323" s="216">
        <v>14</v>
      </c>
      <c r="C323" s="217">
        <f>C152</f>
        <v>35</v>
      </c>
      <c r="D323" s="217">
        <f>D152</f>
        <v>-0.6</v>
      </c>
      <c r="E323" s="217" t="str">
        <f>E152</f>
        <v>-</v>
      </c>
      <c r="F323" s="217">
        <f>F152</f>
        <v>0</v>
      </c>
      <c r="G323" s="181"/>
      <c r="H323" s="728"/>
      <c r="I323" s="216">
        <v>14</v>
      </c>
      <c r="J323" s="217">
        <f>I152</f>
        <v>70</v>
      </c>
      <c r="K323" s="217">
        <f>J152</f>
        <v>-0.8</v>
      </c>
      <c r="L323" s="217" t="str">
        <f>K152</f>
        <v>-</v>
      </c>
      <c r="M323" s="217">
        <f>L152</f>
        <v>0</v>
      </c>
      <c r="N323" s="181"/>
      <c r="O323" s="728"/>
      <c r="P323" s="216">
        <v>14</v>
      </c>
      <c r="Q323" s="217">
        <f>O152</f>
        <v>1000</v>
      </c>
      <c r="R323" s="217">
        <f>P152</f>
        <v>1.1000000000000001</v>
      </c>
      <c r="S323" s="217" t="str">
        <f>Q152</f>
        <v>-</v>
      </c>
      <c r="T323" s="218">
        <f>R152</f>
        <v>0</v>
      </c>
    </row>
    <row r="324" spans="1:20" ht="13" hidden="1" x14ac:dyDescent="0.3">
      <c r="A324" s="725"/>
      <c r="B324" s="216">
        <v>15</v>
      </c>
      <c r="C324" s="217">
        <f>C163</f>
        <v>35</v>
      </c>
      <c r="D324" s="217">
        <f>D163</f>
        <v>-0.1</v>
      </c>
      <c r="E324" s="217" t="str">
        <f>E163</f>
        <v>-</v>
      </c>
      <c r="F324" s="217">
        <f>F163</f>
        <v>0</v>
      </c>
      <c r="G324" s="181"/>
      <c r="H324" s="728"/>
      <c r="I324" s="216">
        <v>15</v>
      </c>
      <c r="J324" s="217">
        <f>I163</f>
        <v>70</v>
      </c>
      <c r="K324" s="217">
        <f>J163</f>
        <v>-0.8</v>
      </c>
      <c r="L324" s="217" t="str">
        <f>K163</f>
        <v>-</v>
      </c>
      <c r="M324" s="217">
        <f>L163</f>
        <v>0</v>
      </c>
      <c r="N324" s="181"/>
      <c r="O324" s="728"/>
      <c r="P324" s="216">
        <v>15</v>
      </c>
      <c r="Q324" s="217">
        <f>O163</f>
        <v>1000</v>
      </c>
      <c r="R324" s="217">
        <f>P163</f>
        <v>1.1000000000000001</v>
      </c>
      <c r="S324" s="217" t="str">
        <f>Q163</f>
        <v>-</v>
      </c>
      <c r="T324" s="218">
        <f>R163</f>
        <v>0</v>
      </c>
    </row>
    <row r="325" spans="1:20" ht="13" hidden="1" x14ac:dyDescent="0.3">
      <c r="A325" s="725"/>
      <c r="B325" s="216">
        <v>16</v>
      </c>
      <c r="C325" s="217">
        <f>C174</f>
        <v>35</v>
      </c>
      <c r="D325" s="217">
        <f>D174</f>
        <v>0.1</v>
      </c>
      <c r="E325" s="217" t="str">
        <f>E174</f>
        <v>-</v>
      </c>
      <c r="F325" s="217">
        <f>F174</f>
        <v>0</v>
      </c>
      <c r="G325" s="181"/>
      <c r="H325" s="728"/>
      <c r="I325" s="216">
        <v>16</v>
      </c>
      <c r="J325" s="217">
        <f>I174</f>
        <v>70</v>
      </c>
      <c r="K325" s="217">
        <f>J174</f>
        <v>-1.8</v>
      </c>
      <c r="L325" s="217" t="str">
        <f>K174</f>
        <v>-</v>
      </c>
      <c r="M325" s="217">
        <f>L174</f>
        <v>0</v>
      </c>
      <c r="N325" s="181"/>
      <c r="O325" s="728"/>
      <c r="P325" s="216">
        <v>16</v>
      </c>
      <c r="Q325" s="217">
        <f>O174</f>
        <v>1000</v>
      </c>
      <c r="R325" s="217">
        <f>P174</f>
        <v>-0.4</v>
      </c>
      <c r="S325" s="217" t="str">
        <f>Q174</f>
        <v>-</v>
      </c>
      <c r="T325" s="218">
        <f>R174</f>
        <v>0</v>
      </c>
    </row>
    <row r="326" spans="1:20" ht="13" hidden="1" x14ac:dyDescent="0.3">
      <c r="A326" s="725"/>
      <c r="B326" s="216">
        <v>17</v>
      </c>
      <c r="C326" s="217">
        <f>C185</f>
        <v>35</v>
      </c>
      <c r="D326" s="217">
        <f>D185</f>
        <v>-0.5</v>
      </c>
      <c r="E326" s="217" t="str">
        <f>E185</f>
        <v>-</v>
      </c>
      <c r="F326" s="217">
        <f>F185</f>
        <v>0</v>
      </c>
      <c r="G326" s="181"/>
      <c r="H326" s="728"/>
      <c r="I326" s="216">
        <v>17</v>
      </c>
      <c r="J326" s="217">
        <f>I185</f>
        <v>70</v>
      </c>
      <c r="K326" s="217">
        <f>J185</f>
        <v>-0.3</v>
      </c>
      <c r="L326" s="217" t="str">
        <f>K185</f>
        <v>-</v>
      </c>
      <c r="M326" s="217">
        <f>L185</f>
        <v>0</v>
      </c>
      <c r="N326" s="181"/>
      <c r="O326" s="728"/>
      <c r="P326" s="216">
        <v>17</v>
      </c>
      <c r="Q326" s="217">
        <f>O185</f>
        <v>1000</v>
      </c>
      <c r="R326" s="217">
        <f>P185</f>
        <v>-0.6</v>
      </c>
      <c r="S326" s="217" t="str">
        <f>Q185</f>
        <v>-</v>
      </c>
      <c r="T326" s="218">
        <f>R185</f>
        <v>0</v>
      </c>
    </row>
    <row r="327" spans="1:20" ht="13" hidden="1" x14ac:dyDescent="0.3">
      <c r="A327" s="725"/>
      <c r="B327" s="216">
        <v>18</v>
      </c>
      <c r="C327" s="217">
        <f>C196</f>
        <v>35</v>
      </c>
      <c r="D327" s="217">
        <f>D196</f>
        <v>-0.3</v>
      </c>
      <c r="E327" s="217" t="str">
        <f>E196</f>
        <v>-</v>
      </c>
      <c r="F327" s="217">
        <f>F196</f>
        <v>0</v>
      </c>
      <c r="G327" s="181"/>
      <c r="H327" s="728"/>
      <c r="I327" s="216">
        <v>18</v>
      </c>
      <c r="J327" s="217">
        <f>I196</f>
        <v>70</v>
      </c>
      <c r="K327" s="217">
        <f>J196</f>
        <v>-0.3</v>
      </c>
      <c r="L327" s="217" t="str">
        <f>K196</f>
        <v>-</v>
      </c>
      <c r="M327" s="217">
        <f>L196</f>
        <v>0</v>
      </c>
      <c r="N327" s="181"/>
      <c r="O327" s="728"/>
      <c r="P327" s="216">
        <v>18</v>
      </c>
      <c r="Q327" s="217">
        <f>O196</f>
        <v>1000</v>
      </c>
      <c r="R327" s="217">
        <f>P196</f>
        <v>-0.8</v>
      </c>
      <c r="S327" s="217" t="str">
        <f>Q196</f>
        <v>-</v>
      </c>
      <c r="T327" s="218">
        <f>R196</f>
        <v>0</v>
      </c>
    </row>
    <row r="328" spans="1:20" ht="13" hidden="1" x14ac:dyDescent="0.3">
      <c r="A328" s="725"/>
      <c r="B328" s="216">
        <v>19</v>
      </c>
      <c r="C328" s="217">
        <f>C207</f>
        <v>35</v>
      </c>
      <c r="D328" s="217">
        <f>D207</f>
        <v>-0.1</v>
      </c>
      <c r="E328" s="217" t="str">
        <f>E207</f>
        <v>-</v>
      </c>
      <c r="F328" s="217">
        <f>F207</f>
        <v>0</v>
      </c>
      <c r="G328" s="181"/>
      <c r="H328" s="728"/>
      <c r="I328" s="216">
        <v>19</v>
      </c>
      <c r="J328" s="217">
        <f>I207</f>
        <v>70</v>
      </c>
      <c r="K328" s="217">
        <f>J207</f>
        <v>-0.7</v>
      </c>
      <c r="L328" s="217" t="str">
        <f>K207</f>
        <v>-</v>
      </c>
      <c r="M328" s="217">
        <f>L207</f>
        <v>0</v>
      </c>
      <c r="N328" s="181"/>
      <c r="O328" s="728"/>
      <c r="P328" s="216">
        <v>19</v>
      </c>
      <c r="Q328" s="217">
        <f>O207</f>
        <v>1000</v>
      </c>
      <c r="R328" s="217">
        <f>P207</f>
        <v>2.2000000000000002</v>
      </c>
      <c r="S328" s="217" t="str">
        <f>Q207</f>
        <v>-</v>
      </c>
      <c r="T328" s="218">
        <f>R207</f>
        <v>0</v>
      </c>
    </row>
    <row r="329" spans="1:20" ht="13.5" hidden="1" thickBot="1" x14ac:dyDescent="0.35">
      <c r="A329" s="726"/>
      <c r="B329" s="227">
        <v>20</v>
      </c>
      <c r="C329" s="244">
        <f>C218</f>
        <v>34.5</v>
      </c>
      <c r="D329" s="244">
        <f>D218</f>
        <v>0</v>
      </c>
      <c r="E329" s="244" t="str">
        <f>E218</f>
        <v>-</v>
      </c>
      <c r="F329" s="244">
        <f>F218</f>
        <v>0</v>
      </c>
      <c r="G329" s="229"/>
      <c r="H329" s="729"/>
      <c r="I329" s="227">
        <v>20</v>
      </c>
      <c r="J329" s="244">
        <f>I218</f>
        <v>80.8</v>
      </c>
      <c r="K329" s="244">
        <f>J218</f>
        <v>0</v>
      </c>
      <c r="L329" s="244" t="str">
        <f>K218</f>
        <v>-</v>
      </c>
      <c r="M329" s="244">
        <f>L218</f>
        <v>0</v>
      </c>
      <c r="N329" s="229"/>
      <c r="O329" s="729"/>
      <c r="P329" s="227">
        <v>20</v>
      </c>
      <c r="Q329" s="244">
        <f>O218</f>
        <v>1000</v>
      </c>
      <c r="R329" s="244" t="str">
        <f>P218</f>
        <v>-</v>
      </c>
      <c r="S329" s="244" t="str">
        <f>Q218</f>
        <v>-</v>
      </c>
      <c r="T329" s="245">
        <f>R218</f>
        <v>0</v>
      </c>
    </row>
    <row r="330" spans="1:20" ht="13" hidden="1" x14ac:dyDescent="0.3">
      <c r="A330" s="232"/>
      <c r="B330" s="233"/>
      <c r="C330" s="246"/>
      <c r="D330" s="246"/>
      <c r="E330" s="246"/>
      <c r="F330" s="247"/>
      <c r="G330" s="236"/>
      <c r="H330" s="232"/>
      <c r="I330" s="233"/>
      <c r="J330" s="246"/>
      <c r="K330" s="246"/>
      <c r="L330" s="246"/>
      <c r="M330" s="247"/>
      <c r="N330" s="181"/>
      <c r="O330" s="232"/>
      <c r="P330" s="233"/>
      <c r="Q330" s="246"/>
      <c r="R330" s="246"/>
      <c r="S330" s="246"/>
      <c r="T330" s="247"/>
    </row>
    <row r="331" spans="1:20" ht="13" hidden="1" x14ac:dyDescent="0.3">
      <c r="A331" s="724">
        <v>6</v>
      </c>
      <c r="B331" s="239">
        <v>1</v>
      </c>
      <c r="C331" s="248">
        <f>C10</f>
        <v>37</v>
      </c>
      <c r="D331" s="248">
        <f>D10</f>
        <v>-0.2</v>
      </c>
      <c r="E331" s="248">
        <f>E10</f>
        <v>-0.6</v>
      </c>
      <c r="F331" s="248">
        <f>F10</f>
        <v>0.19999999999999998</v>
      </c>
      <c r="G331" s="241"/>
      <c r="H331" s="727">
        <v>6</v>
      </c>
      <c r="I331" s="239">
        <v>1</v>
      </c>
      <c r="J331" s="248">
        <f>I10</f>
        <v>80</v>
      </c>
      <c r="K331" s="248">
        <f>J10</f>
        <v>-3.2</v>
      </c>
      <c r="L331" s="248">
        <f>K10</f>
        <v>0.7</v>
      </c>
      <c r="M331" s="248">
        <f>L10</f>
        <v>1.9500000000000002</v>
      </c>
      <c r="N331" s="241"/>
      <c r="O331" s="727">
        <v>6</v>
      </c>
      <c r="P331" s="239">
        <v>1</v>
      </c>
      <c r="Q331" s="248">
        <f>O10</f>
        <v>1005</v>
      </c>
      <c r="R331" s="248" t="str">
        <f>P10</f>
        <v>-</v>
      </c>
      <c r="S331" s="248" t="str">
        <f>Q10</f>
        <v>-</v>
      </c>
      <c r="T331" s="249">
        <f>R10</f>
        <v>0</v>
      </c>
    </row>
    <row r="332" spans="1:20" ht="13" hidden="1" x14ac:dyDescent="0.3">
      <c r="A332" s="725"/>
      <c r="B332" s="216">
        <v>2</v>
      </c>
      <c r="C332" s="217">
        <f>C21</f>
        <v>37</v>
      </c>
      <c r="D332" s="217">
        <f>D21</f>
        <v>-0.2</v>
      </c>
      <c r="E332" s="217">
        <f>E21</f>
        <v>-0.3</v>
      </c>
      <c r="F332" s="217">
        <f>F21</f>
        <v>4.9999999999999989E-2</v>
      </c>
      <c r="G332" s="181"/>
      <c r="H332" s="728"/>
      <c r="I332" s="216">
        <v>2</v>
      </c>
      <c r="J332" s="217">
        <f>I21</f>
        <v>80</v>
      </c>
      <c r="K332" s="217">
        <f>J21</f>
        <v>-0.5</v>
      </c>
      <c r="L332" s="217">
        <f>K21</f>
        <v>-0.7</v>
      </c>
      <c r="M332" s="217">
        <f>L21</f>
        <v>9.9999999999999978E-2</v>
      </c>
      <c r="N332" s="181"/>
      <c r="O332" s="728"/>
      <c r="P332" s="216">
        <v>2</v>
      </c>
      <c r="Q332" s="217">
        <f>O21</f>
        <v>1005</v>
      </c>
      <c r="R332" s="217" t="str">
        <f>P21</f>
        <v>-</v>
      </c>
      <c r="S332" s="217" t="str">
        <f>Q21</f>
        <v>-</v>
      </c>
      <c r="T332" s="218">
        <f>R21</f>
        <v>0</v>
      </c>
    </row>
    <row r="333" spans="1:20" ht="13" hidden="1" x14ac:dyDescent="0.3">
      <c r="A333" s="725"/>
      <c r="B333" s="216">
        <v>3</v>
      </c>
      <c r="C333" s="217">
        <f>C32</f>
        <v>37</v>
      </c>
      <c r="D333" s="217">
        <f>D32</f>
        <v>-0.2</v>
      </c>
      <c r="E333" s="217">
        <f>E32</f>
        <v>-0.6</v>
      </c>
      <c r="F333" s="217">
        <f>F32</f>
        <v>0.19999999999999998</v>
      </c>
      <c r="G333" s="181"/>
      <c r="H333" s="728"/>
      <c r="I333" s="216">
        <v>3</v>
      </c>
      <c r="J333" s="217">
        <f>I32</f>
        <v>80</v>
      </c>
      <c r="K333" s="217">
        <f>J32</f>
        <v>-0.8</v>
      </c>
      <c r="L333" s="217">
        <f>K32</f>
        <v>-2.9</v>
      </c>
      <c r="M333" s="217">
        <f>L32</f>
        <v>1.0499999999999998</v>
      </c>
      <c r="N333" s="181"/>
      <c r="O333" s="728"/>
      <c r="P333" s="216">
        <v>3</v>
      </c>
      <c r="Q333" s="217">
        <f>O32</f>
        <v>1005</v>
      </c>
      <c r="R333" s="217" t="str">
        <f>P32</f>
        <v>-</v>
      </c>
      <c r="S333" s="217" t="str">
        <f>Q32</f>
        <v>-</v>
      </c>
      <c r="T333" s="218">
        <f>R32</f>
        <v>0</v>
      </c>
    </row>
    <row r="334" spans="1:20" ht="13" hidden="1" x14ac:dyDescent="0.3">
      <c r="A334" s="725"/>
      <c r="B334" s="216">
        <v>4</v>
      </c>
      <c r="C334" s="217">
        <f>C43</f>
        <v>37</v>
      </c>
      <c r="D334" s="217">
        <f>D43</f>
        <v>-0.4</v>
      </c>
      <c r="E334" s="217">
        <f>E43</f>
        <v>-0.6</v>
      </c>
      <c r="F334" s="217">
        <f>F43</f>
        <v>9.9999999999999978E-2</v>
      </c>
      <c r="G334" s="181"/>
      <c r="H334" s="728"/>
      <c r="I334" s="216">
        <v>4</v>
      </c>
      <c r="J334" s="217">
        <f>I43</f>
        <v>80</v>
      </c>
      <c r="K334" s="217">
        <f>J43</f>
        <v>-3.8</v>
      </c>
      <c r="L334" s="217">
        <f>K43</f>
        <v>1.9</v>
      </c>
      <c r="M334" s="217">
        <f>L43</f>
        <v>2.8499999999999996</v>
      </c>
      <c r="N334" s="181"/>
      <c r="O334" s="728"/>
      <c r="P334" s="216">
        <v>4</v>
      </c>
      <c r="Q334" s="217">
        <f>O43</f>
        <v>1005</v>
      </c>
      <c r="R334" s="217" t="str">
        <f>P43</f>
        <v>-</v>
      </c>
      <c r="S334" s="217" t="str">
        <f>Q43</f>
        <v>-</v>
      </c>
      <c r="T334" s="218">
        <f>R43</f>
        <v>0</v>
      </c>
    </row>
    <row r="335" spans="1:20" ht="13" hidden="1" x14ac:dyDescent="0.3">
      <c r="A335" s="725"/>
      <c r="B335" s="216">
        <v>5</v>
      </c>
      <c r="C335" s="217">
        <f>C54</f>
        <v>37</v>
      </c>
      <c r="D335" s="217">
        <f>D54</f>
        <v>0.7</v>
      </c>
      <c r="E335" s="217">
        <f>E54</f>
        <v>0</v>
      </c>
      <c r="F335" s="217">
        <f>F54</f>
        <v>0.35</v>
      </c>
      <c r="G335" s="181"/>
      <c r="H335" s="728"/>
      <c r="I335" s="216">
        <v>5</v>
      </c>
      <c r="J335" s="217">
        <f>I54</f>
        <v>80</v>
      </c>
      <c r="K335" s="217">
        <f>J54</f>
        <v>-3</v>
      </c>
      <c r="L335" s="217">
        <f>K54</f>
        <v>0.2</v>
      </c>
      <c r="M335" s="217">
        <f>L54</f>
        <v>1.6</v>
      </c>
      <c r="N335" s="181"/>
      <c r="O335" s="728"/>
      <c r="P335" s="216">
        <v>5</v>
      </c>
      <c r="Q335" s="217">
        <f>O54</f>
        <v>1005</v>
      </c>
      <c r="R335" s="217" t="str">
        <f>P54</f>
        <v>-</v>
      </c>
      <c r="S335" s="217" t="str">
        <f>Q54</f>
        <v>-</v>
      </c>
      <c r="T335" s="218">
        <f>R54</f>
        <v>0</v>
      </c>
    </row>
    <row r="336" spans="1:20" ht="13" hidden="1" x14ac:dyDescent="0.3">
      <c r="A336" s="725"/>
      <c r="B336" s="216">
        <v>6</v>
      </c>
      <c r="C336" s="217">
        <f>C65</f>
        <v>37</v>
      </c>
      <c r="D336" s="217">
        <f>D65</f>
        <v>0.1</v>
      </c>
      <c r="E336" s="217">
        <f>E65</f>
        <v>-1.1000000000000001</v>
      </c>
      <c r="F336" s="217">
        <f>F65</f>
        <v>0.60000000000000009</v>
      </c>
      <c r="G336" s="181"/>
      <c r="H336" s="728"/>
      <c r="I336" s="216">
        <v>6</v>
      </c>
      <c r="J336" s="217">
        <f>I65</f>
        <v>80</v>
      </c>
      <c r="K336" s="217">
        <f>J65</f>
        <v>-6.3</v>
      </c>
      <c r="L336" s="217">
        <f>K65</f>
        <v>0.8</v>
      </c>
      <c r="M336" s="217">
        <f>L65</f>
        <v>3.55</v>
      </c>
      <c r="N336" s="181"/>
      <c r="O336" s="728"/>
      <c r="P336" s="216">
        <v>6</v>
      </c>
      <c r="Q336" s="217">
        <f>O65</f>
        <v>1005</v>
      </c>
      <c r="R336" s="217">
        <f>P65</f>
        <v>0.9</v>
      </c>
      <c r="S336" s="217">
        <f>Q65</f>
        <v>-0.3</v>
      </c>
      <c r="T336" s="218">
        <f>R65</f>
        <v>0.6</v>
      </c>
    </row>
    <row r="337" spans="1:20" ht="13" hidden="1" x14ac:dyDescent="0.3">
      <c r="A337" s="725"/>
      <c r="B337" s="216">
        <v>7</v>
      </c>
      <c r="C337" s="217">
        <f>C76</f>
        <v>37</v>
      </c>
      <c r="D337" s="217">
        <f>D76</f>
        <v>0</v>
      </c>
      <c r="E337" s="217">
        <f>E76</f>
        <v>-1.4</v>
      </c>
      <c r="F337" s="217">
        <f>F76</f>
        <v>0.7</v>
      </c>
      <c r="G337" s="181"/>
      <c r="H337" s="728"/>
      <c r="I337" s="216">
        <v>7</v>
      </c>
      <c r="J337" s="217">
        <f>I76</f>
        <v>80</v>
      </c>
      <c r="K337" s="217">
        <f>J76</f>
        <v>-2.6</v>
      </c>
      <c r="L337" s="217">
        <f>K76</f>
        <v>1.2</v>
      </c>
      <c r="M337" s="217">
        <f>L76</f>
        <v>1.9</v>
      </c>
      <c r="N337" s="181"/>
      <c r="O337" s="728"/>
      <c r="P337" s="216">
        <v>7</v>
      </c>
      <c r="Q337" s="217">
        <f>O76</f>
        <v>1005</v>
      </c>
      <c r="R337" s="217">
        <f>P76</f>
        <v>-3.8</v>
      </c>
      <c r="S337" s="217">
        <f>Q76</f>
        <v>-0.5</v>
      </c>
      <c r="T337" s="218">
        <f>R76</f>
        <v>1.65</v>
      </c>
    </row>
    <row r="338" spans="1:20" ht="13" hidden="1" x14ac:dyDescent="0.3">
      <c r="A338" s="725"/>
      <c r="B338" s="216">
        <v>8</v>
      </c>
      <c r="C338" s="217">
        <f>C87</f>
        <v>37</v>
      </c>
      <c r="D338" s="217">
        <f>D87</f>
        <v>-0.1</v>
      </c>
      <c r="E338" s="217">
        <f>E87</f>
        <v>-0.5</v>
      </c>
      <c r="F338" s="217">
        <f>F87</f>
        <v>0.2</v>
      </c>
      <c r="G338" s="181"/>
      <c r="H338" s="728"/>
      <c r="I338" s="216">
        <v>8</v>
      </c>
      <c r="J338" s="217">
        <f>I87</f>
        <v>80</v>
      </c>
      <c r="K338" s="217">
        <f>J87</f>
        <v>-4.5</v>
      </c>
      <c r="L338" s="217">
        <f>K87</f>
        <v>-1.2</v>
      </c>
      <c r="M338" s="217">
        <f>L87</f>
        <v>1.65</v>
      </c>
      <c r="N338" s="181"/>
      <c r="O338" s="728"/>
      <c r="P338" s="216">
        <v>8</v>
      </c>
      <c r="Q338" s="217">
        <f>O87</f>
        <v>1005</v>
      </c>
      <c r="R338" s="217">
        <f>P87</f>
        <v>-3.4</v>
      </c>
      <c r="S338" s="217">
        <f>Q87</f>
        <v>0.2</v>
      </c>
      <c r="T338" s="218">
        <f>R87</f>
        <v>1.8</v>
      </c>
    </row>
    <row r="339" spans="1:20" ht="13" hidden="1" x14ac:dyDescent="0.3">
      <c r="A339" s="725"/>
      <c r="B339" s="216">
        <v>9</v>
      </c>
      <c r="C339" s="217">
        <f>C98</f>
        <v>37</v>
      </c>
      <c r="D339" s="217">
        <f>D98</f>
        <v>-0.5</v>
      </c>
      <c r="E339" s="217" t="str">
        <f>E98</f>
        <v>-</v>
      </c>
      <c r="F339" s="217">
        <f>F98</f>
        <v>0</v>
      </c>
      <c r="G339" s="181"/>
      <c r="H339" s="728"/>
      <c r="I339" s="216">
        <v>9</v>
      </c>
      <c r="J339" s="217">
        <f>I98</f>
        <v>80</v>
      </c>
      <c r="K339" s="217">
        <f>J98</f>
        <v>-0.5</v>
      </c>
      <c r="L339" s="217" t="str">
        <f>K98</f>
        <v>-</v>
      </c>
      <c r="M339" s="217">
        <f>L98</f>
        <v>0</v>
      </c>
      <c r="N339" s="181"/>
      <c r="O339" s="728"/>
      <c r="P339" s="216">
        <v>9</v>
      </c>
      <c r="Q339" s="217">
        <f>O98</f>
        <v>1005</v>
      </c>
      <c r="R339" s="217">
        <f>P98</f>
        <v>0.2</v>
      </c>
      <c r="S339" s="217" t="str">
        <f>Q98</f>
        <v>-</v>
      </c>
      <c r="T339" s="218">
        <f>R98</f>
        <v>0</v>
      </c>
    </row>
    <row r="340" spans="1:20" ht="13" hidden="1" x14ac:dyDescent="0.3">
      <c r="A340" s="725"/>
      <c r="B340" s="216">
        <v>10</v>
      </c>
      <c r="C340" s="217">
        <f>C109</f>
        <v>37</v>
      </c>
      <c r="D340" s="217">
        <f>D109</f>
        <v>0.2</v>
      </c>
      <c r="E340" s="217">
        <f>E109</f>
        <v>0.4</v>
      </c>
      <c r="F340" s="217">
        <f>F109</f>
        <v>0.1</v>
      </c>
      <c r="G340" s="181"/>
      <c r="H340" s="728"/>
      <c r="I340" s="216">
        <v>10</v>
      </c>
      <c r="J340" s="217">
        <f>I109</f>
        <v>80</v>
      </c>
      <c r="K340" s="217">
        <f>J109</f>
        <v>2.2000000000000002</v>
      </c>
      <c r="L340" s="217">
        <f>K109</f>
        <v>-4.7</v>
      </c>
      <c r="M340" s="217">
        <f>L109</f>
        <v>3.45</v>
      </c>
      <c r="N340" s="181"/>
      <c r="O340" s="728"/>
      <c r="P340" s="216">
        <v>10</v>
      </c>
      <c r="Q340" s="217">
        <f>O109</f>
        <v>1005</v>
      </c>
      <c r="R340" s="217" t="str">
        <f>P109</f>
        <v>-</v>
      </c>
      <c r="S340" s="217" t="str">
        <f>Q109</f>
        <v>-</v>
      </c>
      <c r="T340" s="218">
        <f>R109</f>
        <v>0</v>
      </c>
    </row>
    <row r="341" spans="1:20" ht="13" hidden="1" x14ac:dyDescent="0.3">
      <c r="A341" s="725"/>
      <c r="B341" s="216">
        <v>11</v>
      </c>
      <c r="C341" s="217">
        <f>C120</f>
        <v>37</v>
      </c>
      <c r="D341" s="217">
        <f>D120</f>
        <v>0.5</v>
      </c>
      <c r="E341" s="217">
        <f>E120</f>
        <v>0.5</v>
      </c>
      <c r="F341" s="217">
        <f>F120</f>
        <v>0</v>
      </c>
      <c r="G341" s="181"/>
      <c r="H341" s="728"/>
      <c r="I341" s="216">
        <v>11</v>
      </c>
      <c r="J341" s="217">
        <f>I120</f>
        <v>80</v>
      </c>
      <c r="K341" s="217">
        <f>J120</f>
        <v>-1.4</v>
      </c>
      <c r="L341" s="217">
        <f>K120</f>
        <v>2.6</v>
      </c>
      <c r="M341" s="217">
        <f>L120</f>
        <v>2</v>
      </c>
      <c r="N341" s="181"/>
      <c r="O341" s="728"/>
      <c r="P341" s="216">
        <v>11</v>
      </c>
      <c r="Q341" s="217">
        <f>O120</f>
        <v>1005</v>
      </c>
      <c r="R341" s="217" t="str">
        <f>P120</f>
        <v>-</v>
      </c>
      <c r="S341" s="217" t="str">
        <f>Q120</f>
        <v>-</v>
      </c>
      <c r="T341" s="218">
        <f>R120</f>
        <v>0</v>
      </c>
    </row>
    <row r="342" spans="1:20" ht="13" hidden="1" x14ac:dyDescent="0.3">
      <c r="A342" s="725"/>
      <c r="B342" s="216">
        <v>12</v>
      </c>
      <c r="C342" s="217">
        <f>C131</f>
        <v>37</v>
      </c>
      <c r="D342" s="217">
        <f>D131</f>
        <v>-0.3</v>
      </c>
      <c r="E342" s="217" t="str">
        <f>E131</f>
        <v>-</v>
      </c>
      <c r="F342" s="217">
        <f>F131</f>
        <v>0</v>
      </c>
      <c r="G342" s="181"/>
      <c r="H342" s="728"/>
      <c r="I342" s="216">
        <v>12</v>
      </c>
      <c r="J342" s="217">
        <f>I131</f>
        <v>80</v>
      </c>
      <c r="K342" s="217">
        <f>J131</f>
        <v>-0.5</v>
      </c>
      <c r="L342" s="217" t="str">
        <f>K131</f>
        <v>-</v>
      </c>
      <c r="M342" s="217">
        <f>L131</f>
        <v>0</v>
      </c>
      <c r="N342" s="181"/>
      <c r="O342" s="728"/>
      <c r="P342" s="216">
        <v>12</v>
      </c>
      <c r="Q342" s="217">
        <f>O131</f>
        <v>1005</v>
      </c>
      <c r="R342" s="217">
        <f>P131</f>
        <v>-0.8</v>
      </c>
      <c r="S342" s="217" t="str">
        <f>Q131</f>
        <v>-</v>
      </c>
      <c r="T342" s="218">
        <f>R131</f>
        <v>0</v>
      </c>
    </row>
    <row r="343" spans="1:20" ht="13" hidden="1" x14ac:dyDescent="0.3">
      <c r="A343" s="725"/>
      <c r="B343" s="216">
        <v>13</v>
      </c>
      <c r="C343" s="217">
        <f>C142</f>
        <v>37</v>
      </c>
      <c r="D343" s="217">
        <f>D142</f>
        <v>0.4</v>
      </c>
      <c r="E343" s="217" t="str">
        <f>E142</f>
        <v>-</v>
      </c>
      <c r="F343" s="217">
        <f>F142</f>
        <v>0</v>
      </c>
      <c r="G343" s="181"/>
      <c r="H343" s="728"/>
      <c r="I343" s="216">
        <v>13</v>
      </c>
      <c r="J343" s="217">
        <f>I142</f>
        <v>80</v>
      </c>
      <c r="K343" s="217">
        <f>J142</f>
        <v>-2.5</v>
      </c>
      <c r="L343" s="217" t="str">
        <f>K142</f>
        <v>-</v>
      </c>
      <c r="M343" s="217">
        <f>L142</f>
        <v>0</v>
      </c>
      <c r="N343" s="181"/>
      <c r="O343" s="728"/>
      <c r="P343" s="216">
        <v>13</v>
      </c>
      <c r="Q343" s="217">
        <f>O142</f>
        <v>1005</v>
      </c>
      <c r="R343" s="217">
        <f>P142</f>
        <v>1.1000000000000001</v>
      </c>
      <c r="S343" s="217" t="str">
        <f>Q142</f>
        <v>-</v>
      </c>
      <c r="T343" s="218">
        <f>R142</f>
        <v>0</v>
      </c>
    </row>
    <row r="344" spans="1:20" ht="13" hidden="1" x14ac:dyDescent="0.3">
      <c r="A344" s="725"/>
      <c r="B344" s="216">
        <v>14</v>
      </c>
      <c r="C344" s="217">
        <f>C153</f>
        <v>37</v>
      </c>
      <c r="D344" s="217">
        <f>D153</f>
        <v>-0.8</v>
      </c>
      <c r="E344" s="217" t="str">
        <f>E153</f>
        <v>-</v>
      </c>
      <c r="F344" s="217">
        <f>F153</f>
        <v>0</v>
      </c>
      <c r="G344" s="181"/>
      <c r="H344" s="728"/>
      <c r="I344" s="216">
        <v>14</v>
      </c>
      <c r="J344" s="217">
        <f>I153</f>
        <v>80</v>
      </c>
      <c r="K344" s="217">
        <f>J153</f>
        <v>-0.9</v>
      </c>
      <c r="L344" s="217" t="str">
        <f>K153</f>
        <v>-</v>
      </c>
      <c r="M344" s="217">
        <f>L153</f>
        <v>0</v>
      </c>
      <c r="N344" s="181"/>
      <c r="O344" s="728"/>
      <c r="P344" s="216">
        <v>14</v>
      </c>
      <c r="Q344" s="217">
        <f>O153</f>
        <v>1005</v>
      </c>
      <c r="R344" s="217">
        <f>P153</f>
        <v>1.1000000000000001</v>
      </c>
      <c r="S344" s="217" t="str">
        <f>Q153</f>
        <v>-</v>
      </c>
      <c r="T344" s="218">
        <f>R153</f>
        <v>0</v>
      </c>
    </row>
    <row r="345" spans="1:20" ht="13" hidden="1" x14ac:dyDescent="0.3">
      <c r="A345" s="725"/>
      <c r="B345" s="216">
        <v>15</v>
      </c>
      <c r="C345" s="217">
        <f>C164</f>
        <v>37</v>
      </c>
      <c r="D345" s="217">
        <f>D164</f>
        <v>-0.1</v>
      </c>
      <c r="E345" s="217" t="str">
        <f>E164</f>
        <v>-</v>
      </c>
      <c r="F345" s="217">
        <f>F164</f>
        <v>0</v>
      </c>
      <c r="G345" s="181"/>
      <c r="H345" s="728"/>
      <c r="I345" s="216">
        <v>15</v>
      </c>
      <c r="J345" s="217">
        <f>I164</f>
        <v>80</v>
      </c>
      <c r="K345" s="217">
        <f>J164</f>
        <v>-1.3</v>
      </c>
      <c r="L345" s="217" t="str">
        <f>K164</f>
        <v>-</v>
      </c>
      <c r="M345" s="217">
        <f>L164</f>
        <v>0</v>
      </c>
      <c r="N345" s="181"/>
      <c r="O345" s="728"/>
      <c r="P345" s="216">
        <v>15</v>
      </c>
      <c r="Q345" s="217">
        <f>O164</f>
        <v>1005</v>
      </c>
      <c r="R345" s="217">
        <f>P164</f>
        <v>1.1000000000000001</v>
      </c>
      <c r="S345" s="217" t="str">
        <f>Q164</f>
        <v>-</v>
      </c>
      <c r="T345" s="218">
        <f>R164</f>
        <v>0</v>
      </c>
    </row>
    <row r="346" spans="1:20" ht="13" hidden="1" x14ac:dyDescent="0.3">
      <c r="A346" s="725"/>
      <c r="B346" s="216">
        <v>16</v>
      </c>
      <c r="C346" s="217">
        <f>C175</f>
        <v>37</v>
      </c>
      <c r="D346" s="217">
        <f>D175</f>
        <v>0</v>
      </c>
      <c r="E346" s="217" t="str">
        <f>E175</f>
        <v>-</v>
      </c>
      <c r="F346" s="217">
        <f>F175</f>
        <v>0</v>
      </c>
      <c r="G346" s="181"/>
      <c r="H346" s="728"/>
      <c r="I346" s="216">
        <v>16</v>
      </c>
      <c r="J346" s="217">
        <f>I175</f>
        <v>80</v>
      </c>
      <c r="K346" s="217">
        <f>J175</f>
        <v>-2.2999999999999998</v>
      </c>
      <c r="L346" s="217" t="str">
        <f>K175</f>
        <v>-</v>
      </c>
      <c r="M346" s="217">
        <f>L175</f>
        <v>0</v>
      </c>
      <c r="N346" s="181"/>
      <c r="O346" s="728"/>
      <c r="P346" s="216">
        <v>16</v>
      </c>
      <c r="Q346" s="217">
        <f>O175</f>
        <v>1005</v>
      </c>
      <c r="R346" s="217">
        <f>P175</f>
        <v>-0.4</v>
      </c>
      <c r="S346" s="217" t="str">
        <f>Q175</f>
        <v>-</v>
      </c>
      <c r="T346" s="218">
        <f>R175</f>
        <v>0</v>
      </c>
    </row>
    <row r="347" spans="1:20" ht="13" hidden="1" x14ac:dyDescent="0.3">
      <c r="A347" s="725"/>
      <c r="B347" s="216">
        <v>17</v>
      </c>
      <c r="C347" s="217">
        <f>C186</f>
        <v>37</v>
      </c>
      <c r="D347" s="217">
        <f>D186</f>
        <v>-0.6</v>
      </c>
      <c r="E347" s="217" t="str">
        <f>E186</f>
        <v>-</v>
      </c>
      <c r="F347" s="217">
        <f>F186</f>
        <v>0</v>
      </c>
      <c r="G347" s="181"/>
      <c r="H347" s="728"/>
      <c r="I347" s="216">
        <v>17</v>
      </c>
      <c r="J347" s="217">
        <f>I186</f>
        <v>80</v>
      </c>
      <c r="K347" s="217">
        <f>J186</f>
        <v>-0.8</v>
      </c>
      <c r="L347" s="217" t="str">
        <f>K186</f>
        <v>-</v>
      </c>
      <c r="M347" s="217">
        <f>L186</f>
        <v>0</v>
      </c>
      <c r="N347" s="181"/>
      <c r="O347" s="728"/>
      <c r="P347" s="216">
        <v>17</v>
      </c>
      <c r="Q347" s="217">
        <f>O186</f>
        <v>1005</v>
      </c>
      <c r="R347" s="217">
        <f>P186</f>
        <v>-0.6</v>
      </c>
      <c r="S347" s="217" t="str">
        <f>Q186</f>
        <v>-</v>
      </c>
      <c r="T347" s="218">
        <f>R186</f>
        <v>0</v>
      </c>
    </row>
    <row r="348" spans="1:20" ht="13" hidden="1" x14ac:dyDescent="0.3">
      <c r="A348" s="725"/>
      <c r="B348" s="216">
        <v>18</v>
      </c>
      <c r="C348" s="217">
        <f>C197</f>
        <v>37</v>
      </c>
      <c r="D348" s="217">
        <f>D197</f>
        <v>-0.3</v>
      </c>
      <c r="E348" s="217" t="str">
        <f>E197</f>
        <v>-</v>
      </c>
      <c r="F348" s="217">
        <f>F197</f>
        <v>0</v>
      </c>
      <c r="G348" s="181"/>
      <c r="H348" s="728"/>
      <c r="I348" s="216">
        <v>18</v>
      </c>
      <c r="J348" s="217">
        <f>I197</f>
        <v>80</v>
      </c>
      <c r="K348" s="217">
        <f>J197</f>
        <v>-0.5</v>
      </c>
      <c r="L348" s="217" t="str">
        <f>K197</f>
        <v>-</v>
      </c>
      <c r="M348" s="217">
        <f>L197</f>
        <v>0</v>
      </c>
      <c r="N348" s="181"/>
      <c r="O348" s="728"/>
      <c r="P348" s="216">
        <v>18</v>
      </c>
      <c r="Q348" s="217">
        <f>O197</f>
        <v>1005</v>
      </c>
      <c r="R348" s="217">
        <f>P197</f>
        <v>-0.7</v>
      </c>
      <c r="S348" s="217" t="str">
        <f>Q197</f>
        <v>-</v>
      </c>
      <c r="T348" s="218">
        <f>R197</f>
        <v>0</v>
      </c>
    </row>
    <row r="349" spans="1:20" ht="13" hidden="1" x14ac:dyDescent="0.3">
      <c r="A349" s="725"/>
      <c r="B349" s="216">
        <v>19</v>
      </c>
      <c r="C349" s="217">
        <f>C208</f>
        <v>37</v>
      </c>
      <c r="D349" s="217">
        <f>D208</f>
        <v>0</v>
      </c>
      <c r="E349" s="217" t="str">
        <f>E208</f>
        <v>-</v>
      </c>
      <c r="F349" s="217">
        <f>F208</f>
        <v>0</v>
      </c>
      <c r="G349" s="181"/>
      <c r="H349" s="728"/>
      <c r="I349" s="216">
        <v>19</v>
      </c>
      <c r="J349" s="217">
        <f>I208</f>
        <v>80</v>
      </c>
      <c r="K349" s="217">
        <f>J208</f>
        <v>-0.9</v>
      </c>
      <c r="L349" s="217" t="str">
        <f>K208</f>
        <v>-</v>
      </c>
      <c r="M349" s="217">
        <f>L208</f>
        <v>0</v>
      </c>
      <c r="N349" s="181"/>
      <c r="O349" s="728"/>
      <c r="P349" s="216">
        <v>19</v>
      </c>
      <c r="Q349" s="217">
        <f>O208</f>
        <v>1005</v>
      </c>
      <c r="R349" s="217">
        <f>P208</f>
        <v>2.2000000000000002</v>
      </c>
      <c r="S349" s="217" t="str">
        <f>Q208</f>
        <v>-</v>
      </c>
      <c r="T349" s="218">
        <f>R208</f>
        <v>0</v>
      </c>
    </row>
    <row r="350" spans="1:20" ht="13.5" hidden="1" thickBot="1" x14ac:dyDescent="0.35">
      <c r="A350" s="726"/>
      <c r="B350" s="227">
        <v>20</v>
      </c>
      <c r="C350" s="244">
        <f>C219</f>
        <v>39.5</v>
      </c>
      <c r="D350" s="244">
        <f>D219</f>
        <v>0</v>
      </c>
      <c r="E350" s="244" t="str">
        <f>E219</f>
        <v>-</v>
      </c>
      <c r="F350" s="244">
        <f>F219</f>
        <v>0</v>
      </c>
      <c r="G350" s="229"/>
      <c r="H350" s="729"/>
      <c r="I350" s="227">
        <v>20</v>
      </c>
      <c r="J350" s="244">
        <f>I219</f>
        <v>88.7</v>
      </c>
      <c r="K350" s="244">
        <f>J219</f>
        <v>0</v>
      </c>
      <c r="L350" s="244" t="str">
        <f>K219</f>
        <v>-</v>
      </c>
      <c r="M350" s="244">
        <f>L219</f>
        <v>0</v>
      </c>
      <c r="N350" s="229"/>
      <c r="O350" s="729"/>
      <c r="P350" s="227">
        <v>20</v>
      </c>
      <c r="Q350" s="244">
        <f>O219</f>
        <v>1005</v>
      </c>
      <c r="R350" s="244" t="str">
        <f>P219</f>
        <v>-</v>
      </c>
      <c r="S350" s="244" t="str">
        <f>Q219</f>
        <v>-</v>
      </c>
      <c r="T350" s="245">
        <f>R219</f>
        <v>0</v>
      </c>
    </row>
    <row r="351" spans="1:20" ht="13" hidden="1" x14ac:dyDescent="0.3">
      <c r="A351" s="232"/>
      <c r="B351" s="233"/>
      <c r="C351" s="246"/>
      <c r="D351" s="246"/>
      <c r="E351" s="246"/>
      <c r="F351" s="247"/>
      <c r="G351" s="236"/>
      <c r="H351" s="252"/>
      <c r="I351" s="233"/>
      <c r="J351" s="246"/>
      <c r="K351" s="246"/>
      <c r="L351" s="246"/>
      <c r="M351" s="247"/>
      <c r="N351" s="181"/>
      <c r="O351" s="252"/>
      <c r="P351" s="233"/>
      <c r="Q351" s="246"/>
      <c r="R351" s="246"/>
      <c r="S351" s="246"/>
      <c r="T351" s="247"/>
    </row>
    <row r="352" spans="1:20" ht="13" hidden="1" x14ac:dyDescent="0.3">
      <c r="A352" s="730">
        <v>7</v>
      </c>
      <c r="B352" s="239">
        <v>1</v>
      </c>
      <c r="C352" s="248">
        <f>C11</f>
        <v>40</v>
      </c>
      <c r="D352" s="248">
        <f>D11</f>
        <v>-0.3</v>
      </c>
      <c r="E352" s="248">
        <f>E11</f>
        <v>-0.8</v>
      </c>
      <c r="F352" s="248">
        <f>F11</f>
        <v>0.25</v>
      </c>
      <c r="G352" s="241"/>
      <c r="H352" s="733">
        <v>7</v>
      </c>
      <c r="I352" s="239">
        <v>1</v>
      </c>
      <c r="J352" s="248">
        <f>I11</f>
        <v>90</v>
      </c>
      <c r="K352" s="248">
        <f>J11</f>
        <v>-1.6</v>
      </c>
      <c r="L352" s="248">
        <f>K11</f>
        <v>4.5</v>
      </c>
      <c r="M352" s="248">
        <f>L11</f>
        <v>3.05</v>
      </c>
      <c r="N352" s="241"/>
      <c r="O352" s="733">
        <v>7</v>
      </c>
      <c r="P352" s="239">
        <v>1</v>
      </c>
      <c r="Q352" s="248">
        <f>O11</f>
        <v>1020</v>
      </c>
      <c r="R352" s="248" t="str">
        <f>P11</f>
        <v>-</v>
      </c>
      <c r="S352" s="248" t="str">
        <f>Q11</f>
        <v>-</v>
      </c>
      <c r="T352" s="249">
        <f>R11</f>
        <v>0</v>
      </c>
    </row>
    <row r="353" spans="1:20" ht="13" hidden="1" x14ac:dyDescent="0.3">
      <c r="A353" s="731"/>
      <c r="B353" s="216">
        <v>2</v>
      </c>
      <c r="C353" s="217">
        <f>C22</f>
        <v>40</v>
      </c>
      <c r="D353" s="217">
        <f>D22</f>
        <v>-0.1</v>
      </c>
      <c r="E353" s="217">
        <f>E22</f>
        <v>-0.3</v>
      </c>
      <c r="F353" s="217">
        <f>F22</f>
        <v>9.9999999999999992E-2</v>
      </c>
      <c r="G353" s="181"/>
      <c r="H353" s="734"/>
      <c r="I353" s="216">
        <v>2</v>
      </c>
      <c r="J353" s="217">
        <f>I22</f>
        <v>90</v>
      </c>
      <c r="K353" s="217">
        <f>J22</f>
        <v>1.7</v>
      </c>
      <c r="L353" s="217">
        <f>K22</f>
        <v>-0.3</v>
      </c>
      <c r="M353" s="217">
        <f>L22</f>
        <v>1</v>
      </c>
      <c r="N353" s="181"/>
      <c r="O353" s="734"/>
      <c r="P353" s="216">
        <v>2</v>
      </c>
      <c r="Q353" s="217">
        <f>O22</f>
        <v>1020</v>
      </c>
      <c r="R353" s="217" t="str">
        <f>P22</f>
        <v>-</v>
      </c>
      <c r="S353" s="217" t="str">
        <f>Q22</f>
        <v>-</v>
      </c>
      <c r="T353" s="218">
        <f>R22</f>
        <v>0</v>
      </c>
    </row>
    <row r="354" spans="1:20" ht="13" hidden="1" x14ac:dyDescent="0.3">
      <c r="A354" s="731"/>
      <c r="B354" s="216">
        <v>3</v>
      </c>
      <c r="C354" s="217">
        <f>C33</f>
        <v>40</v>
      </c>
      <c r="D354" s="217">
        <f>D33</f>
        <v>0.2</v>
      </c>
      <c r="E354" s="217">
        <f>E33</f>
        <v>-0.7</v>
      </c>
      <c r="F354" s="217">
        <f>F33</f>
        <v>0.44999999999999996</v>
      </c>
      <c r="G354" s="181"/>
      <c r="H354" s="734"/>
      <c r="I354" s="216">
        <v>3</v>
      </c>
      <c r="J354" s="217">
        <f>I33</f>
        <v>90</v>
      </c>
      <c r="K354" s="217">
        <f>J33</f>
        <v>0.3</v>
      </c>
      <c r="L354" s="217">
        <f>K33</f>
        <v>-2</v>
      </c>
      <c r="M354" s="217">
        <f>L33</f>
        <v>1.1499999999999999</v>
      </c>
      <c r="N354" s="181"/>
      <c r="O354" s="734"/>
      <c r="P354" s="216">
        <v>3</v>
      </c>
      <c r="Q354" s="217">
        <f>O33</f>
        <v>1020</v>
      </c>
      <c r="R354" s="217" t="str">
        <f>P33</f>
        <v>-</v>
      </c>
      <c r="S354" s="217" t="str">
        <f>Q33</f>
        <v>-</v>
      </c>
      <c r="T354" s="218">
        <f>R33</f>
        <v>0</v>
      </c>
    </row>
    <row r="355" spans="1:20" ht="13" hidden="1" x14ac:dyDescent="0.3">
      <c r="A355" s="731"/>
      <c r="B355" s="216">
        <v>4</v>
      </c>
      <c r="C355" s="217">
        <f>C44</f>
        <v>40</v>
      </c>
      <c r="D355" s="217">
        <f>D44</f>
        <v>-0.5</v>
      </c>
      <c r="E355" s="217">
        <f>E44</f>
        <v>-0.6</v>
      </c>
      <c r="F355" s="217">
        <f>F44</f>
        <v>4.9999999999999989E-2</v>
      </c>
      <c r="G355" s="181"/>
      <c r="H355" s="734"/>
      <c r="I355" s="216">
        <v>4</v>
      </c>
      <c r="J355" s="217">
        <f>I44</f>
        <v>90</v>
      </c>
      <c r="K355" s="217">
        <f>J44</f>
        <v>-3.5</v>
      </c>
      <c r="L355" s="217">
        <f>K44</f>
        <v>3.3</v>
      </c>
      <c r="M355" s="217">
        <f>L44</f>
        <v>3.4</v>
      </c>
      <c r="N355" s="181"/>
      <c r="O355" s="734"/>
      <c r="P355" s="216">
        <v>4</v>
      </c>
      <c r="Q355" s="217">
        <f>O44</f>
        <v>1020</v>
      </c>
      <c r="R355" s="217" t="str">
        <f>P44</f>
        <v>-</v>
      </c>
      <c r="S355" s="217" t="str">
        <f>Q44</f>
        <v>-</v>
      </c>
      <c r="T355" s="218">
        <f>R44</f>
        <v>0</v>
      </c>
    </row>
    <row r="356" spans="1:20" ht="13" hidden="1" x14ac:dyDescent="0.3">
      <c r="A356" s="731"/>
      <c r="B356" s="216">
        <v>5</v>
      </c>
      <c r="C356" s="217">
        <f>C55</f>
        <v>40</v>
      </c>
      <c r="D356" s="217">
        <f>D55</f>
        <v>0.7</v>
      </c>
      <c r="E356" s="217">
        <f>E55</f>
        <v>-0.1</v>
      </c>
      <c r="F356" s="217">
        <f>F55</f>
        <v>0.39999999999999997</v>
      </c>
      <c r="G356" s="181"/>
      <c r="H356" s="734"/>
      <c r="I356" s="216">
        <v>5</v>
      </c>
      <c r="J356" s="217">
        <f>I55</f>
        <v>90</v>
      </c>
      <c r="K356" s="217">
        <f>J55</f>
        <v>-1.8</v>
      </c>
      <c r="L356" s="217">
        <f>K55</f>
        <v>2.7</v>
      </c>
      <c r="M356" s="217">
        <f>L55</f>
        <v>2.25</v>
      </c>
      <c r="N356" s="181"/>
      <c r="O356" s="734"/>
      <c r="P356" s="216">
        <v>5</v>
      </c>
      <c r="Q356" s="217">
        <f>O55</f>
        <v>1020</v>
      </c>
      <c r="R356" s="217" t="str">
        <f>P55</f>
        <v>-</v>
      </c>
      <c r="S356" s="217" t="str">
        <f>Q55</f>
        <v>-</v>
      </c>
      <c r="T356" s="218">
        <f>R55</f>
        <v>0</v>
      </c>
    </row>
    <row r="357" spans="1:20" ht="13" hidden="1" x14ac:dyDescent="0.3">
      <c r="A357" s="731"/>
      <c r="B357" s="216">
        <v>6</v>
      </c>
      <c r="C357" s="217">
        <f>C66</f>
        <v>40</v>
      </c>
      <c r="D357" s="217">
        <f>D66</f>
        <v>0.1</v>
      </c>
      <c r="E357" s="217">
        <f>E66</f>
        <v>-1.4</v>
      </c>
      <c r="F357" s="217">
        <f>F66</f>
        <v>0.75</v>
      </c>
      <c r="G357" s="181"/>
      <c r="H357" s="734"/>
      <c r="I357" s="216">
        <v>6</v>
      </c>
      <c r="J357" s="217">
        <f>I66</f>
        <v>90</v>
      </c>
      <c r="K357" s="217">
        <f>J66</f>
        <v>-5.2</v>
      </c>
      <c r="L357" s="217">
        <f>K66</f>
        <v>0.7</v>
      </c>
      <c r="M357" s="217">
        <f>L66</f>
        <v>2.95</v>
      </c>
      <c r="N357" s="181"/>
      <c r="O357" s="734"/>
      <c r="P357" s="216">
        <v>6</v>
      </c>
      <c r="Q357" s="217">
        <f>O66</f>
        <v>1020</v>
      </c>
      <c r="R357" s="217">
        <f>P66</f>
        <v>0.9</v>
      </c>
      <c r="S357" s="217">
        <f>Q66</f>
        <v>0</v>
      </c>
      <c r="T357" s="218">
        <f>R66</f>
        <v>0.45</v>
      </c>
    </row>
    <row r="358" spans="1:20" ht="13" hidden="1" x14ac:dyDescent="0.3">
      <c r="A358" s="731"/>
      <c r="B358" s="216">
        <v>7</v>
      </c>
      <c r="C358" s="217">
        <f>C77</f>
        <v>40</v>
      </c>
      <c r="D358" s="217">
        <f>D77</f>
        <v>0.1</v>
      </c>
      <c r="E358" s="217">
        <f>E77</f>
        <v>-1.7</v>
      </c>
      <c r="F358" s="217">
        <f>F77</f>
        <v>0.9</v>
      </c>
      <c r="G358" s="181"/>
      <c r="H358" s="734"/>
      <c r="I358" s="216">
        <v>7</v>
      </c>
      <c r="J358" s="217">
        <f>I77</f>
        <v>90</v>
      </c>
      <c r="K358" s="217">
        <f>J77</f>
        <v>-3</v>
      </c>
      <c r="L358" s="217">
        <f>K77</f>
        <v>1.8</v>
      </c>
      <c r="M358" s="217">
        <f>L77</f>
        <v>2.4</v>
      </c>
      <c r="N358" s="181"/>
      <c r="O358" s="734"/>
      <c r="P358" s="216">
        <v>7</v>
      </c>
      <c r="Q358" s="217">
        <f>O77</f>
        <v>1020</v>
      </c>
      <c r="R358" s="217">
        <f>P77</f>
        <v>-3.8</v>
      </c>
      <c r="S358" s="217">
        <f>Q77</f>
        <v>0</v>
      </c>
      <c r="T358" s="218">
        <f>R77</f>
        <v>1.9</v>
      </c>
    </row>
    <row r="359" spans="1:20" ht="13" hidden="1" x14ac:dyDescent="0.3">
      <c r="A359" s="731"/>
      <c r="B359" s="216">
        <v>8</v>
      </c>
      <c r="C359" s="217">
        <f>C88</f>
        <v>40</v>
      </c>
      <c r="D359" s="217">
        <f>D88</f>
        <v>0</v>
      </c>
      <c r="E359" s="217">
        <f>E88</f>
        <v>-0.4</v>
      </c>
      <c r="F359" s="217">
        <f>F88</f>
        <v>0.2</v>
      </c>
      <c r="G359" s="181"/>
      <c r="H359" s="734"/>
      <c r="I359" s="216">
        <v>8</v>
      </c>
      <c r="J359" s="217">
        <f>I88</f>
        <v>90</v>
      </c>
      <c r="K359" s="217">
        <f>J88</f>
        <v>-4.9000000000000004</v>
      </c>
      <c r="L359" s="217">
        <f>K88</f>
        <v>-1.3</v>
      </c>
      <c r="M359" s="217">
        <f>L88</f>
        <v>1.8000000000000003</v>
      </c>
      <c r="N359" s="181"/>
      <c r="O359" s="734"/>
      <c r="P359" s="216">
        <v>8</v>
      </c>
      <c r="Q359" s="217">
        <f>O88</f>
        <v>1020</v>
      </c>
      <c r="R359" s="217">
        <f>P88</f>
        <v>-3.4</v>
      </c>
      <c r="S359" s="217">
        <f>Q88</f>
        <v>0</v>
      </c>
      <c r="T359" s="218">
        <f>R88</f>
        <v>1.7</v>
      </c>
    </row>
    <row r="360" spans="1:20" ht="13" hidden="1" x14ac:dyDescent="0.3">
      <c r="A360" s="731"/>
      <c r="B360" s="216">
        <v>9</v>
      </c>
      <c r="C360" s="217">
        <f>C99</f>
        <v>40</v>
      </c>
      <c r="D360" s="217">
        <f>D99</f>
        <v>-0.4</v>
      </c>
      <c r="E360" s="217" t="str">
        <f>E99</f>
        <v>-</v>
      </c>
      <c r="F360" s="217">
        <f>F99</f>
        <v>0</v>
      </c>
      <c r="G360" s="181"/>
      <c r="H360" s="734"/>
      <c r="I360" s="216">
        <v>9</v>
      </c>
      <c r="J360" s="217">
        <f>I99</f>
        <v>90</v>
      </c>
      <c r="K360" s="217">
        <f>J99</f>
        <v>-0.2</v>
      </c>
      <c r="L360" s="217" t="str">
        <f>K99</f>
        <v>-</v>
      </c>
      <c r="M360" s="217">
        <f>L99</f>
        <v>0</v>
      </c>
      <c r="N360" s="181"/>
      <c r="O360" s="734"/>
      <c r="P360" s="216">
        <v>9</v>
      </c>
      <c r="Q360" s="217">
        <f>O99</f>
        <v>1020</v>
      </c>
      <c r="R360" s="217">
        <f>P99</f>
        <v>0</v>
      </c>
      <c r="S360" s="217" t="str">
        <f>Q99</f>
        <v>-</v>
      </c>
      <c r="T360" s="218">
        <f>R99</f>
        <v>0</v>
      </c>
    </row>
    <row r="361" spans="1:20" ht="13" hidden="1" x14ac:dyDescent="0.3">
      <c r="A361" s="731"/>
      <c r="B361" s="216">
        <v>10</v>
      </c>
      <c r="C361" s="217">
        <f>C110</f>
        <v>40</v>
      </c>
      <c r="D361" s="217">
        <f>D110</f>
        <v>0.2</v>
      </c>
      <c r="E361" s="217">
        <f>E110</f>
        <v>0</v>
      </c>
      <c r="F361" s="217">
        <f>F110</f>
        <v>0.1</v>
      </c>
      <c r="G361" s="181"/>
      <c r="H361" s="734"/>
      <c r="I361" s="216">
        <v>10</v>
      </c>
      <c r="J361" s="217">
        <f>I110</f>
        <v>90</v>
      </c>
      <c r="K361" s="217">
        <f>J110</f>
        <v>5.4</v>
      </c>
      <c r="L361" s="217">
        <f>K110</f>
        <v>0</v>
      </c>
      <c r="M361" s="217">
        <f>L110</f>
        <v>2.7</v>
      </c>
      <c r="N361" s="181"/>
      <c r="O361" s="734"/>
      <c r="P361" s="216">
        <v>10</v>
      </c>
      <c r="Q361" s="217">
        <f>O110</f>
        <v>1020</v>
      </c>
      <c r="R361" s="217" t="str">
        <f>P110</f>
        <v>-</v>
      </c>
      <c r="S361" s="217" t="str">
        <f>Q110</f>
        <v>-</v>
      </c>
      <c r="T361" s="218">
        <f>R110</f>
        <v>0</v>
      </c>
    </row>
    <row r="362" spans="1:20" ht="13" hidden="1" x14ac:dyDescent="0.3">
      <c r="A362" s="731"/>
      <c r="B362" s="216">
        <v>11</v>
      </c>
      <c r="C362" s="217">
        <f>C121</f>
        <v>40</v>
      </c>
      <c r="D362" s="217">
        <f>D121</f>
        <v>0.5</v>
      </c>
      <c r="E362" s="217">
        <f>E121</f>
        <v>0</v>
      </c>
      <c r="F362" s="217">
        <f>F121</f>
        <v>0.25</v>
      </c>
      <c r="G362" s="181"/>
      <c r="H362" s="734"/>
      <c r="I362" s="216">
        <v>11</v>
      </c>
      <c r="J362" s="217">
        <f>I121</f>
        <v>90</v>
      </c>
      <c r="K362" s="217">
        <f>J121</f>
        <v>1.3</v>
      </c>
      <c r="L362" s="217">
        <f>K121</f>
        <v>0</v>
      </c>
      <c r="M362" s="217">
        <f>L121</f>
        <v>0.65</v>
      </c>
      <c r="N362" s="181"/>
      <c r="O362" s="734"/>
      <c r="P362" s="216">
        <v>11</v>
      </c>
      <c r="Q362" s="217">
        <f>O121</f>
        <v>1020</v>
      </c>
      <c r="R362" s="217" t="str">
        <f>P121</f>
        <v>-</v>
      </c>
      <c r="S362" s="217" t="str">
        <f>Q121</f>
        <v>-</v>
      </c>
      <c r="T362" s="218">
        <f>R121</f>
        <v>0</v>
      </c>
    </row>
    <row r="363" spans="1:20" ht="13" hidden="1" x14ac:dyDescent="0.3">
      <c r="A363" s="731"/>
      <c r="B363" s="216">
        <v>12</v>
      </c>
      <c r="C363" s="217">
        <f>C132</f>
        <v>40</v>
      </c>
      <c r="D363" s="217">
        <f>D132</f>
        <v>-0.4</v>
      </c>
      <c r="E363" s="217" t="str">
        <f>E132</f>
        <v>-</v>
      </c>
      <c r="F363" s="217">
        <f>F132</f>
        <v>0</v>
      </c>
      <c r="G363" s="181"/>
      <c r="H363" s="734"/>
      <c r="I363" s="216">
        <v>12</v>
      </c>
      <c r="J363" s="217">
        <f>I132</f>
        <v>90</v>
      </c>
      <c r="K363" s="217">
        <f>J132</f>
        <v>-0.9</v>
      </c>
      <c r="L363" s="217" t="str">
        <f>K132</f>
        <v>-</v>
      </c>
      <c r="M363" s="217">
        <f>L132</f>
        <v>0</v>
      </c>
      <c r="N363" s="181"/>
      <c r="O363" s="734"/>
      <c r="P363" s="216">
        <v>12</v>
      </c>
      <c r="Q363" s="217">
        <f>O132</f>
        <v>1020</v>
      </c>
      <c r="R363" s="217">
        <f>P132</f>
        <v>0</v>
      </c>
      <c r="S363" s="217" t="str">
        <f>Q132</f>
        <v>-</v>
      </c>
      <c r="T363" s="218">
        <f>R132</f>
        <v>0</v>
      </c>
    </row>
    <row r="364" spans="1:20" ht="13" hidden="1" x14ac:dyDescent="0.3">
      <c r="A364" s="731"/>
      <c r="B364" s="216">
        <v>13</v>
      </c>
      <c r="C364" s="217">
        <f>C143</f>
        <v>40</v>
      </c>
      <c r="D364" s="217">
        <f>D143</f>
        <v>0.5</v>
      </c>
      <c r="E364" s="217" t="str">
        <f>E143</f>
        <v>-</v>
      </c>
      <c r="F364" s="217">
        <f>F143</f>
        <v>0</v>
      </c>
      <c r="G364" s="181"/>
      <c r="H364" s="734"/>
      <c r="I364" s="216">
        <v>13</v>
      </c>
      <c r="J364" s="217">
        <f>I143</f>
        <v>90</v>
      </c>
      <c r="K364" s="217">
        <f>J143</f>
        <v>-3.2</v>
      </c>
      <c r="L364" s="217" t="str">
        <f>K143</f>
        <v>-</v>
      </c>
      <c r="M364" s="217">
        <f>L143</f>
        <v>0</v>
      </c>
      <c r="N364" s="181"/>
      <c r="O364" s="734"/>
      <c r="P364" s="216">
        <v>13</v>
      </c>
      <c r="Q364" s="217">
        <f>O143</f>
        <v>1020</v>
      </c>
      <c r="R364" s="217">
        <f>P143</f>
        <v>0</v>
      </c>
      <c r="S364" s="217" t="str">
        <f>Q143</f>
        <v>-</v>
      </c>
      <c r="T364" s="218">
        <f>R143</f>
        <v>0</v>
      </c>
    </row>
    <row r="365" spans="1:20" ht="13" hidden="1" x14ac:dyDescent="0.3">
      <c r="A365" s="731"/>
      <c r="B365" s="216">
        <v>14</v>
      </c>
      <c r="C365" s="217">
        <f>C154</f>
        <v>40</v>
      </c>
      <c r="D365" s="217">
        <f>D154</f>
        <v>-1.1000000000000001</v>
      </c>
      <c r="E365" s="217" t="str">
        <f>E154</f>
        <v>-</v>
      </c>
      <c r="F365" s="217">
        <f>F154</f>
        <v>0</v>
      </c>
      <c r="G365" s="181"/>
      <c r="H365" s="734"/>
      <c r="I365" s="216">
        <v>14</v>
      </c>
      <c r="J365" s="217">
        <f>I154</f>
        <v>90</v>
      </c>
      <c r="K365" s="217">
        <f>J154</f>
        <v>-0.8</v>
      </c>
      <c r="L365" s="217" t="str">
        <f>K154</f>
        <v>-</v>
      </c>
      <c r="M365" s="217">
        <f>L154</f>
        <v>0</v>
      </c>
      <c r="N365" s="181"/>
      <c r="O365" s="734"/>
      <c r="P365" s="216">
        <v>14</v>
      </c>
      <c r="Q365" s="217">
        <f>O154</f>
        <v>1020</v>
      </c>
      <c r="R365" s="217">
        <f>P154</f>
        <v>0</v>
      </c>
      <c r="S365" s="217" t="str">
        <f>Q154</f>
        <v>-</v>
      </c>
      <c r="T365" s="218">
        <f>R154</f>
        <v>0</v>
      </c>
    </row>
    <row r="366" spans="1:20" ht="13" hidden="1" x14ac:dyDescent="0.3">
      <c r="A366" s="731"/>
      <c r="B366" s="216">
        <v>15</v>
      </c>
      <c r="C366" s="217">
        <f>C165</f>
        <v>40</v>
      </c>
      <c r="D366" s="217">
        <f>D165</f>
        <v>0</v>
      </c>
      <c r="E366" s="217" t="str">
        <f>E165</f>
        <v>-</v>
      </c>
      <c r="F366" s="217">
        <f>F165</f>
        <v>0</v>
      </c>
      <c r="G366" s="181"/>
      <c r="H366" s="734"/>
      <c r="I366" s="216">
        <v>15</v>
      </c>
      <c r="J366" s="217">
        <f>I165</f>
        <v>90</v>
      </c>
      <c r="K366" s="217">
        <f>J165</f>
        <v>-2</v>
      </c>
      <c r="L366" s="217" t="str">
        <f>K165</f>
        <v>-</v>
      </c>
      <c r="M366" s="217">
        <f>L165</f>
        <v>0</v>
      </c>
      <c r="N366" s="181"/>
      <c r="O366" s="734"/>
      <c r="P366" s="216">
        <v>15</v>
      </c>
      <c r="Q366" s="217">
        <f>O165</f>
        <v>1020</v>
      </c>
      <c r="R366" s="217">
        <f>P165</f>
        <v>0</v>
      </c>
      <c r="S366" s="217" t="str">
        <f>Q165</f>
        <v>-</v>
      </c>
      <c r="T366" s="218">
        <f>R165</f>
        <v>0</v>
      </c>
    </row>
    <row r="367" spans="1:20" ht="13" hidden="1" x14ac:dyDescent="0.3">
      <c r="A367" s="731"/>
      <c r="B367" s="216">
        <v>16</v>
      </c>
      <c r="C367" s="217">
        <f>C176</f>
        <v>40</v>
      </c>
      <c r="D367" s="217">
        <f>D176</f>
        <v>0</v>
      </c>
      <c r="E367" s="217" t="str">
        <f>E176</f>
        <v>-</v>
      </c>
      <c r="F367" s="217">
        <f>F176</f>
        <v>0</v>
      </c>
      <c r="G367" s="181"/>
      <c r="H367" s="734"/>
      <c r="I367" s="216">
        <v>16</v>
      </c>
      <c r="J367" s="217">
        <f>I176</f>
        <v>90</v>
      </c>
      <c r="K367" s="217">
        <f>J176</f>
        <v>-3</v>
      </c>
      <c r="L367" s="217" t="str">
        <f>K176</f>
        <v>-</v>
      </c>
      <c r="M367" s="217">
        <f>L176</f>
        <v>0</v>
      </c>
      <c r="N367" s="181"/>
      <c r="O367" s="734"/>
      <c r="P367" s="216">
        <v>16</v>
      </c>
      <c r="Q367" s="217">
        <f>O176</f>
        <v>1020</v>
      </c>
      <c r="R367" s="217">
        <f>P176</f>
        <v>0</v>
      </c>
      <c r="S367" s="217" t="str">
        <f>Q176</f>
        <v>-</v>
      </c>
      <c r="T367" s="218">
        <f>R176</f>
        <v>0</v>
      </c>
    </row>
    <row r="368" spans="1:20" ht="13" hidden="1" x14ac:dyDescent="0.3">
      <c r="A368" s="731"/>
      <c r="B368" s="216">
        <v>17</v>
      </c>
      <c r="C368" s="217">
        <f>C187</f>
        <v>40</v>
      </c>
      <c r="D368" s="217">
        <f>D187</f>
        <v>-0.8</v>
      </c>
      <c r="E368" s="217" t="str">
        <f>E187</f>
        <v>-</v>
      </c>
      <c r="F368" s="217">
        <f>F187</f>
        <v>0</v>
      </c>
      <c r="G368" s="181"/>
      <c r="H368" s="734"/>
      <c r="I368" s="216">
        <v>17</v>
      </c>
      <c r="J368" s="217">
        <f>I187</f>
        <v>90</v>
      </c>
      <c r="K368" s="217">
        <f>J187</f>
        <v>-1.4</v>
      </c>
      <c r="L368" s="217" t="str">
        <f>K187</f>
        <v>-</v>
      </c>
      <c r="M368" s="217">
        <f>L187</f>
        <v>0</v>
      </c>
      <c r="N368" s="181"/>
      <c r="O368" s="734"/>
      <c r="P368" s="216">
        <v>17</v>
      </c>
      <c r="Q368" s="217">
        <f>O187</f>
        <v>1020</v>
      </c>
      <c r="R368" s="217">
        <f>P187</f>
        <v>0</v>
      </c>
      <c r="S368" s="217" t="str">
        <f>Q187</f>
        <v>-</v>
      </c>
      <c r="T368" s="218">
        <f>R187</f>
        <v>0</v>
      </c>
    </row>
    <row r="369" spans="1:20" ht="13" hidden="1" x14ac:dyDescent="0.3">
      <c r="A369" s="731"/>
      <c r="B369" s="216">
        <v>18</v>
      </c>
      <c r="C369" s="217">
        <f>C198</f>
        <v>40</v>
      </c>
      <c r="D369" s="217">
        <f>D198</f>
        <v>-0.4</v>
      </c>
      <c r="E369" s="217" t="str">
        <f>E198</f>
        <v>-</v>
      </c>
      <c r="F369" s="217">
        <f>F198</f>
        <v>0</v>
      </c>
      <c r="G369" s="181"/>
      <c r="H369" s="734"/>
      <c r="I369" s="216">
        <v>18</v>
      </c>
      <c r="J369" s="217">
        <f>I198</f>
        <v>90</v>
      </c>
      <c r="K369" s="217">
        <f>J198</f>
        <v>-0.8</v>
      </c>
      <c r="L369" s="217" t="str">
        <f>K198</f>
        <v>-</v>
      </c>
      <c r="M369" s="217">
        <f>L198</f>
        <v>0</v>
      </c>
      <c r="N369" s="181"/>
      <c r="O369" s="734"/>
      <c r="P369" s="216">
        <v>18</v>
      </c>
      <c r="Q369" s="217">
        <f>O198</f>
        <v>1020</v>
      </c>
      <c r="R369" s="217">
        <f>P198</f>
        <v>0</v>
      </c>
      <c r="S369" s="217" t="str">
        <f>Q198</f>
        <v>-</v>
      </c>
      <c r="T369" s="218">
        <f>R198</f>
        <v>0</v>
      </c>
    </row>
    <row r="370" spans="1:20" ht="13" hidden="1" x14ac:dyDescent="0.3">
      <c r="A370" s="731"/>
      <c r="B370" s="216">
        <v>19</v>
      </c>
      <c r="C370" s="217">
        <f>C209</f>
        <v>40</v>
      </c>
      <c r="D370" s="217">
        <f>D209</f>
        <v>0.2</v>
      </c>
      <c r="E370" s="217" t="str">
        <f>E209</f>
        <v>-</v>
      </c>
      <c r="F370" s="217">
        <f>F209</f>
        <v>0</v>
      </c>
      <c r="G370" s="181"/>
      <c r="H370" s="734"/>
      <c r="I370" s="216">
        <v>19</v>
      </c>
      <c r="J370" s="217">
        <f>I209</f>
        <v>90</v>
      </c>
      <c r="K370" s="217">
        <f>J209</f>
        <v>-0.6</v>
      </c>
      <c r="L370" s="217" t="str">
        <f>K209</f>
        <v>-</v>
      </c>
      <c r="M370" s="217">
        <f>L209</f>
        <v>0</v>
      </c>
      <c r="N370" s="181"/>
      <c r="O370" s="734"/>
      <c r="P370" s="216">
        <v>19</v>
      </c>
      <c r="Q370" s="217">
        <f>O209</f>
        <v>1020</v>
      </c>
      <c r="R370" s="217">
        <f>P209</f>
        <v>2.2999999999999998</v>
      </c>
      <c r="S370" s="217" t="str">
        <f>Q209</f>
        <v>-</v>
      </c>
      <c r="T370" s="218">
        <f>R209</f>
        <v>0</v>
      </c>
    </row>
    <row r="371" spans="1:20" ht="13.5" hidden="1" thickBot="1" x14ac:dyDescent="0.35">
      <c r="A371" s="732"/>
      <c r="B371" s="227">
        <v>20</v>
      </c>
      <c r="C371" s="244">
        <f>C220</f>
        <v>40</v>
      </c>
      <c r="D371" s="244">
        <f>D220</f>
        <v>0</v>
      </c>
      <c r="E371" s="244" t="str">
        <f>E220</f>
        <v>-</v>
      </c>
      <c r="F371" s="244">
        <f>F220</f>
        <v>0</v>
      </c>
      <c r="G371" s="229"/>
      <c r="H371" s="735"/>
      <c r="I371" s="227">
        <v>20</v>
      </c>
      <c r="J371" s="244">
        <f>I220</f>
        <v>90</v>
      </c>
      <c r="K371" s="244">
        <f>J220</f>
        <v>0</v>
      </c>
      <c r="L371" s="244" t="str">
        <f>K220</f>
        <v>-</v>
      </c>
      <c r="M371" s="244">
        <f>L220</f>
        <v>0</v>
      </c>
      <c r="N371" s="229"/>
      <c r="O371" s="735"/>
      <c r="P371" s="227">
        <v>20</v>
      </c>
      <c r="Q371" s="244">
        <f>O220</f>
        <v>1020</v>
      </c>
      <c r="R371" s="244" t="str">
        <f>P220</f>
        <v>-</v>
      </c>
      <c r="S371" s="244" t="str">
        <f>Q220</f>
        <v>-</v>
      </c>
      <c r="T371" s="245">
        <f>R220</f>
        <v>0</v>
      </c>
    </row>
    <row r="372" spans="1:20" ht="13.5" thickBot="1" x14ac:dyDescent="0.35">
      <c r="A372" s="253"/>
      <c r="B372" s="254"/>
      <c r="C372" s="236"/>
      <c r="D372" s="236"/>
      <c r="E372" s="236"/>
      <c r="F372" s="236"/>
      <c r="G372" s="236"/>
      <c r="H372" s="181"/>
      <c r="I372" s="231"/>
      <c r="J372" s="254"/>
      <c r="K372" s="236"/>
      <c r="L372" s="236"/>
      <c r="M372" s="236"/>
      <c r="N372" s="236"/>
      <c r="O372" s="236"/>
      <c r="P372" s="181"/>
    </row>
    <row r="373" spans="1:20" ht="29.25" customHeight="1" x14ac:dyDescent="0.25">
      <c r="A373" s="255">
        <f>A413</f>
        <v>3</v>
      </c>
      <c r="B373" s="720" t="str">
        <f>A392</f>
        <v>Thermohygrolight, Merek : KIMO, Model : KH-210-AO, SN : 14082463</v>
      </c>
      <c r="C373" s="720"/>
      <c r="D373" s="721"/>
      <c r="E373" s="256"/>
      <c r="F373" s="255">
        <f>A373</f>
        <v>3</v>
      </c>
      <c r="G373" s="720" t="str">
        <f>B373</f>
        <v>Thermohygrolight, Merek : KIMO, Model : KH-210-AO, SN : 14082463</v>
      </c>
      <c r="H373" s="720"/>
      <c r="I373" s="721"/>
      <c r="J373" s="256"/>
      <c r="K373" s="255">
        <f>F373</f>
        <v>3</v>
      </c>
      <c r="L373" s="720" t="str">
        <f>G373</f>
        <v>Thermohygrolight, Merek : KIMO, Model : KH-210-AO, SN : 14082463</v>
      </c>
      <c r="M373" s="720"/>
      <c r="N373" s="721"/>
      <c r="O373" s="155"/>
      <c r="P373" s="255">
        <f>A373</f>
        <v>3</v>
      </c>
      <c r="Q373" s="720" t="str">
        <f>G373</f>
        <v>Thermohygrolight, Merek : KIMO, Model : KH-210-AO, SN : 14082463</v>
      </c>
      <c r="R373" s="720"/>
      <c r="S373" s="720"/>
      <c r="T373" s="721"/>
    </row>
    <row r="374" spans="1:20" ht="13.5" x14ac:dyDescent="0.3">
      <c r="A374" s="257" t="s">
        <v>2</v>
      </c>
      <c r="B374" s="722" t="s">
        <v>3</v>
      </c>
      <c r="C374" s="722"/>
      <c r="D374" s="723" t="s">
        <v>4</v>
      </c>
      <c r="E374" s="236"/>
      <c r="F374" s="257" t="s">
        <v>5</v>
      </c>
      <c r="G374" s="722" t="s">
        <v>3</v>
      </c>
      <c r="H374" s="722"/>
      <c r="I374" s="723" t="s">
        <v>4</v>
      </c>
      <c r="J374" s="236"/>
      <c r="K374" s="257" t="s">
        <v>6</v>
      </c>
      <c r="L374" s="722" t="s">
        <v>3</v>
      </c>
      <c r="M374" s="722"/>
      <c r="N374" s="723" t="s">
        <v>4</v>
      </c>
      <c r="P374" s="714"/>
      <c r="Q374" s="715" t="s">
        <v>34</v>
      </c>
      <c r="R374" s="715" t="s">
        <v>35</v>
      </c>
      <c r="S374" s="715" t="s">
        <v>36</v>
      </c>
      <c r="T374" s="716" t="s">
        <v>12</v>
      </c>
    </row>
    <row r="375" spans="1:20" ht="14" x14ac:dyDescent="0.3">
      <c r="A375" s="258" t="s">
        <v>33</v>
      </c>
      <c r="B375" s="259">
        <f>VLOOKUP(B373,A393:K412,9,FALSE)</f>
        <v>2021</v>
      </c>
      <c r="C375" s="259">
        <f>VLOOKUP(B373,A393:K412,10,FALSE)</f>
        <v>2018</v>
      </c>
      <c r="D375" s="723"/>
      <c r="E375" s="236"/>
      <c r="F375" s="260" t="s">
        <v>8</v>
      </c>
      <c r="G375" s="259">
        <f>B375</f>
        <v>2021</v>
      </c>
      <c r="H375" s="259">
        <f>C375</f>
        <v>2018</v>
      </c>
      <c r="I375" s="723"/>
      <c r="J375" s="236"/>
      <c r="K375" s="260" t="s">
        <v>9</v>
      </c>
      <c r="L375" s="259">
        <f>G375</f>
        <v>2021</v>
      </c>
      <c r="M375" s="259">
        <f>H375</f>
        <v>2018</v>
      </c>
      <c r="N375" s="723"/>
      <c r="P375" s="714"/>
      <c r="Q375" s="715"/>
      <c r="R375" s="715"/>
      <c r="S375" s="715"/>
      <c r="T375" s="716"/>
    </row>
    <row r="376" spans="1:20" ht="13" x14ac:dyDescent="0.3">
      <c r="A376" s="261">
        <f>VLOOKUP($A$373,$B$226:$F$245,2,FALSE)</f>
        <v>15</v>
      </c>
      <c r="B376" s="262">
        <f>VLOOKUP($A$373,$B$226:$F$245,3,FALSE)</f>
        <v>0.4</v>
      </c>
      <c r="C376" s="262">
        <f>VLOOKUP($A$373,$B$226:$F$245,4,FALSE)</f>
        <v>0</v>
      </c>
      <c r="D376" s="263">
        <f>VLOOKUP($A$373,$B$226:$F$245,5,FALSE)</f>
        <v>0.2</v>
      </c>
      <c r="E376" s="236"/>
      <c r="F376" s="261">
        <f>VLOOKUP($F$373,$I$226:$M$245,2,FALSE)</f>
        <v>30</v>
      </c>
      <c r="G376" s="262">
        <f>VLOOKUP($F$373,$I$226:$M$245,3,FALSE)</f>
        <v>-7.3</v>
      </c>
      <c r="H376" s="262">
        <f>VLOOKUP($F$373,$I$226:$M$245,4,FALSE)</f>
        <v>-5.7</v>
      </c>
      <c r="I376" s="263">
        <f>VLOOKUP($F$373,$I$226:$M$245,5,FALSE)</f>
        <v>0.79999999999999982</v>
      </c>
      <c r="J376" s="236"/>
      <c r="K376" s="261">
        <f>VLOOKUP($K$373,$P$226:$T$245,2,FALSE)</f>
        <v>750</v>
      </c>
      <c r="L376" s="262" t="str">
        <f>VLOOKUP($K$373,$P$226:$T$245,3,FALSE)</f>
        <v>-</v>
      </c>
      <c r="M376" s="262" t="str">
        <f>VLOOKUP($K$373,$P$226:$T$245,4,FALSE)</f>
        <v>-</v>
      </c>
      <c r="N376" s="263">
        <f>VLOOKUP($K$373,$P$226:$T$245,5,FALSE)</f>
        <v>0</v>
      </c>
      <c r="P376" s="714"/>
      <c r="Q376" s="715"/>
      <c r="R376" s="715"/>
      <c r="S376" s="715"/>
      <c r="T376" s="716"/>
    </row>
    <row r="377" spans="1:20" ht="13" x14ac:dyDescent="0.3">
      <c r="A377" s="261">
        <f>VLOOKUP($A$373,$B$247:$F$266,2,FALSE)</f>
        <v>20</v>
      </c>
      <c r="B377" s="262">
        <f>VLOOKUP($A$373,$B$247:$F$266,3,FALSE)</f>
        <v>1</v>
      </c>
      <c r="C377" s="262">
        <f>VLOOKUP($A$373,$B$247:$F$266,4,FALSE)</f>
        <v>0</v>
      </c>
      <c r="D377" s="263">
        <f>VLOOKUP($A$373,$B$247:$F$266,5,FALSE)</f>
        <v>0.5</v>
      </c>
      <c r="E377" s="236"/>
      <c r="F377" s="261">
        <f>VLOOKUP($F$373,$I$247:$M$266,2,FALSE)</f>
        <v>40</v>
      </c>
      <c r="G377" s="262">
        <f>VLOOKUP($F$373,$I$247:$M$266,3,FALSE)</f>
        <v>-5.9</v>
      </c>
      <c r="H377" s="262">
        <f>VLOOKUP($F$373,$I$247:$M$266,4,FALSE)</f>
        <v>-5.3</v>
      </c>
      <c r="I377" s="263">
        <f>VLOOKUP($F$373,$I$247:$M$266,5,FALSE)</f>
        <v>0.30000000000000027</v>
      </c>
      <c r="J377" s="236"/>
      <c r="K377" s="261">
        <f>VLOOKUP($K$373,$P$247:$T$266,2,FALSE)</f>
        <v>800</v>
      </c>
      <c r="L377" s="262" t="str">
        <f>VLOOKUP($K$373,$P$247:$T$266,3,FALSE)</f>
        <v>-</v>
      </c>
      <c r="M377" s="262" t="str">
        <f>VLOOKUP($K$373,$P$247:$T$266,4,FALSE)</f>
        <v>-</v>
      </c>
      <c r="N377" s="263">
        <f>VLOOKUP($K$373,$P$247:$T$266,5,FALSE)</f>
        <v>0</v>
      </c>
      <c r="P377" s="264" t="s">
        <v>2</v>
      </c>
      <c r="Q377" s="265">
        <f>AVERAGE(ID!E15:F15)</f>
        <v>20</v>
      </c>
      <c r="R377" s="266">
        <f>Q377+C386</f>
        <v>21</v>
      </c>
      <c r="S377" s="265"/>
      <c r="T377" s="267">
        <f>VLOOKUP(P373,V225:W244,2,(FALSE))</f>
        <v>0.5</v>
      </c>
    </row>
    <row r="378" spans="1:20" ht="13" x14ac:dyDescent="0.3">
      <c r="A378" s="261">
        <f>VLOOKUP($A$373,$B$268:$F$287,2,FALSE)</f>
        <v>25</v>
      </c>
      <c r="B378" s="262">
        <f>VLOOKUP($A$373,$B$268:$F$287,3,FALSE)</f>
        <v>0.7</v>
      </c>
      <c r="C378" s="262">
        <f>VLOOKUP($A$373,$B$268:$F$287,4,FALSE)</f>
        <v>-0.1</v>
      </c>
      <c r="D378" s="263">
        <f>VLOOKUP($A$373,$B$268:$F$287,5,FALSE)</f>
        <v>0.39999999999999997</v>
      </c>
      <c r="E378" s="236"/>
      <c r="F378" s="261">
        <f>VLOOKUP($F$373,$I$268:$M$287,2,FALSE)</f>
        <v>50</v>
      </c>
      <c r="G378" s="262">
        <f>VLOOKUP($F$373,$I$268:$M$287,3,FALSE)</f>
        <v>-4.5</v>
      </c>
      <c r="H378" s="262">
        <f>VLOOKUP($F$373,$I$268:$M$287,4,FALSE)</f>
        <v>-4.9000000000000004</v>
      </c>
      <c r="I378" s="263">
        <f>VLOOKUP($F$373,$I$268:$M$287,5,FALSE)</f>
        <v>0.20000000000000018</v>
      </c>
      <c r="J378" s="236"/>
      <c r="K378" s="261">
        <f>VLOOKUP($K$373,$P$268:$T$287,2,FALSE)</f>
        <v>850</v>
      </c>
      <c r="L378" s="262" t="str">
        <f>VLOOKUP($K$373,$P$268:$T$287,3,FALSE)</f>
        <v>-</v>
      </c>
      <c r="M378" s="262" t="str">
        <f>VLOOKUP($K$373,$P$268:$T$287,4,FALSE)</f>
        <v>-</v>
      </c>
      <c r="N378" s="263">
        <f>VLOOKUP($K$373,$P$268:$T$287,5,FALSE)</f>
        <v>0</v>
      </c>
      <c r="P378" s="264" t="s">
        <v>8</v>
      </c>
      <c r="Q378" s="265">
        <f>AVERAGE(ID!E16:F16)</f>
        <v>59.599999999999994</v>
      </c>
      <c r="R378" s="266">
        <f>Q378+H386</f>
        <v>56.347999999999992</v>
      </c>
      <c r="S378" s="265"/>
      <c r="T378" s="267">
        <f>VLOOKUP(P373,V249:W268,2,(FALSE))</f>
        <v>3.1</v>
      </c>
    </row>
    <row r="379" spans="1:20" ht="13.5" thickBot="1" x14ac:dyDescent="0.35">
      <c r="A379" s="261">
        <f>VLOOKUP($A$373,$B$289:$F$308,2,FALSE)</f>
        <v>30</v>
      </c>
      <c r="B379" s="262">
        <f>VLOOKUP($A$373,$B$289:$F$308,3,FALSE)</f>
        <v>0</v>
      </c>
      <c r="C379" s="262">
        <f>VLOOKUP($A$373,$B$289:$F$308,4,FALSE)</f>
        <v>-0.3</v>
      </c>
      <c r="D379" s="263">
        <f>VLOOKUP($A$373,$B$289:$F$308,5,FALSE)</f>
        <v>0.15</v>
      </c>
      <c r="E379" s="236"/>
      <c r="F379" s="261">
        <f>VLOOKUP($F$373,$I$289:$M$308,2,FALSE)</f>
        <v>60</v>
      </c>
      <c r="G379" s="262">
        <f>VLOOKUP($F$373,$I$289:$M$308,3,FALSE)</f>
        <v>-3.2</v>
      </c>
      <c r="H379" s="262">
        <f>VLOOKUP($F$373,$I$289:$M$308,4,FALSE)</f>
        <v>-4.3</v>
      </c>
      <c r="I379" s="263">
        <f>VLOOKUP($F$373,$I$289:$M$308,5,FALSE)</f>
        <v>0.54999999999999982</v>
      </c>
      <c r="J379" s="236"/>
      <c r="K379" s="261">
        <f>VLOOKUP($K$373,$P$289:$T$308,2,FALSE)</f>
        <v>900</v>
      </c>
      <c r="L379" s="262" t="str">
        <f>VLOOKUP($K$373,$P$289:$T$308,3,FALSE)</f>
        <v>-</v>
      </c>
      <c r="M379" s="262" t="str">
        <f>VLOOKUP($K$373,$P$289:$T$308,4,FALSE)</f>
        <v>-</v>
      </c>
      <c r="N379" s="263">
        <f>VLOOKUP($K$373,$P$289:$T$308,5,FALSE)</f>
        <v>0</v>
      </c>
      <c r="O379" s="268"/>
      <c r="P379" s="269" t="s">
        <v>9</v>
      </c>
      <c r="Q379" s="270"/>
      <c r="R379" s="271"/>
      <c r="S379" s="270"/>
      <c r="T379" s="272"/>
    </row>
    <row r="380" spans="1:20" ht="13.5" thickBot="1" x14ac:dyDescent="0.35">
      <c r="A380" s="261">
        <f>VLOOKUP($A$373,$B$310:$F$329,2,FALSE)</f>
        <v>35</v>
      </c>
      <c r="B380" s="262">
        <f>VLOOKUP($A$373,$B$310:$F$329,3,FALSE)</f>
        <v>-0.3</v>
      </c>
      <c r="C380" s="262">
        <f>VLOOKUP($A$373,$B$310:$F$329,4,FALSE)</f>
        <v>-0.5</v>
      </c>
      <c r="D380" s="263">
        <f>VLOOKUP($A$373,$B$310:$F$329,5,FALSE)</f>
        <v>0.1</v>
      </c>
      <c r="E380" s="236"/>
      <c r="F380" s="261">
        <f>VLOOKUP($F$373,$I$310:$M$329,2,FALSE)</f>
        <v>70</v>
      </c>
      <c r="G380" s="262">
        <f>VLOOKUP($F$373,$I$310:$M$329,3,FALSE)</f>
        <v>-2</v>
      </c>
      <c r="H380" s="262">
        <f>VLOOKUP($F$373,$I$310:$M$329,4,FALSE)</f>
        <v>-3.6</v>
      </c>
      <c r="I380" s="263">
        <f>VLOOKUP($F$373,$I$310:$M$329,5,FALSE)</f>
        <v>0.8</v>
      </c>
      <c r="J380" s="236"/>
      <c r="K380" s="261">
        <f>VLOOKUP($K$373,$P$310:$T$329,2,FALSE)</f>
        <v>1000</v>
      </c>
      <c r="L380" s="262" t="str">
        <f>VLOOKUP($K$373,$P$310:$T$329,3,FALSE)</f>
        <v>-</v>
      </c>
      <c r="M380" s="262" t="str">
        <f>VLOOKUP($K$373,$P$310:$T$329,4,FALSE)</f>
        <v>-</v>
      </c>
      <c r="N380" s="263">
        <f>VLOOKUP($K$373,$P$310:$T$329,5,FALSE)</f>
        <v>0</v>
      </c>
      <c r="O380" s="273"/>
      <c r="P380" s="155"/>
      <c r="T380" s="274"/>
    </row>
    <row r="381" spans="1:20" ht="14" x14ac:dyDescent="0.3">
      <c r="A381" s="261">
        <f>VLOOKUP($A$373,$B$331:$F$350,2,FALSE)</f>
        <v>37</v>
      </c>
      <c r="B381" s="262">
        <f>VLOOKUP($A$373,$B$331:$F$350,3,FALSE)</f>
        <v>-0.2</v>
      </c>
      <c r="C381" s="262">
        <f>VLOOKUP($A$373,$B$331:$F$350,4,FALSE)</f>
        <v>-0.6</v>
      </c>
      <c r="D381" s="263">
        <f>VLOOKUP($A$373,$B$331:$F$350,5,FALSE)</f>
        <v>0.19999999999999998</v>
      </c>
      <c r="E381" s="236"/>
      <c r="F381" s="261">
        <f>VLOOKUP($F$373,$I$331:$M$350,2,FALSE)</f>
        <v>80</v>
      </c>
      <c r="G381" s="262">
        <f>VLOOKUP($F$373,$I$331:$M$350,3,FALSE)</f>
        <v>-0.8</v>
      </c>
      <c r="H381" s="262">
        <f>VLOOKUP($F$373,$I$331:$M$350,4,FALSE)</f>
        <v>-2.9</v>
      </c>
      <c r="I381" s="263">
        <f>VLOOKUP($F$373,$I$331:$M$350,5,FALSE)</f>
        <v>1.0499999999999998</v>
      </c>
      <c r="J381" s="236"/>
      <c r="K381" s="261">
        <f>VLOOKUP($K$373,$P$331:$T$350,2,FALSE)</f>
        <v>1005</v>
      </c>
      <c r="L381" s="262" t="str">
        <f>VLOOKUP($K$373,$P$331:$T$350,3,FALSE)</f>
        <v>-</v>
      </c>
      <c r="M381" s="262" t="str">
        <f>VLOOKUP($K$373,$P$331:$T$350,4,FALSE)</f>
        <v>-</v>
      </c>
      <c r="N381" s="263">
        <f>VLOOKUP($K$373,$P$331:$T$350,5,FALSE)</f>
        <v>0</v>
      </c>
      <c r="O381" s="275"/>
      <c r="P381" s="717" t="s">
        <v>37</v>
      </c>
      <c r="Q381" s="276" t="str">
        <f>M396&amp;M393&amp;N396&amp;N393&amp;O396&amp;O393</f>
        <v>( 21.0 ± 0.5 ) °C</v>
      </c>
      <c r="R381" s="277"/>
      <c r="T381" s="274"/>
    </row>
    <row r="382" spans="1:20" ht="14.5" thickBot="1" x14ac:dyDescent="0.35">
      <c r="A382" s="278">
        <f>VLOOKUP($A$373,$B$352:$F$371,2,FALSE)</f>
        <v>40</v>
      </c>
      <c r="B382" s="279">
        <f>VLOOKUP($A$373,$B$352:$F$371,3,FALSE)</f>
        <v>0.2</v>
      </c>
      <c r="C382" s="279">
        <f>VLOOKUP($A$373,$B$352:$F$371,4,FALSE)</f>
        <v>-0.7</v>
      </c>
      <c r="D382" s="280">
        <f>VLOOKUP($A$373,$B$352:$F$371,5,FALSE)</f>
        <v>0.44999999999999996</v>
      </c>
      <c r="E382" s="236"/>
      <c r="F382" s="278">
        <f>VLOOKUP($F$373,$I$352:$M$371,2,FALSE)</f>
        <v>90</v>
      </c>
      <c r="G382" s="279">
        <f>VLOOKUP($F$373,$I$352:$M$371,3,FALSE)</f>
        <v>0.3</v>
      </c>
      <c r="H382" s="279">
        <f>VLOOKUP($F$373,$I$352:$M$371,4,FALSE)</f>
        <v>-2</v>
      </c>
      <c r="I382" s="280">
        <f>VLOOKUP($F$373,$I$352:$M$371,5,FALSE)</f>
        <v>1.1499999999999999</v>
      </c>
      <c r="J382" s="236"/>
      <c r="K382" s="278">
        <f>VLOOKUP($K$373,$P$352:$T$371,2,FALSE)</f>
        <v>1020</v>
      </c>
      <c r="L382" s="279" t="str">
        <f>VLOOKUP($K$373,$P$352:$T$371,3,FALSE)</f>
        <v>-</v>
      </c>
      <c r="M382" s="279" t="str">
        <f>VLOOKUP($K$373,$P$352:$T$371,4,FALSE)</f>
        <v>-</v>
      </c>
      <c r="N382" s="280">
        <f>VLOOKUP($K$373,$P$352:$T$371,5,FALSE)</f>
        <v>0</v>
      </c>
      <c r="O382" s="275"/>
      <c r="P382" s="718"/>
      <c r="Q382" s="281" t="str">
        <f>M396&amp;M394&amp;N396&amp;N394&amp;O396&amp;O394</f>
        <v>( 56.3 ± 3.1 ) %RH</v>
      </c>
      <c r="R382" s="282"/>
      <c r="T382" s="274"/>
    </row>
    <row r="383" spans="1:20" ht="14.5" thickBot="1" x14ac:dyDescent="0.35">
      <c r="A383" s="283"/>
      <c r="B383" s="236"/>
      <c r="C383" s="236"/>
      <c r="D383" s="236"/>
      <c r="E383" s="236"/>
      <c r="F383" s="236"/>
      <c r="G383" s="236"/>
      <c r="H383" s="236"/>
      <c r="I383" s="236"/>
      <c r="J383" s="236"/>
      <c r="K383" s="236"/>
      <c r="L383" s="236"/>
      <c r="M383" s="236"/>
      <c r="N383" s="236"/>
      <c r="O383" s="275"/>
      <c r="P383" s="719"/>
      <c r="Q383" s="284" t="str">
        <f>M396&amp;M395&amp;N396&amp;N395&amp;O396&amp;O395</f>
        <v>(  ±  )</v>
      </c>
      <c r="R383" s="285"/>
      <c r="T383" s="274"/>
    </row>
    <row r="384" spans="1:20" ht="14.5" thickBot="1" x14ac:dyDescent="0.35">
      <c r="A384" s="700" t="s">
        <v>38</v>
      </c>
      <c r="B384" s="701"/>
      <c r="C384" s="701"/>
      <c r="D384" s="702"/>
      <c r="E384" s="286"/>
      <c r="F384" s="700" t="s">
        <v>39</v>
      </c>
      <c r="G384" s="701"/>
      <c r="H384" s="701"/>
      <c r="I384" s="702"/>
      <c r="J384" s="236"/>
      <c r="K384" s="700"/>
      <c r="L384" s="701"/>
      <c r="M384" s="701"/>
      <c r="N384" s="702"/>
      <c r="O384" s="275"/>
      <c r="P384" s="287"/>
      <c r="T384" s="274"/>
    </row>
    <row r="385" spans="1:20" ht="13.5" x14ac:dyDescent="0.3">
      <c r="A385" s="255"/>
      <c r="B385" s="288">
        <f>IF(A386&lt;=A377,A376,IF(A386&lt;=A378,A377,IF(A386&lt;=A379,A378,IF(A386&lt;=A380,A379,IF(A386&lt;=A381,A380,IF(A386&lt;=A382,A381))))))</f>
        <v>15</v>
      </c>
      <c r="C385" s="288"/>
      <c r="D385" s="289">
        <f>IF(A386&lt;=A377,B376,IF(A386&lt;=A378,B377,IF(A386&lt;=A379,B378,IF(A386&lt;=A380,B379,IF(A386&lt;=A381,B380,IF(A386&lt;=A382,B381))))))</f>
        <v>0.4</v>
      </c>
      <c r="E385" s="290"/>
      <c r="F385" s="291"/>
      <c r="G385" s="288">
        <f>IF(F386&lt;=F377,F376,IF(F386&lt;=F378,F377,IF(F386&lt;=F379,F378,IF(F386&lt;=F380,F379,IF(F386&lt;=F381,F380,IF(F386&lt;=F382,F381))))))</f>
        <v>50</v>
      </c>
      <c r="H385" s="288"/>
      <c r="I385" s="289">
        <f>IF(F386&lt;=F377,G376,IF(F386&lt;=F378,G377,IF(F386&lt;=F379,G378,IF(F386&lt;=F380,G379,IF(F386&lt;=F381,G380,IF(F386&lt;=F382,G381))))))</f>
        <v>-4.5</v>
      </c>
      <c r="J385" s="236"/>
      <c r="K385" s="291"/>
      <c r="L385" s="288"/>
      <c r="M385" s="288"/>
      <c r="N385" s="289"/>
      <c r="O385" s="236"/>
      <c r="T385" s="274"/>
    </row>
    <row r="386" spans="1:20" ht="13.5" x14ac:dyDescent="0.3">
      <c r="A386" s="292">
        <f>Q377</f>
        <v>20</v>
      </c>
      <c r="B386" s="293"/>
      <c r="C386" s="293">
        <f>((A386-B385)/(B387-B385)*(D387-D385)+D385)</f>
        <v>1</v>
      </c>
      <c r="D386" s="294"/>
      <c r="E386" s="290"/>
      <c r="F386" s="292">
        <f>Q378</f>
        <v>59.599999999999994</v>
      </c>
      <c r="G386" s="293"/>
      <c r="H386" s="293">
        <f>((F386-G385)/(G387-G385)*(I387-I385)+I385)</f>
        <v>-3.2520000000000007</v>
      </c>
      <c r="I386" s="294"/>
      <c r="J386" s="236"/>
      <c r="K386" s="292"/>
      <c r="L386" s="293"/>
      <c r="M386" s="446"/>
      <c r="N386" s="294"/>
      <c r="O386" s="236"/>
      <c r="T386" s="274"/>
    </row>
    <row r="387" spans="1:20" ht="13.5" thickBot="1" x14ac:dyDescent="0.35">
      <c r="A387" s="295"/>
      <c r="B387" s="296">
        <f>IF(A386&lt;=A377,A377,IF(A386&lt;=A378,A378,IF(A386&lt;=A379,A379,IF(A386&lt;=A380,A380,IF(A386&lt;=A381,A381,IF(A386&lt;=A382,A382))))))</f>
        <v>20</v>
      </c>
      <c r="C387" s="297"/>
      <c r="D387" s="298">
        <f>IF(A386&lt;=A377,B377,IF(A386&lt;=A378,B378,IF(A386&lt;=A379,B379,IF(A386&lt;=A380,B380,IF(A386&lt;=A381,B381,IF(A386&lt;=A382,B382))))))</f>
        <v>1</v>
      </c>
      <c r="E387" s="299"/>
      <c r="F387" s="295"/>
      <c r="G387" s="296">
        <f>IF(F386&lt;=F377,F377,IF(F386&lt;=F378,F378,IF(F386&lt;=F379,F379,IF(F386&lt;=F380,F380,IF(F386&lt;=F381,F381,IF(F386&lt;=F382,F382))))))</f>
        <v>60</v>
      </c>
      <c r="H387" s="297"/>
      <c r="I387" s="298">
        <f>IF(F386&lt;=F377,G377,IF(F386&lt;=F378,G378,IF(F386&lt;=F379,G379,IF(F386&lt;=F380,G380,IF(F386&lt;=F381,G381,IF(F386&lt;=F382,G382))))))</f>
        <v>-3.2</v>
      </c>
      <c r="J387" s="300"/>
      <c r="K387" s="295"/>
      <c r="L387" s="296"/>
      <c r="M387" s="297"/>
      <c r="N387" s="298"/>
      <c r="O387" s="300"/>
      <c r="P387" s="301"/>
      <c r="Q387" s="177"/>
      <c r="R387" s="177"/>
      <c r="S387" s="177"/>
      <c r="T387" s="302"/>
    </row>
    <row r="391" spans="1:20" ht="13" thickBot="1" x14ac:dyDescent="0.3"/>
    <row r="392" spans="1:20" ht="13.5" thickBot="1" x14ac:dyDescent="0.3">
      <c r="A392" s="703" t="str">
        <f>ID!B175</f>
        <v>Thermohygrolight, Merek : KIMO, Model : KH-210-AO, SN : 14082463</v>
      </c>
      <c r="B392" s="704"/>
      <c r="C392" s="704"/>
      <c r="D392" s="704"/>
      <c r="E392" s="704"/>
      <c r="F392" s="704"/>
      <c r="G392" s="704"/>
      <c r="H392" s="704"/>
      <c r="I392" s="705"/>
      <c r="J392" s="705"/>
      <c r="K392" s="706"/>
      <c r="M392" s="707" t="s">
        <v>40</v>
      </c>
      <c r="N392" s="708"/>
      <c r="O392" s="709"/>
    </row>
    <row r="393" spans="1:20" ht="15.5" x14ac:dyDescent="0.25">
      <c r="A393" s="303" t="s">
        <v>41</v>
      </c>
      <c r="B393" s="304"/>
      <c r="C393" s="304"/>
      <c r="D393" s="305"/>
      <c r="E393" s="305"/>
      <c r="F393" s="305"/>
      <c r="G393" s="306"/>
      <c r="H393" s="307"/>
      <c r="I393" s="308">
        <f>D4</f>
        <v>2020</v>
      </c>
      <c r="J393" s="309">
        <f>E4</f>
        <v>2017</v>
      </c>
      <c r="K393" s="310">
        <v>1</v>
      </c>
      <c r="M393" s="311" t="str">
        <f>TEXT(R377,"0.0")</f>
        <v>21.0</v>
      </c>
      <c r="N393" s="312" t="str">
        <f>TEXT(T377,"0.0")</f>
        <v>0.5</v>
      </c>
      <c r="O393" s="313" t="s">
        <v>42</v>
      </c>
    </row>
    <row r="394" spans="1:20" ht="15.5" x14ac:dyDescent="0.25">
      <c r="A394" s="303" t="s">
        <v>43</v>
      </c>
      <c r="B394" s="304"/>
      <c r="C394" s="304"/>
      <c r="D394" s="305"/>
      <c r="E394" s="305"/>
      <c r="F394" s="305"/>
      <c r="G394" s="306"/>
      <c r="H394" s="307"/>
      <c r="I394" s="314">
        <f>D15</f>
        <v>2021</v>
      </c>
      <c r="J394" s="315">
        <f>E15</f>
        <v>2018</v>
      </c>
      <c r="K394" s="310">
        <v>2</v>
      </c>
      <c r="M394" s="311" t="str">
        <f>TEXT(R378,"0.0")</f>
        <v>56.3</v>
      </c>
      <c r="N394" s="312" t="str">
        <f>TEXT(T378,"0.0")</f>
        <v>3.1</v>
      </c>
      <c r="O394" s="313" t="s">
        <v>44</v>
      </c>
    </row>
    <row r="395" spans="1:20" ht="15.5" x14ac:dyDescent="0.25">
      <c r="A395" s="303" t="s">
        <v>45</v>
      </c>
      <c r="B395" s="304"/>
      <c r="C395" s="304"/>
      <c r="D395" s="305"/>
      <c r="E395" s="305"/>
      <c r="F395" s="305"/>
      <c r="G395" s="306"/>
      <c r="H395" s="307"/>
      <c r="I395" s="314">
        <f>D26</f>
        <v>2021</v>
      </c>
      <c r="J395" s="315">
        <f>E26</f>
        <v>2018</v>
      </c>
      <c r="K395" s="310">
        <v>3</v>
      </c>
      <c r="M395" s="311"/>
      <c r="N395" s="312"/>
      <c r="O395" s="316"/>
    </row>
    <row r="396" spans="1:20" ht="16" thickBot="1" x14ac:dyDescent="0.35">
      <c r="A396" s="303" t="s">
        <v>46</v>
      </c>
      <c r="B396" s="304"/>
      <c r="C396" s="304"/>
      <c r="D396" s="305"/>
      <c r="E396" s="305"/>
      <c r="F396" s="305"/>
      <c r="G396" s="306"/>
      <c r="H396" s="307"/>
      <c r="I396" s="314">
        <f>D37</f>
        <v>2019</v>
      </c>
      <c r="J396" s="315">
        <f>E37</f>
        <v>2017</v>
      </c>
      <c r="K396" s="310">
        <v>4</v>
      </c>
      <c r="M396" s="317" t="s">
        <v>47</v>
      </c>
      <c r="N396" s="318" t="s">
        <v>48</v>
      </c>
      <c r="O396" s="319" t="s">
        <v>49</v>
      </c>
    </row>
    <row r="397" spans="1:20" ht="13" x14ac:dyDescent="0.25">
      <c r="A397" s="303" t="s">
        <v>50</v>
      </c>
      <c r="B397" s="304"/>
      <c r="C397" s="304"/>
      <c r="D397" s="305"/>
      <c r="E397" s="305"/>
      <c r="F397" s="305"/>
      <c r="G397" s="306"/>
      <c r="H397" s="307"/>
      <c r="I397" s="314">
        <f>D48</f>
        <v>2020</v>
      </c>
      <c r="J397" s="315">
        <f>E48</f>
        <v>2017</v>
      </c>
      <c r="K397" s="310">
        <v>5</v>
      </c>
    </row>
    <row r="398" spans="1:20" ht="13" x14ac:dyDescent="0.25">
      <c r="A398" s="303" t="s">
        <v>51</v>
      </c>
      <c r="B398" s="304"/>
      <c r="C398" s="304"/>
      <c r="D398" s="305"/>
      <c r="E398" s="305"/>
      <c r="F398" s="305"/>
      <c r="G398" s="306"/>
      <c r="H398" s="307"/>
      <c r="I398" s="314">
        <f>D59</f>
        <v>2019</v>
      </c>
      <c r="J398" s="315">
        <f>E59</f>
        <v>2018</v>
      </c>
      <c r="K398" s="310">
        <v>6</v>
      </c>
    </row>
    <row r="399" spans="1:20" ht="13" x14ac:dyDescent="0.25">
      <c r="A399" s="303" t="s">
        <v>52</v>
      </c>
      <c r="B399" s="304"/>
      <c r="C399" s="304"/>
      <c r="D399" s="305"/>
      <c r="E399" s="305"/>
      <c r="F399" s="305"/>
      <c r="G399" s="306"/>
      <c r="H399" s="307"/>
      <c r="I399" s="314">
        <f>D70</f>
        <v>2021</v>
      </c>
      <c r="J399" s="315">
        <f>E70</f>
        <v>2018</v>
      </c>
      <c r="K399" s="310">
        <v>7</v>
      </c>
    </row>
    <row r="400" spans="1:20" ht="13" x14ac:dyDescent="0.25">
      <c r="A400" s="303" t="s">
        <v>53</v>
      </c>
      <c r="B400" s="304"/>
      <c r="C400" s="304"/>
      <c r="D400" s="305"/>
      <c r="E400" s="305"/>
      <c r="F400" s="305"/>
      <c r="G400" s="306"/>
      <c r="H400" s="307"/>
      <c r="I400" s="314">
        <f>D81</f>
        <v>2021</v>
      </c>
      <c r="J400" s="315">
        <f>E81</f>
        <v>2019</v>
      </c>
      <c r="K400" s="310">
        <v>8</v>
      </c>
    </row>
    <row r="401" spans="1:11" ht="13" x14ac:dyDescent="0.25">
      <c r="A401" s="303" t="s">
        <v>54</v>
      </c>
      <c r="B401" s="304"/>
      <c r="C401" s="304"/>
      <c r="D401" s="305"/>
      <c r="E401" s="305"/>
      <c r="F401" s="305"/>
      <c r="G401" s="306"/>
      <c r="H401" s="307"/>
      <c r="I401" s="314">
        <f>D92</f>
        <v>2019</v>
      </c>
      <c r="J401" s="315" t="str">
        <f>E92</f>
        <v>-</v>
      </c>
      <c r="K401" s="310">
        <v>9</v>
      </c>
    </row>
    <row r="402" spans="1:11" ht="13" x14ac:dyDescent="0.25">
      <c r="A402" s="303" t="s">
        <v>55</v>
      </c>
      <c r="B402" s="304"/>
      <c r="C402" s="304"/>
      <c r="D402" s="305"/>
      <c r="E402" s="305"/>
      <c r="F402" s="305"/>
      <c r="G402" s="306"/>
      <c r="H402" s="307"/>
      <c r="I402" s="314">
        <f>D103</f>
        <v>2019</v>
      </c>
      <c r="J402" s="315">
        <f>E103</f>
        <v>2016</v>
      </c>
      <c r="K402" s="310">
        <v>10</v>
      </c>
    </row>
    <row r="403" spans="1:11" ht="13" x14ac:dyDescent="0.25">
      <c r="A403" s="303" t="s">
        <v>56</v>
      </c>
      <c r="B403" s="304"/>
      <c r="C403" s="304"/>
      <c r="D403" s="305"/>
      <c r="E403" s="305"/>
      <c r="F403" s="305"/>
      <c r="G403" s="306"/>
      <c r="H403" s="307"/>
      <c r="I403" s="314">
        <f>D114</f>
        <v>2020</v>
      </c>
      <c r="J403" s="315">
        <f>E114</f>
        <v>2016</v>
      </c>
      <c r="K403" s="310">
        <v>11</v>
      </c>
    </row>
    <row r="404" spans="1:11" ht="13" x14ac:dyDescent="0.25">
      <c r="A404" s="303" t="s">
        <v>57</v>
      </c>
      <c r="B404" s="304"/>
      <c r="C404" s="304"/>
      <c r="D404" s="305"/>
      <c r="E404" s="305"/>
      <c r="F404" s="305"/>
      <c r="G404" s="306"/>
      <c r="H404" s="307"/>
      <c r="I404" s="314">
        <f>D125</f>
        <v>2020</v>
      </c>
      <c r="J404" s="315" t="str">
        <f>E125</f>
        <v>-</v>
      </c>
      <c r="K404" s="310">
        <v>12</v>
      </c>
    </row>
    <row r="405" spans="1:11" ht="13" x14ac:dyDescent="0.25">
      <c r="A405" s="303" t="s">
        <v>58</v>
      </c>
      <c r="B405" s="320"/>
      <c r="C405" s="320"/>
      <c r="D405" s="321"/>
      <c r="E405" s="321"/>
      <c r="F405" s="321"/>
      <c r="G405" s="322"/>
      <c r="H405" s="323"/>
      <c r="I405" s="314">
        <f>D136</f>
        <v>2020</v>
      </c>
      <c r="J405" s="315" t="str">
        <f>E136</f>
        <v>-</v>
      </c>
      <c r="K405" s="310">
        <v>13</v>
      </c>
    </row>
    <row r="406" spans="1:11" ht="13" x14ac:dyDescent="0.25">
      <c r="A406" s="303" t="s">
        <v>59</v>
      </c>
      <c r="B406" s="320"/>
      <c r="C406" s="320"/>
      <c r="D406" s="321"/>
      <c r="E406" s="321"/>
      <c r="F406" s="321"/>
      <c r="G406" s="322"/>
      <c r="H406" s="323"/>
      <c r="I406" s="314">
        <f>D147</f>
        <v>2020</v>
      </c>
      <c r="J406" s="315" t="str">
        <f>E147</f>
        <v>-</v>
      </c>
      <c r="K406" s="310">
        <v>14</v>
      </c>
    </row>
    <row r="407" spans="1:11" ht="13" x14ac:dyDescent="0.25">
      <c r="A407" s="303" t="s">
        <v>60</v>
      </c>
      <c r="B407" s="320"/>
      <c r="C407" s="320"/>
      <c r="D407" s="321"/>
      <c r="E407" s="321"/>
      <c r="F407" s="321"/>
      <c r="G407" s="322"/>
      <c r="H407" s="323"/>
      <c r="I407" s="314">
        <f>D158</f>
        <v>2020</v>
      </c>
      <c r="J407" s="315" t="str">
        <f>E158</f>
        <v>-</v>
      </c>
      <c r="K407" s="310">
        <v>15</v>
      </c>
    </row>
    <row r="408" spans="1:11" ht="13" x14ac:dyDescent="0.25">
      <c r="A408" s="303" t="s">
        <v>61</v>
      </c>
      <c r="B408" s="320"/>
      <c r="C408" s="320"/>
      <c r="D408" s="321"/>
      <c r="E408" s="321"/>
      <c r="F408" s="321"/>
      <c r="G408" s="322"/>
      <c r="H408" s="323"/>
      <c r="I408" s="314">
        <f>D169</f>
        <v>2020</v>
      </c>
      <c r="J408" s="315" t="str">
        <f>E169</f>
        <v>-</v>
      </c>
      <c r="K408" s="310">
        <v>16</v>
      </c>
    </row>
    <row r="409" spans="1:11" ht="13" x14ac:dyDescent="0.25">
      <c r="A409" s="303" t="s">
        <v>62</v>
      </c>
      <c r="B409" s="320"/>
      <c r="C409" s="320"/>
      <c r="D409" s="321"/>
      <c r="E409" s="321"/>
      <c r="F409" s="321"/>
      <c r="G409" s="322"/>
      <c r="H409" s="323"/>
      <c r="I409" s="314">
        <f>D180</f>
        <v>2020</v>
      </c>
      <c r="J409" s="315" t="str">
        <f>E180</f>
        <v>-</v>
      </c>
      <c r="K409" s="310">
        <v>17</v>
      </c>
    </row>
    <row r="410" spans="1:11" ht="13" x14ac:dyDescent="0.25">
      <c r="A410" s="303" t="s">
        <v>63</v>
      </c>
      <c r="B410" s="320"/>
      <c r="C410" s="320"/>
      <c r="D410" s="321"/>
      <c r="E410" s="321"/>
      <c r="F410" s="321"/>
      <c r="G410" s="322"/>
      <c r="H410" s="323"/>
      <c r="I410" s="314">
        <f>D191</f>
        <v>2020</v>
      </c>
      <c r="J410" s="315" t="str">
        <f>E191</f>
        <v>-</v>
      </c>
      <c r="K410" s="310">
        <v>18</v>
      </c>
    </row>
    <row r="411" spans="1:11" ht="13" x14ac:dyDescent="0.25">
      <c r="A411" s="303" t="s">
        <v>64</v>
      </c>
      <c r="B411" s="320"/>
      <c r="C411" s="320"/>
      <c r="D411" s="321"/>
      <c r="E411" s="321"/>
      <c r="F411" s="321"/>
      <c r="G411" s="322"/>
      <c r="H411" s="323"/>
      <c r="I411" s="314">
        <f>D202</f>
        <v>2021</v>
      </c>
      <c r="J411" s="315" t="str">
        <f>E202</f>
        <v>-</v>
      </c>
      <c r="K411" s="310">
        <v>19</v>
      </c>
    </row>
    <row r="412" spans="1:11" ht="13.5" thickBot="1" x14ac:dyDescent="0.3">
      <c r="A412" s="324">
        <v>20</v>
      </c>
      <c r="B412" s="320"/>
      <c r="C412" s="320"/>
      <c r="D412" s="321"/>
      <c r="E412" s="321"/>
      <c r="F412" s="321"/>
      <c r="G412" s="322"/>
      <c r="H412" s="323"/>
      <c r="I412" s="325">
        <f>D213</f>
        <v>2017</v>
      </c>
      <c r="J412" s="326" t="str">
        <f>E213</f>
        <v>-</v>
      </c>
      <c r="K412" s="310">
        <v>20</v>
      </c>
    </row>
    <row r="413" spans="1:11" ht="13.5" thickBot="1" x14ac:dyDescent="0.3">
      <c r="A413" s="710">
        <f>VLOOKUP(A392,A393:K412,11,(FALSE))</f>
        <v>3</v>
      </c>
      <c r="B413" s="711"/>
      <c r="C413" s="711"/>
      <c r="D413" s="711"/>
      <c r="E413" s="711"/>
      <c r="F413" s="711"/>
      <c r="G413" s="711"/>
      <c r="H413" s="711"/>
      <c r="I413" s="712"/>
      <c r="J413" s="712"/>
      <c r="K413" s="713"/>
    </row>
  </sheetData>
  <mergeCells count="405">
    <mergeCell ref="L3:L4"/>
    <mergeCell ref="N3:O3"/>
    <mergeCell ref="P3:Q3"/>
    <mergeCell ref="R3:R4"/>
    <mergeCell ref="B4:C4"/>
    <mergeCell ref="H4:I4"/>
    <mergeCell ref="N4:O4"/>
    <mergeCell ref="A1:U1"/>
    <mergeCell ref="A2:A11"/>
    <mergeCell ref="B2:F2"/>
    <mergeCell ref="H2:L2"/>
    <mergeCell ref="N2:R2"/>
    <mergeCell ref="B3:C3"/>
    <mergeCell ref="D3:E3"/>
    <mergeCell ref="F3:F4"/>
    <mergeCell ref="H3:I3"/>
    <mergeCell ref="J3:K3"/>
    <mergeCell ref="A13:A22"/>
    <mergeCell ref="B13:F13"/>
    <mergeCell ref="H13:L13"/>
    <mergeCell ref="N13:R13"/>
    <mergeCell ref="T13:U13"/>
    <mergeCell ref="B14:C14"/>
    <mergeCell ref="D14:E14"/>
    <mergeCell ref="F14:F15"/>
    <mergeCell ref="H14:I14"/>
    <mergeCell ref="J14:K14"/>
    <mergeCell ref="F25:F26"/>
    <mergeCell ref="H25:I25"/>
    <mergeCell ref="J25:K25"/>
    <mergeCell ref="L14:L15"/>
    <mergeCell ref="N14:O14"/>
    <mergeCell ref="P14:Q14"/>
    <mergeCell ref="R14:R15"/>
    <mergeCell ref="B15:C15"/>
    <mergeCell ref="H15:I15"/>
    <mergeCell ref="N15:O15"/>
    <mergeCell ref="L25:L26"/>
    <mergeCell ref="N25:O25"/>
    <mergeCell ref="P25:Q25"/>
    <mergeCell ref="R25:R26"/>
    <mergeCell ref="B26:C26"/>
    <mergeCell ref="H26:I26"/>
    <mergeCell ref="N26:O26"/>
    <mergeCell ref="A24:A33"/>
    <mergeCell ref="B24:F24"/>
    <mergeCell ref="H24:L24"/>
    <mergeCell ref="N24:R24"/>
    <mergeCell ref="N36:O36"/>
    <mergeCell ref="P36:Q36"/>
    <mergeCell ref="R36:R37"/>
    <mergeCell ref="T36:U36"/>
    <mergeCell ref="B37:C37"/>
    <mergeCell ref="H37:I37"/>
    <mergeCell ref="N37:O37"/>
    <mergeCell ref="A35:A44"/>
    <mergeCell ref="B35:F35"/>
    <mergeCell ref="H35:L35"/>
    <mergeCell ref="N35:R35"/>
    <mergeCell ref="B36:C36"/>
    <mergeCell ref="D36:E36"/>
    <mergeCell ref="F36:F37"/>
    <mergeCell ref="H36:I36"/>
    <mergeCell ref="J36:K36"/>
    <mergeCell ref="L36:L37"/>
    <mergeCell ref="T24:U24"/>
    <mergeCell ref="B25:C25"/>
    <mergeCell ref="D25:E25"/>
    <mergeCell ref="A57:A66"/>
    <mergeCell ref="B57:F57"/>
    <mergeCell ref="H57:L57"/>
    <mergeCell ref="N57:R57"/>
    <mergeCell ref="A46:A55"/>
    <mergeCell ref="B46:F46"/>
    <mergeCell ref="H46:L46"/>
    <mergeCell ref="N46:R46"/>
    <mergeCell ref="T46:U46"/>
    <mergeCell ref="B47:C47"/>
    <mergeCell ref="D47:E47"/>
    <mergeCell ref="F47:F48"/>
    <mergeCell ref="H47:I47"/>
    <mergeCell ref="J47:K47"/>
    <mergeCell ref="L47:L48"/>
    <mergeCell ref="N47:O47"/>
    <mergeCell ref="P47:Q47"/>
    <mergeCell ref="R47:R48"/>
    <mergeCell ref="B48:C48"/>
    <mergeCell ref="H48:I48"/>
    <mergeCell ref="N48:O48"/>
    <mergeCell ref="F69:F70"/>
    <mergeCell ref="H69:I69"/>
    <mergeCell ref="J69:K69"/>
    <mergeCell ref="L58:L59"/>
    <mergeCell ref="N58:O58"/>
    <mergeCell ref="P58:Q58"/>
    <mergeCell ref="R58:R59"/>
    <mergeCell ref="B59:C59"/>
    <mergeCell ref="H59:I59"/>
    <mergeCell ref="N59:O59"/>
    <mergeCell ref="A79:A88"/>
    <mergeCell ref="B79:F79"/>
    <mergeCell ref="H79:L79"/>
    <mergeCell ref="N79:R79"/>
    <mergeCell ref="T57:U57"/>
    <mergeCell ref="B58:C58"/>
    <mergeCell ref="D58:E58"/>
    <mergeCell ref="F58:F59"/>
    <mergeCell ref="H58:I58"/>
    <mergeCell ref="J58:K58"/>
    <mergeCell ref="L69:L70"/>
    <mergeCell ref="N69:O69"/>
    <mergeCell ref="P69:Q69"/>
    <mergeCell ref="R69:R70"/>
    <mergeCell ref="B70:C70"/>
    <mergeCell ref="H70:I70"/>
    <mergeCell ref="N70:O70"/>
    <mergeCell ref="A68:A77"/>
    <mergeCell ref="B68:F68"/>
    <mergeCell ref="H68:L68"/>
    <mergeCell ref="N68:R68"/>
    <mergeCell ref="T68:U68"/>
    <mergeCell ref="B69:C69"/>
    <mergeCell ref="D69:E69"/>
    <mergeCell ref="F91:F92"/>
    <mergeCell ref="H91:I91"/>
    <mergeCell ref="J91:K91"/>
    <mergeCell ref="L80:L81"/>
    <mergeCell ref="N80:O80"/>
    <mergeCell ref="P80:Q80"/>
    <mergeCell ref="R80:R81"/>
    <mergeCell ref="B81:C81"/>
    <mergeCell ref="H81:I81"/>
    <mergeCell ref="N81:O81"/>
    <mergeCell ref="A101:A110"/>
    <mergeCell ref="B101:F101"/>
    <mergeCell ref="H101:L101"/>
    <mergeCell ref="N101:R101"/>
    <mergeCell ref="T79:U79"/>
    <mergeCell ref="B80:C80"/>
    <mergeCell ref="D80:E80"/>
    <mergeCell ref="F80:F81"/>
    <mergeCell ref="H80:I80"/>
    <mergeCell ref="J80:K80"/>
    <mergeCell ref="L91:L92"/>
    <mergeCell ref="N91:O91"/>
    <mergeCell ref="P91:Q91"/>
    <mergeCell ref="R91:R92"/>
    <mergeCell ref="B92:C92"/>
    <mergeCell ref="H92:I92"/>
    <mergeCell ref="N92:O92"/>
    <mergeCell ref="A90:A99"/>
    <mergeCell ref="B90:F90"/>
    <mergeCell ref="H90:L90"/>
    <mergeCell ref="N90:R90"/>
    <mergeCell ref="T90:U90"/>
    <mergeCell ref="B91:C91"/>
    <mergeCell ref="D91:E91"/>
    <mergeCell ref="F113:F114"/>
    <mergeCell ref="H113:I113"/>
    <mergeCell ref="J113:K113"/>
    <mergeCell ref="L102:L103"/>
    <mergeCell ref="N102:O102"/>
    <mergeCell ref="P102:Q102"/>
    <mergeCell ref="R102:R103"/>
    <mergeCell ref="B103:C103"/>
    <mergeCell ref="H103:I103"/>
    <mergeCell ref="N103:O103"/>
    <mergeCell ref="A123:A132"/>
    <mergeCell ref="B123:F123"/>
    <mergeCell ref="H123:L123"/>
    <mergeCell ref="N123:R123"/>
    <mergeCell ref="T101:U101"/>
    <mergeCell ref="B102:C102"/>
    <mergeCell ref="D102:E102"/>
    <mergeCell ref="F102:F103"/>
    <mergeCell ref="H102:I102"/>
    <mergeCell ref="J102:K102"/>
    <mergeCell ref="L113:L114"/>
    <mergeCell ref="N113:O113"/>
    <mergeCell ref="P113:Q113"/>
    <mergeCell ref="R113:R114"/>
    <mergeCell ref="B114:C114"/>
    <mergeCell ref="H114:I114"/>
    <mergeCell ref="N114:O114"/>
    <mergeCell ref="A112:A121"/>
    <mergeCell ref="B112:F112"/>
    <mergeCell ref="H112:L112"/>
    <mergeCell ref="N112:R112"/>
    <mergeCell ref="T112:U112"/>
    <mergeCell ref="B113:C113"/>
    <mergeCell ref="D113:E113"/>
    <mergeCell ref="F135:F136"/>
    <mergeCell ref="H135:I135"/>
    <mergeCell ref="J135:K135"/>
    <mergeCell ref="L124:L125"/>
    <mergeCell ref="N124:O124"/>
    <mergeCell ref="P124:Q124"/>
    <mergeCell ref="R124:R125"/>
    <mergeCell ref="B125:C125"/>
    <mergeCell ref="H125:I125"/>
    <mergeCell ref="N125:O125"/>
    <mergeCell ref="A145:A154"/>
    <mergeCell ref="B145:F145"/>
    <mergeCell ref="H145:L145"/>
    <mergeCell ref="N145:R145"/>
    <mergeCell ref="T123:U123"/>
    <mergeCell ref="B124:C124"/>
    <mergeCell ref="D124:E124"/>
    <mergeCell ref="F124:F125"/>
    <mergeCell ref="H124:I124"/>
    <mergeCell ref="J124:K124"/>
    <mergeCell ref="L135:L136"/>
    <mergeCell ref="N135:O135"/>
    <mergeCell ref="P135:Q135"/>
    <mergeCell ref="R135:R136"/>
    <mergeCell ref="B136:C136"/>
    <mergeCell ref="H136:I136"/>
    <mergeCell ref="N136:O136"/>
    <mergeCell ref="A134:A143"/>
    <mergeCell ref="B134:F134"/>
    <mergeCell ref="H134:L134"/>
    <mergeCell ref="N134:R134"/>
    <mergeCell ref="T134:U134"/>
    <mergeCell ref="B135:C135"/>
    <mergeCell ref="D135:E135"/>
    <mergeCell ref="F157:F158"/>
    <mergeCell ref="H157:I157"/>
    <mergeCell ref="J157:K157"/>
    <mergeCell ref="L146:L147"/>
    <mergeCell ref="N146:O146"/>
    <mergeCell ref="P146:Q146"/>
    <mergeCell ref="R146:R147"/>
    <mergeCell ref="B147:C147"/>
    <mergeCell ref="H147:I147"/>
    <mergeCell ref="N147:O147"/>
    <mergeCell ref="A167:A176"/>
    <mergeCell ref="B167:F167"/>
    <mergeCell ref="H167:L167"/>
    <mergeCell ref="N167:R167"/>
    <mergeCell ref="T145:U145"/>
    <mergeCell ref="B146:C146"/>
    <mergeCell ref="D146:E146"/>
    <mergeCell ref="F146:F147"/>
    <mergeCell ref="H146:I146"/>
    <mergeCell ref="J146:K146"/>
    <mergeCell ref="L157:L158"/>
    <mergeCell ref="N157:O157"/>
    <mergeCell ref="P157:Q157"/>
    <mergeCell ref="R157:R158"/>
    <mergeCell ref="B158:C158"/>
    <mergeCell ref="H158:I158"/>
    <mergeCell ref="N158:O158"/>
    <mergeCell ref="A156:A165"/>
    <mergeCell ref="B156:F156"/>
    <mergeCell ref="H156:L156"/>
    <mergeCell ref="N156:R156"/>
    <mergeCell ref="T156:U156"/>
    <mergeCell ref="B157:C157"/>
    <mergeCell ref="D157:E157"/>
    <mergeCell ref="F179:F180"/>
    <mergeCell ref="H179:I179"/>
    <mergeCell ref="J179:K179"/>
    <mergeCell ref="L168:L169"/>
    <mergeCell ref="N168:O168"/>
    <mergeCell ref="P168:Q168"/>
    <mergeCell ref="R168:R169"/>
    <mergeCell ref="B169:C169"/>
    <mergeCell ref="H169:I169"/>
    <mergeCell ref="N169:O169"/>
    <mergeCell ref="A189:A198"/>
    <mergeCell ref="B189:F189"/>
    <mergeCell ref="H189:L189"/>
    <mergeCell ref="N189:R189"/>
    <mergeCell ref="T167:U167"/>
    <mergeCell ref="B168:C168"/>
    <mergeCell ref="D168:E168"/>
    <mergeCell ref="F168:F169"/>
    <mergeCell ref="H168:I168"/>
    <mergeCell ref="J168:K168"/>
    <mergeCell ref="L179:L180"/>
    <mergeCell ref="N179:O179"/>
    <mergeCell ref="P179:Q179"/>
    <mergeCell ref="R179:R180"/>
    <mergeCell ref="B180:C180"/>
    <mergeCell ref="H180:I180"/>
    <mergeCell ref="N180:O180"/>
    <mergeCell ref="A178:A187"/>
    <mergeCell ref="B178:F178"/>
    <mergeCell ref="H178:L178"/>
    <mergeCell ref="N178:R178"/>
    <mergeCell ref="T178:U178"/>
    <mergeCell ref="B179:C179"/>
    <mergeCell ref="D179:E179"/>
    <mergeCell ref="F201:F202"/>
    <mergeCell ref="H201:I201"/>
    <mergeCell ref="J201:K201"/>
    <mergeCell ref="L190:L191"/>
    <mergeCell ref="N190:O190"/>
    <mergeCell ref="P190:Q190"/>
    <mergeCell ref="R190:R191"/>
    <mergeCell ref="B191:C191"/>
    <mergeCell ref="H191:I191"/>
    <mergeCell ref="N191:O191"/>
    <mergeCell ref="A211:A220"/>
    <mergeCell ref="B211:F211"/>
    <mergeCell ref="H211:L211"/>
    <mergeCell ref="N211:R211"/>
    <mergeCell ref="T189:U189"/>
    <mergeCell ref="B190:C190"/>
    <mergeCell ref="D190:E190"/>
    <mergeCell ref="F190:F191"/>
    <mergeCell ref="H190:I190"/>
    <mergeCell ref="J190:K190"/>
    <mergeCell ref="L201:L202"/>
    <mergeCell ref="N201:O201"/>
    <mergeCell ref="P201:Q201"/>
    <mergeCell ref="R201:R202"/>
    <mergeCell ref="B202:C202"/>
    <mergeCell ref="H202:I202"/>
    <mergeCell ref="N202:O202"/>
    <mergeCell ref="A200:A209"/>
    <mergeCell ref="B200:F200"/>
    <mergeCell ref="H200:L200"/>
    <mergeCell ref="N200:R200"/>
    <mergeCell ref="T200:U200"/>
    <mergeCell ref="B201:C201"/>
    <mergeCell ref="D201:E201"/>
    <mergeCell ref="A223:A225"/>
    <mergeCell ref="B223:B225"/>
    <mergeCell ref="C223:F223"/>
    <mergeCell ref="H223:H225"/>
    <mergeCell ref="I223:I225"/>
    <mergeCell ref="J223:M223"/>
    <mergeCell ref="O223:O225"/>
    <mergeCell ref="P223:P225"/>
    <mergeCell ref="Q223:T223"/>
    <mergeCell ref="T211:U211"/>
    <mergeCell ref="B212:C212"/>
    <mergeCell ref="D212:E212"/>
    <mergeCell ref="F212:F213"/>
    <mergeCell ref="H212:I212"/>
    <mergeCell ref="J212:K212"/>
    <mergeCell ref="V223:W223"/>
    <mergeCell ref="D224:E224"/>
    <mergeCell ref="F224:F225"/>
    <mergeCell ref="K224:L224"/>
    <mergeCell ref="M224:M225"/>
    <mergeCell ref="R224:S224"/>
    <mergeCell ref="T224:T225"/>
    <mergeCell ref="V224:W224"/>
    <mergeCell ref="B221:U221"/>
    <mergeCell ref="L212:L213"/>
    <mergeCell ref="N212:O212"/>
    <mergeCell ref="P212:Q212"/>
    <mergeCell ref="R212:R213"/>
    <mergeCell ref="B213:C213"/>
    <mergeCell ref="H213:I213"/>
    <mergeCell ref="N213:O213"/>
    <mergeCell ref="V247:W247"/>
    <mergeCell ref="V248:W248"/>
    <mergeCell ref="A268:A287"/>
    <mergeCell ref="H268:H287"/>
    <mergeCell ref="O268:O287"/>
    <mergeCell ref="V271:W271"/>
    <mergeCell ref="V272:W272"/>
    <mergeCell ref="A226:A245"/>
    <mergeCell ref="H226:H245"/>
    <mergeCell ref="O226:O245"/>
    <mergeCell ref="A247:A266"/>
    <mergeCell ref="H247:H266"/>
    <mergeCell ref="O247:O266"/>
    <mergeCell ref="A331:A350"/>
    <mergeCell ref="H331:H350"/>
    <mergeCell ref="O331:O350"/>
    <mergeCell ref="A352:A371"/>
    <mergeCell ref="H352:H371"/>
    <mergeCell ref="O352:O371"/>
    <mergeCell ref="A289:A308"/>
    <mergeCell ref="H289:H308"/>
    <mergeCell ref="O289:O308"/>
    <mergeCell ref="A310:A329"/>
    <mergeCell ref="H310:H329"/>
    <mergeCell ref="O310:O329"/>
    <mergeCell ref="S374:S376"/>
    <mergeCell ref="T374:T376"/>
    <mergeCell ref="P381:P383"/>
    <mergeCell ref="B373:D373"/>
    <mergeCell ref="G373:I373"/>
    <mergeCell ref="L373:N373"/>
    <mergeCell ref="Q373:T373"/>
    <mergeCell ref="B374:C374"/>
    <mergeCell ref="D374:D375"/>
    <mergeCell ref="G374:H374"/>
    <mergeCell ref="I374:I375"/>
    <mergeCell ref="L374:M374"/>
    <mergeCell ref="N374:N375"/>
    <mergeCell ref="A384:D384"/>
    <mergeCell ref="F384:I384"/>
    <mergeCell ref="K384:N384"/>
    <mergeCell ref="A392:K392"/>
    <mergeCell ref="M392:O392"/>
    <mergeCell ref="A413:K413"/>
    <mergeCell ref="P374:P376"/>
    <mergeCell ref="Q374:Q376"/>
    <mergeCell ref="R374:R376"/>
  </mergeCells>
  <pageMargins left="0.7" right="0.7" top="0.75" bottom="0.75" header="0.3" footer="0.3"/>
  <pageSetup paperSize="9" scale="47" orientation="portrait" horizontalDpi="4294967293" r:id="rId1"/>
  <rowBreaks count="1" manualBreakCount="1">
    <brk id="19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A0F64-F634-464E-8386-299FB03C5C41}">
  <dimension ref="B7:G38"/>
  <sheetViews>
    <sheetView topLeftCell="A21" workbookViewId="0">
      <selection activeCell="H13" sqref="H13"/>
    </sheetView>
  </sheetViews>
  <sheetFormatPr defaultRowHeight="14.5" x14ac:dyDescent="0.35"/>
  <cols>
    <col min="2" max="2" width="18" customWidth="1"/>
  </cols>
  <sheetData>
    <row r="7" spans="2:7" x14ac:dyDescent="0.35">
      <c r="B7" t="s">
        <v>73</v>
      </c>
      <c r="D7" t="s">
        <v>121</v>
      </c>
      <c r="G7" t="s">
        <v>178</v>
      </c>
    </row>
    <row r="8" spans="2:7" x14ac:dyDescent="0.35">
      <c r="B8" t="s">
        <v>278</v>
      </c>
      <c r="D8" t="s">
        <v>279</v>
      </c>
      <c r="G8" t="s">
        <v>280</v>
      </c>
    </row>
    <row r="9" spans="2:7" x14ac:dyDescent="0.35">
      <c r="B9" t="s">
        <v>281</v>
      </c>
    </row>
    <row r="10" spans="2:7" x14ac:dyDescent="0.35">
      <c r="B10" t="s">
        <v>181</v>
      </c>
    </row>
    <row r="14" spans="2:7" x14ac:dyDescent="0.35">
      <c r="B14" s="699" t="s">
        <v>282</v>
      </c>
    </row>
    <row r="15" spans="2:7" x14ac:dyDescent="0.35">
      <c r="B15" s="699" t="s">
        <v>283</v>
      </c>
    </row>
    <row r="16" spans="2:7" x14ac:dyDescent="0.35">
      <c r="B16" s="699" t="s">
        <v>284</v>
      </c>
    </row>
    <row r="17" spans="2:2" x14ac:dyDescent="0.35">
      <c r="B17" s="699" t="s">
        <v>285</v>
      </c>
    </row>
    <row r="18" spans="2:2" x14ac:dyDescent="0.35">
      <c r="B18" s="699" t="s">
        <v>286</v>
      </c>
    </row>
    <row r="19" spans="2:2" x14ac:dyDescent="0.35">
      <c r="B19" s="699" t="s">
        <v>287</v>
      </c>
    </row>
    <row r="20" spans="2:2" x14ac:dyDescent="0.35">
      <c r="B20" s="699" t="s">
        <v>288</v>
      </c>
    </row>
    <row r="21" spans="2:2" x14ac:dyDescent="0.35">
      <c r="B21" s="699" t="s">
        <v>190</v>
      </c>
    </row>
    <row r="22" spans="2:2" x14ac:dyDescent="0.35">
      <c r="B22" s="699" t="s">
        <v>289</v>
      </c>
    </row>
    <row r="23" spans="2:2" x14ac:dyDescent="0.35">
      <c r="B23" s="699" t="s">
        <v>290</v>
      </c>
    </row>
    <row r="24" spans="2:2" x14ac:dyDescent="0.35">
      <c r="B24" s="699" t="s">
        <v>291</v>
      </c>
    </row>
    <row r="25" spans="2:2" x14ac:dyDescent="0.35">
      <c r="B25" s="699" t="s">
        <v>292</v>
      </c>
    </row>
    <row r="26" spans="2:2" x14ac:dyDescent="0.35">
      <c r="B26" s="699" t="s">
        <v>293</v>
      </c>
    </row>
    <row r="27" spans="2:2" x14ac:dyDescent="0.35">
      <c r="B27" s="699" t="s">
        <v>294</v>
      </c>
    </row>
    <row r="28" spans="2:2" x14ac:dyDescent="0.35">
      <c r="B28" s="699" t="s">
        <v>238</v>
      </c>
    </row>
    <row r="29" spans="2:2" x14ac:dyDescent="0.35">
      <c r="B29" s="699" t="s">
        <v>295</v>
      </c>
    </row>
    <row r="30" spans="2:2" x14ac:dyDescent="0.35">
      <c r="B30" s="699" t="s">
        <v>296</v>
      </c>
    </row>
    <row r="31" spans="2:2" x14ac:dyDescent="0.35">
      <c r="B31" s="699" t="s">
        <v>297</v>
      </c>
    </row>
    <row r="32" spans="2:2" x14ac:dyDescent="0.35">
      <c r="B32" s="699" t="s">
        <v>298</v>
      </c>
    </row>
    <row r="33" spans="2:2" x14ac:dyDescent="0.35">
      <c r="B33" s="699" t="s">
        <v>299</v>
      </c>
    </row>
    <row r="34" spans="2:2" x14ac:dyDescent="0.35">
      <c r="B34" s="699" t="s">
        <v>300</v>
      </c>
    </row>
    <row r="35" spans="2:2" x14ac:dyDescent="0.35">
      <c r="B35" s="699" t="s">
        <v>301</v>
      </c>
    </row>
    <row r="36" spans="2:2" x14ac:dyDescent="0.35">
      <c r="B36" s="699" t="s">
        <v>302</v>
      </c>
    </row>
    <row r="37" spans="2:2" x14ac:dyDescent="0.35">
      <c r="B37" s="699" t="s">
        <v>303</v>
      </c>
    </row>
    <row r="38" spans="2:2" x14ac:dyDescent="0.35">
      <c r="B38" s="699" t="s">
        <v>304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48F83-27AA-4A33-B68F-D0FC1EF53F6C}">
  <dimension ref="A1:AK69"/>
  <sheetViews>
    <sheetView zoomScale="106" zoomScaleNormal="106" workbookViewId="0">
      <selection activeCell="Z60" sqref="Z60:Z64"/>
    </sheetView>
  </sheetViews>
  <sheetFormatPr defaultColWidth="9.1796875" defaultRowHeight="12.5" x14ac:dyDescent="0.25"/>
  <cols>
    <col min="1" max="1" width="4.1796875" style="73" customWidth="1"/>
    <col min="2" max="2" width="17.453125" style="73" customWidth="1"/>
    <col min="3" max="3" width="10.7265625" style="73" customWidth="1"/>
    <col min="4" max="5" width="9.1796875" style="73"/>
    <col min="6" max="6" width="10" style="73" bestFit="1" customWidth="1"/>
    <col min="7" max="7" width="9.1796875" style="73"/>
    <col min="8" max="8" width="2.81640625" style="73" customWidth="1"/>
    <col min="9" max="9" width="3.7265625" style="73" customWidth="1"/>
    <col min="10" max="10" width="17.54296875" style="73" customWidth="1"/>
    <col min="11" max="15" width="9.1796875" style="73"/>
    <col min="16" max="16" width="1.7265625" style="73" customWidth="1"/>
    <col min="17" max="17" width="3.7265625" style="73" customWidth="1"/>
    <col min="18" max="18" width="18.1796875" style="73" customWidth="1"/>
    <col min="19" max="24" width="9.1796875" style="73"/>
    <col min="25" max="25" width="10" style="73" customWidth="1"/>
    <col min="26" max="27" width="12" style="73" customWidth="1"/>
    <col min="28" max="37" width="12.1796875" style="73" customWidth="1"/>
    <col min="38" max="16384" width="9.1796875" style="73"/>
  </cols>
  <sheetData>
    <row r="1" spans="1:31" ht="13" x14ac:dyDescent="0.3">
      <c r="B1" s="356" t="s">
        <v>65</v>
      </c>
    </row>
    <row r="4" spans="1:31" s="518" customFormat="1" ht="27" customHeight="1" x14ac:dyDescent="0.2">
      <c r="A4" s="794">
        <v>1</v>
      </c>
      <c r="B4" s="804" t="str">
        <f>B62</f>
        <v>A</v>
      </c>
      <c r="C4" s="804"/>
      <c r="D4" s="804"/>
      <c r="E4" s="804"/>
      <c r="F4" s="804"/>
      <c r="G4" s="804"/>
      <c r="H4" s="517"/>
      <c r="I4" s="794">
        <v>2</v>
      </c>
      <c r="J4" s="804" t="str">
        <f>B63</f>
        <v>B</v>
      </c>
      <c r="K4" s="804"/>
      <c r="L4" s="804"/>
      <c r="M4" s="804"/>
      <c r="N4" s="804"/>
      <c r="O4" s="804"/>
      <c r="P4" s="517"/>
      <c r="Q4" s="794">
        <v>3</v>
      </c>
      <c r="R4" s="804" t="str">
        <f>B64</f>
        <v>C</v>
      </c>
      <c r="S4" s="804"/>
      <c r="T4" s="804"/>
      <c r="U4" s="804"/>
      <c r="V4" s="804"/>
      <c r="W4" s="804"/>
    </row>
    <row r="5" spans="1:31" s="518" customFormat="1" ht="10.5" x14ac:dyDescent="0.25">
      <c r="A5" s="795"/>
      <c r="B5" s="809" t="s">
        <v>66</v>
      </c>
      <c r="C5" s="798"/>
      <c r="D5" s="798"/>
      <c r="E5" s="798"/>
      <c r="F5" s="519" t="s">
        <v>4</v>
      </c>
      <c r="G5" s="519" t="s">
        <v>67</v>
      </c>
      <c r="H5" s="517"/>
      <c r="I5" s="795"/>
      <c r="J5" s="798" t="s">
        <v>66</v>
      </c>
      <c r="K5" s="798"/>
      <c r="L5" s="798"/>
      <c r="M5" s="798"/>
      <c r="N5" s="519" t="s">
        <v>4</v>
      </c>
      <c r="O5" s="519" t="s">
        <v>67</v>
      </c>
      <c r="P5" s="517"/>
      <c r="Q5" s="795"/>
      <c r="R5" s="798" t="s">
        <v>66</v>
      </c>
      <c r="S5" s="798"/>
      <c r="T5" s="798"/>
      <c r="U5" s="798"/>
      <c r="V5" s="519" t="s">
        <v>4</v>
      </c>
      <c r="W5" s="519" t="s">
        <v>67</v>
      </c>
      <c r="Y5" s="805"/>
      <c r="Z5" s="805"/>
      <c r="AA5" s="805"/>
      <c r="AB5" s="805"/>
      <c r="AC5" s="805"/>
      <c r="AD5" s="806"/>
      <c r="AE5" s="806"/>
    </row>
    <row r="6" spans="1:31" s="518" customFormat="1" ht="15.75" customHeight="1" x14ac:dyDescent="0.2">
      <c r="A6" s="795"/>
      <c r="B6" s="807" t="s">
        <v>68</v>
      </c>
      <c r="C6" s="793"/>
      <c r="D6" s="793"/>
      <c r="E6" s="793"/>
      <c r="F6" s="519"/>
      <c r="G6" s="519"/>
      <c r="H6" s="517"/>
      <c r="I6" s="795"/>
      <c r="J6" s="793" t="s">
        <v>68</v>
      </c>
      <c r="K6" s="793"/>
      <c r="L6" s="793"/>
      <c r="M6" s="793"/>
      <c r="N6" s="519"/>
      <c r="O6" s="519"/>
      <c r="P6" s="517"/>
      <c r="Q6" s="795"/>
      <c r="R6" s="793" t="s">
        <v>68</v>
      </c>
      <c r="S6" s="793"/>
      <c r="T6" s="793"/>
      <c r="U6" s="793"/>
      <c r="V6" s="519"/>
      <c r="W6" s="519"/>
      <c r="Y6" s="808"/>
      <c r="Z6" s="808"/>
      <c r="AA6" s="808"/>
      <c r="AB6" s="808"/>
      <c r="AC6" s="808"/>
      <c r="AD6" s="806"/>
      <c r="AE6" s="806"/>
    </row>
    <row r="7" spans="1:31" s="518" customFormat="1" ht="10.5" x14ac:dyDescent="0.2">
      <c r="A7" s="795"/>
      <c r="B7" s="520" t="s">
        <v>69</v>
      </c>
      <c r="C7" s="521">
        <v>2017</v>
      </c>
      <c r="D7" s="521">
        <v>2017</v>
      </c>
      <c r="E7" s="519">
        <v>2018</v>
      </c>
      <c r="F7" s="519"/>
      <c r="G7" s="519"/>
      <c r="H7" s="517"/>
      <c r="I7" s="795"/>
      <c r="J7" s="520" t="s">
        <v>69</v>
      </c>
      <c r="K7" s="521">
        <v>2017</v>
      </c>
      <c r="L7" s="521">
        <v>2017</v>
      </c>
      <c r="M7" s="519">
        <v>2020</v>
      </c>
      <c r="N7" s="519"/>
      <c r="O7" s="519"/>
      <c r="P7" s="517"/>
      <c r="Q7" s="795"/>
      <c r="R7" s="520" t="s">
        <v>69</v>
      </c>
      <c r="S7" s="521">
        <v>2017</v>
      </c>
      <c r="T7" s="521">
        <v>2017</v>
      </c>
      <c r="U7" s="519">
        <v>2020</v>
      </c>
      <c r="V7" s="519"/>
      <c r="W7" s="519"/>
      <c r="Y7" s="522"/>
      <c r="Z7" s="523"/>
      <c r="AA7" s="523"/>
      <c r="AB7" s="523"/>
      <c r="AC7" s="524"/>
      <c r="AD7" s="806"/>
      <c r="AE7" s="806"/>
    </row>
    <row r="8" spans="1:31" s="518" customFormat="1" ht="10.5" x14ac:dyDescent="0.2">
      <c r="A8" s="795"/>
      <c r="B8" s="525">
        <v>0</v>
      </c>
      <c r="C8" s="526" t="s">
        <v>10</v>
      </c>
      <c r="D8" s="526" t="s">
        <v>10</v>
      </c>
      <c r="E8" s="526">
        <v>7.1510000000000002E-3</v>
      </c>
      <c r="F8" s="527">
        <f>0.5*(MAX(C8:E8)-MIN(C8:E8))</f>
        <v>0</v>
      </c>
      <c r="G8" s="526">
        <v>1.5999999999999999E-5</v>
      </c>
      <c r="H8" s="517"/>
      <c r="I8" s="795"/>
      <c r="J8" s="528"/>
      <c r="K8" s="521"/>
      <c r="L8" s="521"/>
      <c r="M8" s="519"/>
      <c r="N8" s="519"/>
      <c r="O8" s="519"/>
      <c r="P8" s="517"/>
      <c r="Q8" s="795"/>
      <c r="R8" s="528"/>
      <c r="S8" s="521"/>
      <c r="T8" s="521"/>
      <c r="U8" s="519"/>
      <c r="V8" s="519"/>
      <c r="W8" s="519"/>
      <c r="Y8" s="522"/>
      <c r="Z8" s="523"/>
      <c r="AA8" s="523"/>
      <c r="AB8" s="523"/>
      <c r="AC8" s="524"/>
      <c r="AD8" s="524"/>
      <c r="AE8" s="524"/>
    </row>
    <row r="9" spans="1:31" s="518" customFormat="1" ht="10.5" x14ac:dyDescent="0.2">
      <c r="A9" s="795"/>
      <c r="B9" s="529">
        <v>0.01</v>
      </c>
      <c r="C9" s="526" t="s">
        <v>10</v>
      </c>
      <c r="D9" s="526" t="s">
        <v>10</v>
      </c>
      <c r="E9" s="526">
        <v>6.901E-3</v>
      </c>
      <c r="F9" s="527">
        <f t="shared" ref="F9:F13" si="0">0.5*(MAX(C9:E9)-MIN(C9:E9))</f>
        <v>0</v>
      </c>
      <c r="G9" s="526">
        <v>1.8E-5</v>
      </c>
      <c r="H9" s="517"/>
      <c r="I9" s="795"/>
      <c r="J9" s="529">
        <v>0.01</v>
      </c>
      <c r="K9" s="526" t="s">
        <v>10</v>
      </c>
      <c r="L9" s="526" t="s">
        <v>10</v>
      </c>
      <c r="M9" s="526">
        <v>-4.0000000000000002E-4</v>
      </c>
      <c r="N9" s="526">
        <f t="shared" ref="N9:N13" si="1">0.5*(MAX(K9:M9)-MIN(K9:M9))</f>
        <v>0</v>
      </c>
      <c r="O9" s="526">
        <v>5.1999999999999995E-4</v>
      </c>
      <c r="P9" s="517"/>
      <c r="Q9" s="795"/>
      <c r="R9" s="529">
        <v>0.01</v>
      </c>
      <c r="S9" s="526" t="s">
        <v>10</v>
      </c>
      <c r="T9" s="526" t="s">
        <v>10</v>
      </c>
      <c r="U9" s="526">
        <v>-2.9999999999999997E-4</v>
      </c>
      <c r="V9" s="526">
        <f t="shared" ref="V9:V13" si="2">0.5*(MAX(S9:U9)-MIN(S9:U9))</f>
        <v>0</v>
      </c>
      <c r="W9" s="526">
        <v>5.1999999999999995E-4</v>
      </c>
      <c r="Y9" s="530"/>
      <c r="Z9" s="523"/>
      <c r="AA9" s="523"/>
      <c r="AB9" s="523"/>
      <c r="AC9" s="524"/>
      <c r="AD9" s="524"/>
      <c r="AE9" s="524"/>
    </row>
    <row r="10" spans="1:31" s="518" customFormat="1" ht="10.5" x14ac:dyDescent="0.2">
      <c r="A10" s="795"/>
      <c r="B10" s="529">
        <v>0.1</v>
      </c>
      <c r="C10" s="526" t="s">
        <v>10</v>
      </c>
      <c r="D10" s="526" t="s">
        <v>10</v>
      </c>
      <c r="E10" s="526">
        <v>7.4840000000000002E-3</v>
      </c>
      <c r="F10" s="527">
        <f t="shared" si="0"/>
        <v>0</v>
      </c>
      <c r="G10" s="526">
        <v>2.0999999999999999E-5</v>
      </c>
      <c r="H10" s="517"/>
      <c r="I10" s="795"/>
      <c r="J10" s="529">
        <v>0.1</v>
      </c>
      <c r="K10" s="526" t="s">
        <v>10</v>
      </c>
      <c r="L10" s="526" t="s">
        <v>10</v>
      </c>
      <c r="M10" s="526">
        <v>-2.0000000000000001E-4</v>
      </c>
      <c r="N10" s="526">
        <f t="shared" si="1"/>
        <v>0</v>
      </c>
      <c r="O10" s="526">
        <v>5.1999999999999995E-4</v>
      </c>
      <c r="P10" s="517"/>
      <c r="Q10" s="795"/>
      <c r="R10" s="529">
        <v>0.1</v>
      </c>
      <c r="S10" s="526" t="s">
        <v>10</v>
      </c>
      <c r="T10" s="526" t="s">
        <v>10</v>
      </c>
      <c r="U10" s="531">
        <v>0</v>
      </c>
      <c r="V10" s="526">
        <f t="shared" si="2"/>
        <v>0</v>
      </c>
      <c r="W10" s="526">
        <v>5.1999999999999995E-4</v>
      </c>
      <c r="Y10" s="530"/>
      <c r="Z10" s="523"/>
      <c r="AA10" s="523"/>
      <c r="AB10" s="523"/>
      <c r="AC10" s="524"/>
      <c r="AD10" s="524"/>
      <c r="AE10" s="524"/>
    </row>
    <row r="11" spans="1:31" s="518" customFormat="1" ht="10.5" x14ac:dyDescent="0.2">
      <c r="A11" s="795"/>
      <c r="B11" s="529">
        <v>1</v>
      </c>
      <c r="C11" s="526" t="s">
        <v>10</v>
      </c>
      <c r="D11" s="526" t="s">
        <v>10</v>
      </c>
      <c r="E11" s="526">
        <v>6.7499999999999999E-3</v>
      </c>
      <c r="F11" s="527">
        <f t="shared" si="0"/>
        <v>0</v>
      </c>
      <c r="G11" s="526">
        <v>4.0000000000000003E-5</v>
      </c>
      <c r="H11" s="517"/>
      <c r="I11" s="795"/>
      <c r="J11" s="529">
        <v>1</v>
      </c>
      <c r="K11" s="526" t="s">
        <v>10</v>
      </c>
      <c r="L11" s="526" t="s">
        <v>10</v>
      </c>
      <c r="M11" s="531">
        <v>0</v>
      </c>
      <c r="N11" s="526">
        <f t="shared" si="1"/>
        <v>0</v>
      </c>
      <c r="O11" s="526">
        <v>5.1999999999999995E-4</v>
      </c>
      <c r="P11" s="517"/>
      <c r="Q11" s="795"/>
      <c r="R11" s="529">
        <v>1</v>
      </c>
      <c r="S11" s="526" t="s">
        <v>10</v>
      </c>
      <c r="T11" s="526" t="s">
        <v>10</v>
      </c>
      <c r="U11" s="526">
        <v>2.9999999999999997E-4</v>
      </c>
      <c r="V11" s="526">
        <f t="shared" si="2"/>
        <v>0</v>
      </c>
      <c r="W11" s="526">
        <v>5.1999999999999995E-4</v>
      </c>
      <c r="Y11" s="530"/>
      <c r="Z11" s="523"/>
      <c r="AA11" s="523"/>
      <c r="AB11" s="523"/>
      <c r="AC11" s="524"/>
      <c r="AD11" s="524"/>
      <c r="AE11" s="524"/>
    </row>
    <row r="12" spans="1:31" s="518" customFormat="1" ht="10.5" x14ac:dyDescent="0.2">
      <c r="A12" s="795"/>
      <c r="B12" s="529">
        <v>2</v>
      </c>
      <c r="C12" s="526" t="s">
        <v>10</v>
      </c>
      <c r="D12" s="526" t="s">
        <v>10</v>
      </c>
      <c r="E12" s="526">
        <v>6.5599999999999999E-3</v>
      </c>
      <c r="F12" s="527">
        <f t="shared" si="0"/>
        <v>0</v>
      </c>
      <c r="G12" s="526">
        <v>1.2E-4</v>
      </c>
      <c r="H12" s="517"/>
      <c r="I12" s="795"/>
      <c r="J12" s="529">
        <v>2</v>
      </c>
      <c r="K12" s="526" t="s">
        <v>10</v>
      </c>
      <c r="L12" s="526" t="s">
        <v>10</v>
      </c>
      <c r="M12" s="526">
        <v>2.9999999999999997E-4</v>
      </c>
      <c r="N12" s="526">
        <f t="shared" si="1"/>
        <v>0</v>
      </c>
      <c r="O12" s="526">
        <v>5.1999999999999995E-4</v>
      </c>
      <c r="P12" s="517"/>
      <c r="Q12" s="795"/>
      <c r="R12" s="529">
        <v>2</v>
      </c>
      <c r="S12" s="526" t="s">
        <v>10</v>
      </c>
      <c r="T12" s="526" t="s">
        <v>10</v>
      </c>
      <c r="U12" s="526">
        <v>2.9999999999999997E-4</v>
      </c>
      <c r="V12" s="526">
        <f t="shared" si="2"/>
        <v>0</v>
      </c>
      <c r="W12" s="526">
        <v>5.1999999999999995E-4</v>
      </c>
      <c r="Y12" s="530"/>
      <c r="Z12" s="523"/>
      <c r="AA12" s="523"/>
      <c r="AB12" s="523"/>
      <c r="AC12" s="524"/>
      <c r="AD12" s="524"/>
      <c r="AE12" s="524"/>
    </row>
    <row r="13" spans="1:31" s="518" customFormat="1" ht="10.5" x14ac:dyDescent="0.2">
      <c r="A13" s="795"/>
      <c r="B13" s="529">
        <v>3</v>
      </c>
      <c r="C13" s="526" t="s">
        <v>10</v>
      </c>
      <c r="D13" s="526" t="s">
        <v>10</v>
      </c>
      <c r="E13" s="526">
        <v>7.11E-3</v>
      </c>
      <c r="F13" s="527">
        <f t="shared" si="0"/>
        <v>0</v>
      </c>
      <c r="G13" s="526">
        <v>1.2999999999999999E-4</v>
      </c>
      <c r="H13" s="517"/>
      <c r="I13" s="795"/>
      <c r="J13" s="529">
        <v>3</v>
      </c>
      <c r="K13" s="526" t="s">
        <v>10</v>
      </c>
      <c r="L13" s="526" t="s">
        <v>10</v>
      </c>
      <c r="M13" s="526">
        <v>5.9999999999999995E-4</v>
      </c>
      <c r="N13" s="526">
        <f t="shared" si="1"/>
        <v>0</v>
      </c>
      <c r="O13" s="526">
        <v>5.1999999999999995E-4</v>
      </c>
      <c r="P13" s="517"/>
      <c r="Q13" s="795"/>
      <c r="R13" s="529">
        <v>3</v>
      </c>
      <c r="S13" s="526" t="s">
        <v>10</v>
      </c>
      <c r="T13" s="526" t="s">
        <v>10</v>
      </c>
      <c r="U13" s="526">
        <v>-1E-4</v>
      </c>
      <c r="V13" s="526">
        <f t="shared" si="2"/>
        <v>0</v>
      </c>
      <c r="W13" s="526">
        <v>5.1999999999999995E-4</v>
      </c>
      <c r="Y13" s="530"/>
      <c r="Z13" s="523"/>
      <c r="AA13" s="523"/>
      <c r="AB13" s="523"/>
      <c r="AC13" s="524"/>
      <c r="AD13" s="524"/>
      <c r="AE13" s="524"/>
    </row>
    <row r="14" spans="1:31" s="518" customFormat="1" ht="10.5" x14ac:dyDescent="0.2">
      <c r="A14" s="795"/>
      <c r="B14" s="525">
        <v>500</v>
      </c>
      <c r="C14" s="526" t="s">
        <v>10</v>
      </c>
      <c r="D14" s="526" t="s">
        <v>10</v>
      </c>
      <c r="E14" s="526">
        <v>8.9999999999999993E-3</v>
      </c>
      <c r="F14" s="527">
        <f>0.5*(MAX(C14:E14)-MIN(C14:E14))</f>
        <v>0</v>
      </c>
      <c r="G14" s="526">
        <v>1.2999999999999999E-2</v>
      </c>
      <c r="H14" s="517"/>
      <c r="I14" s="795"/>
      <c r="J14" s="529">
        <v>500</v>
      </c>
      <c r="K14" s="526" t="s">
        <v>10</v>
      </c>
      <c r="L14" s="526" t="s">
        <v>10</v>
      </c>
      <c r="M14" s="526">
        <v>-1E-3</v>
      </c>
      <c r="N14" s="526">
        <f>0.5*(MAX(K14:M14)-MIN(K14:M14))</f>
        <v>0</v>
      </c>
      <c r="O14" s="526">
        <f>K17</f>
        <v>5.2000000000000006E-4</v>
      </c>
      <c r="P14" s="517"/>
      <c r="Q14" s="795"/>
      <c r="R14" s="529">
        <v>500</v>
      </c>
      <c r="S14" s="526" t="s">
        <v>10</v>
      </c>
      <c r="T14" s="526" t="s">
        <v>10</v>
      </c>
      <c r="U14" s="526">
        <v>-1.6E-2</v>
      </c>
      <c r="V14" s="526">
        <f>0.5*(MAX(S14:U14)-MIN(S14:U14))</f>
        <v>0</v>
      </c>
      <c r="W14" s="526">
        <f>K17</f>
        <v>5.2000000000000006E-4</v>
      </c>
      <c r="Y14" s="532"/>
      <c r="Z14" s="533"/>
      <c r="AA14" s="533"/>
      <c r="AB14" s="533"/>
      <c r="AC14" s="533"/>
      <c r="AD14" s="533"/>
      <c r="AE14" s="533"/>
    </row>
    <row r="15" spans="1:31" s="518" customFormat="1" ht="10.5" x14ac:dyDescent="0.2">
      <c r="A15" s="796"/>
      <c r="B15" s="525">
        <v>1000</v>
      </c>
      <c r="C15" s="526" t="s">
        <v>10</v>
      </c>
      <c r="D15" s="526" t="s">
        <v>10</v>
      </c>
      <c r="E15" s="526">
        <v>0.04</v>
      </c>
      <c r="F15" s="527">
        <f>0.5*(MAX(C15:E15)-MIN(C15:E15))</f>
        <v>0</v>
      </c>
      <c r="G15" s="526">
        <v>0.02</v>
      </c>
      <c r="H15" s="517"/>
      <c r="I15" s="796"/>
      <c r="J15" s="529">
        <v>1000</v>
      </c>
      <c r="K15" s="526" t="s">
        <v>10</v>
      </c>
      <c r="L15" s="526" t="s">
        <v>10</v>
      </c>
      <c r="M15" s="526">
        <v>2.8000000000000001E-2</v>
      </c>
      <c r="N15" s="526">
        <f>0.5*(MAX(K15:M15)-MIN(K15:M15))</f>
        <v>0</v>
      </c>
      <c r="O15" s="526">
        <f>K17</f>
        <v>5.2000000000000006E-4</v>
      </c>
      <c r="P15" s="517"/>
      <c r="Q15" s="796"/>
      <c r="R15" s="529">
        <v>1000</v>
      </c>
      <c r="S15" s="526" t="s">
        <v>10</v>
      </c>
      <c r="T15" s="526" t="s">
        <v>10</v>
      </c>
      <c r="U15" s="526">
        <v>-3.0000000000000001E-3</v>
      </c>
      <c r="V15" s="526">
        <f>0.5*(MAX(S15:U15)-MIN(S15:U15))</f>
        <v>0</v>
      </c>
      <c r="W15" s="526">
        <f>K17</f>
        <v>5.2000000000000006E-4</v>
      </c>
      <c r="Y15" s="532"/>
      <c r="Z15" s="533"/>
      <c r="AA15" s="533"/>
      <c r="AB15" s="533"/>
      <c r="AC15" s="533"/>
      <c r="AD15" s="533"/>
      <c r="AE15" s="533"/>
    </row>
    <row r="16" spans="1:31" s="518" customFormat="1" ht="10" x14ac:dyDescent="0.2"/>
    <row r="17" spans="1:27" s="518" customFormat="1" ht="10" x14ac:dyDescent="0.2">
      <c r="J17" s="518" t="s">
        <v>70</v>
      </c>
      <c r="K17" s="518">
        <f>(20/1000000)+(0.5/1000)</f>
        <v>5.2000000000000006E-4</v>
      </c>
    </row>
    <row r="18" spans="1:27" s="518" customFormat="1" ht="10" hidden="1" x14ac:dyDescent="0.2"/>
    <row r="19" spans="1:27" s="518" customFormat="1" ht="10" hidden="1" x14ac:dyDescent="0.2"/>
    <row r="20" spans="1:27" s="518" customFormat="1" ht="10" hidden="1" x14ac:dyDescent="0.2"/>
    <row r="21" spans="1:27" s="518" customFormat="1" ht="10" hidden="1" x14ac:dyDescent="0.2"/>
    <row r="22" spans="1:27" s="518" customFormat="1" ht="10" hidden="1" x14ac:dyDescent="0.2"/>
    <row r="23" spans="1:27" s="518" customFormat="1" ht="10" x14ac:dyDescent="0.2"/>
    <row r="24" spans="1:27" s="518" customFormat="1" ht="10" x14ac:dyDescent="0.2"/>
    <row r="25" spans="1:27" s="518" customFormat="1" ht="27.75" customHeight="1" x14ac:dyDescent="0.2">
      <c r="A25" s="794">
        <v>4</v>
      </c>
      <c r="B25" s="804" t="str">
        <f>B65</f>
        <v>D</v>
      </c>
      <c r="C25" s="804"/>
      <c r="D25" s="804"/>
      <c r="E25" s="804"/>
      <c r="F25" s="804"/>
      <c r="G25" s="804"/>
      <c r="H25" s="517"/>
      <c r="I25" s="794">
        <v>5</v>
      </c>
      <c r="J25" s="804" t="str">
        <f>B66</f>
        <v>E</v>
      </c>
      <c r="K25" s="804"/>
      <c r="L25" s="804"/>
      <c r="M25" s="804"/>
      <c r="N25" s="804"/>
      <c r="O25" s="804"/>
      <c r="P25" s="517"/>
      <c r="Q25" s="794">
        <v>6</v>
      </c>
      <c r="R25" s="797" t="str">
        <f>B67</f>
        <v>F</v>
      </c>
      <c r="S25" s="797"/>
      <c r="T25" s="797"/>
      <c r="U25" s="797"/>
      <c r="V25" s="797"/>
      <c r="W25" s="797"/>
    </row>
    <row r="26" spans="1:27" s="518" customFormat="1" ht="10.5" x14ac:dyDescent="0.25">
      <c r="A26" s="795"/>
      <c r="B26" s="798" t="s">
        <v>66</v>
      </c>
      <c r="C26" s="798"/>
      <c r="D26" s="798"/>
      <c r="E26" s="798"/>
      <c r="F26" s="519" t="s">
        <v>4</v>
      </c>
      <c r="G26" s="519" t="s">
        <v>67</v>
      </c>
      <c r="H26" s="517"/>
      <c r="I26" s="795"/>
      <c r="J26" s="798" t="s">
        <v>66</v>
      </c>
      <c r="K26" s="798"/>
      <c r="L26" s="798"/>
      <c r="M26" s="798"/>
      <c r="N26" s="519" t="s">
        <v>4</v>
      </c>
      <c r="O26" s="519" t="s">
        <v>67</v>
      </c>
      <c r="P26" s="517"/>
      <c r="Q26" s="795"/>
      <c r="R26" s="798" t="s">
        <v>66</v>
      </c>
      <c r="S26" s="798"/>
      <c r="T26" s="798"/>
      <c r="U26" s="798"/>
      <c r="V26" s="519" t="s">
        <v>4</v>
      </c>
      <c r="W26" s="519" t="s">
        <v>67</v>
      </c>
    </row>
    <row r="27" spans="1:27" s="518" customFormat="1" ht="10.5" x14ac:dyDescent="0.2">
      <c r="A27" s="795"/>
      <c r="B27" s="793" t="s">
        <v>68</v>
      </c>
      <c r="C27" s="793"/>
      <c r="D27" s="793"/>
      <c r="E27" s="793"/>
      <c r="F27" s="519"/>
      <c r="G27" s="519"/>
      <c r="H27" s="517"/>
      <c r="I27" s="795"/>
      <c r="J27" s="793" t="s">
        <v>68</v>
      </c>
      <c r="K27" s="793"/>
      <c r="L27" s="793"/>
      <c r="M27" s="793"/>
      <c r="N27" s="519"/>
      <c r="O27" s="519"/>
      <c r="P27" s="517"/>
      <c r="Q27" s="795"/>
      <c r="R27" s="793" t="s">
        <v>68</v>
      </c>
      <c r="S27" s="793"/>
      <c r="T27" s="793"/>
      <c r="U27" s="793"/>
      <c r="V27" s="519"/>
      <c r="W27" s="519"/>
    </row>
    <row r="28" spans="1:27" s="518" customFormat="1" ht="10.5" x14ac:dyDescent="0.2">
      <c r="A28" s="795"/>
      <c r="B28" s="520" t="s">
        <v>69</v>
      </c>
      <c r="C28" s="521">
        <v>2017</v>
      </c>
      <c r="D28" s="521">
        <v>2017</v>
      </c>
      <c r="E28" s="519">
        <v>2020</v>
      </c>
      <c r="F28" s="519"/>
      <c r="G28" s="519"/>
      <c r="H28" s="517"/>
      <c r="I28" s="795"/>
      <c r="J28" s="520" t="s">
        <v>69</v>
      </c>
      <c r="K28" s="521">
        <v>2017</v>
      </c>
      <c r="L28" s="521">
        <v>2017</v>
      </c>
      <c r="M28" s="519">
        <v>2020</v>
      </c>
      <c r="N28" s="519"/>
      <c r="O28" s="519"/>
      <c r="P28" s="517"/>
      <c r="Q28" s="795"/>
      <c r="R28" s="520" t="s">
        <v>69</v>
      </c>
      <c r="S28" s="521">
        <v>2017</v>
      </c>
      <c r="T28" s="521">
        <v>2017</v>
      </c>
      <c r="U28" s="519">
        <v>2021</v>
      </c>
      <c r="V28" s="519"/>
      <c r="W28" s="519"/>
    </row>
    <row r="29" spans="1:27" s="518" customFormat="1" ht="10.5" x14ac:dyDescent="0.2">
      <c r="A29" s="795"/>
      <c r="B29" s="529">
        <v>0.01</v>
      </c>
      <c r="C29" s="526" t="s">
        <v>10</v>
      </c>
      <c r="D29" s="526" t="s">
        <v>10</v>
      </c>
      <c r="E29" s="531">
        <v>-2.0000000000000001E-4</v>
      </c>
      <c r="F29" s="526">
        <f t="shared" ref="F29:F33" si="3">0.5*(MAX(C29:E29)-MIN(C29:E29))</f>
        <v>0</v>
      </c>
      <c r="G29" s="526">
        <v>5.1999999999999995E-4</v>
      </c>
      <c r="H29" s="517"/>
      <c r="I29" s="795"/>
      <c r="J29" s="529">
        <v>0.01</v>
      </c>
      <c r="K29" s="526" t="s">
        <v>10</v>
      </c>
      <c r="L29" s="526" t="s">
        <v>10</v>
      </c>
      <c r="M29" s="531">
        <v>0</v>
      </c>
      <c r="N29" s="526">
        <f t="shared" ref="N29:N33" si="4">0.5*(MAX(K29:M29)-MIN(K29:M29))</f>
        <v>0</v>
      </c>
      <c r="O29" s="534">
        <f t="shared" ref="O29:O33" si="5">(20/1000000)+(0.5/1000)</f>
        <v>5.2000000000000006E-4</v>
      </c>
      <c r="P29" s="517"/>
      <c r="Q29" s="795"/>
      <c r="R29" s="529">
        <v>0.01</v>
      </c>
      <c r="S29" s="526" t="s">
        <v>10</v>
      </c>
      <c r="T29" s="526" t="s">
        <v>10</v>
      </c>
      <c r="U29" s="526">
        <v>-2.0000000000000001E-4</v>
      </c>
      <c r="V29" s="535">
        <f>0.5*(MAX(S29:U29)-MIN(S29:U29))</f>
        <v>0</v>
      </c>
      <c r="W29" s="526">
        <v>5.1999999999999995E-4</v>
      </c>
      <c r="X29" s="518">
        <f>9.8/1000</f>
        <v>9.8000000000000014E-3</v>
      </c>
      <c r="Y29" s="518">
        <f>X29-R29</f>
        <v>-1.9999999999999879E-4</v>
      </c>
      <c r="Z29" s="518">
        <f>20/1000000</f>
        <v>2.0000000000000002E-5</v>
      </c>
      <c r="AA29" s="518">
        <f>0.5/1000</f>
        <v>5.0000000000000001E-4</v>
      </c>
    </row>
    <row r="30" spans="1:27" s="518" customFormat="1" ht="10.5" x14ac:dyDescent="0.2">
      <c r="A30" s="795"/>
      <c r="B30" s="529">
        <v>0.1</v>
      </c>
      <c r="C30" s="526" t="s">
        <v>10</v>
      </c>
      <c r="D30" s="526" t="s">
        <v>10</v>
      </c>
      <c r="E30" s="531">
        <v>-1E-4</v>
      </c>
      <c r="F30" s="526">
        <f t="shared" si="3"/>
        <v>0</v>
      </c>
      <c r="G30" s="526">
        <v>5.1999999999999995E-4</v>
      </c>
      <c r="H30" s="517"/>
      <c r="I30" s="795"/>
      <c r="J30" s="529">
        <v>0.1</v>
      </c>
      <c r="K30" s="526" t="s">
        <v>10</v>
      </c>
      <c r="L30" s="526" t="s">
        <v>10</v>
      </c>
      <c r="M30" s="531">
        <v>-2.9999999999999997E-4</v>
      </c>
      <c r="N30" s="526">
        <f t="shared" si="4"/>
        <v>0</v>
      </c>
      <c r="O30" s="534">
        <f t="shared" si="5"/>
        <v>5.2000000000000006E-4</v>
      </c>
      <c r="P30" s="517"/>
      <c r="Q30" s="795"/>
      <c r="R30" s="529">
        <v>0.1</v>
      </c>
      <c r="S30" s="526" t="s">
        <v>10</v>
      </c>
      <c r="T30" s="526" t="s">
        <v>10</v>
      </c>
      <c r="U30" s="526">
        <v>4.0000000000000002E-4</v>
      </c>
      <c r="V30" s="535">
        <f t="shared" ref="V30:V35" si="6">0.5*(MAX(S30:U30)-MIN(S30:U30))</f>
        <v>0</v>
      </c>
      <c r="W30" s="526">
        <v>5.1999999999999995E-4</v>
      </c>
      <c r="X30" s="518">
        <f>100.4/1000</f>
        <v>0.1004</v>
      </c>
      <c r="Y30" s="518">
        <f>X30-R30</f>
        <v>3.9999999999999758E-4</v>
      </c>
      <c r="AA30" s="518">
        <f>Z29+AA29</f>
        <v>5.2000000000000006E-4</v>
      </c>
    </row>
    <row r="31" spans="1:27" s="518" customFormat="1" ht="10.5" x14ac:dyDescent="0.2">
      <c r="A31" s="795"/>
      <c r="B31" s="529">
        <v>1</v>
      </c>
      <c r="C31" s="526" t="s">
        <v>10</v>
      </c>
      <c r="D31" s="526" t="s">
        <v>10</v>
      </c>
      <c r="E31" s="531">
        <v>2.0000000000000001E-4</v>
      </c>
      <c r="F31" s="526">
        <f t="shared" si="3"/>
        <v>0</v>
      </c>
      <c r="G31" s="526">
        <v>5.1999999999999995E-4</v>
      </c>
      <c r="H31" s="517"/>
      <c r="I31" s="795"/>
      <c r="J31" s="529">
        <v>1</v>
      </c>
      <c r="K31" s="526" t="s">
        <v>10</v>
      </c>
      <c r="L31" s="526" t="s">
        <v>10</v>
      </c>
      <c r="M31" s="531">
        <v>4.0000000000000002E-4</v>
      </c>
      <c r="N31" s="526">
        <f t="shared" si="4"/>
        <v>0</v>
      </c>
      <c r="O31" s="534">
        <f t="shared" si="5"/>
        <v>5.2000000000000006E-4</v>
      </c>
      <c r="P31" s="517"/>
      <c r="Q31" s="795"/>
      <c r="R31" s="529">
        <v>1</v>
      </c>
      <c r="S31" s="526" t="s">
        <v>10</v>
      </c>
      <c r="T31" s="526" t="s">
        <v>10</v>
      </c>
      <c r="U31" s="526">
        <v>5.0000000000000001E-4</v>
      </c>
      <c r="V31" s="535">
        <f t="shared" si="6"/>
        <v>0</v>
      </c>
      <c r="W31" s="526">
        <v>5.1999999999999995E-4</v>
      </c>
      <c r="X31" s="518">
        <v>1.0004999999999999</v>
      </c>
      <c r="Y31" s="518">
        <f>X31-R31</f>
        <v>4.9999999999994493E-4</v>
      </c>
    </row>
    <row r="32" spans="1:27" s="518" customFormat="1" ht="10.5" x14ac:dyDescent="0.2">
      <c r="A32" s="795"/>
      <c r="B32" s="529">
        <v>2</v>
      </c>
      <c r="C32" s="526" t="s">
        <v>10</v>
      </c>
      <c r="D32" s="526" t="s">
        <v>10</v>
      </c>
      <c r="E32" s="531">
        <v>0</v>
      </c>
      <c r="F32" s="526">
        <f t="shared" si="3"/>
        <v>0</v>
      </c>
      <c r="G32" s="526">
        <v>5.1999999999999995E-4</v>
      </c>
      <c r="H32" s="517"/>
      <c r="I32" s="795"/>
      <c r="J32" s="529">
        <v>2</v>
      </c>
      <c r="K32" s="526" t="s">
        <v>10</v>
      </c>
      <c r="L32" s="526" t="s">
        <v>10</v>
      </c>
      <c r="M32" s="531">
        <v>8.0000000000000004E-4</v>
      </c>
      <c r="N32" s="526">
        <f t="shared" si="4"/>
        <v>0</v>
      </c>
      <c r="O32" s="534">
        <f t="shared" si="5"/>
        <v>5.2000000000000006E-4</v>
      </c>
      <c r="P32" s="517"/>
      <c r="Q32" s="795"/>
      <c r="R32" s="529">
        <v>2</v>
      </c>
      <c r="S32" s="526" t="s">
        <v>10</v>
      </c>
      <c r="T32" s="526" t="s">
        <v>10</v>
      </c>
      <c r="U32" s="526">
        <v>8.9999999999999998E-4</v>
      </c>
      <c r="V32" s="535">
        <f t="shared" si="6"/>
        <v>0</v>
      </c>
      <c r="W32" s="526">
        <v>5.1999999999999995E-4</v>
      </c>
      <c r="X32" s="518">
        <v>2.0009000000000001</v>
      </c>
      <c r="Y32" s="518">
        <f>X32-R32</f>
        <v>9.0000000000012292E-4</v>
      </c>
    </row>
    <row r="33" spans="1:37" s="518" customFormat="1" ht="10.5" x14ac:dyDescent="0.2">
      <c r="A33" s="795"/>
      <c r="B33" s="529">
        <v>3</v>
      </c>
      <c r="C33" s="526" t="s">
        <v>10</v>
      </c>
      <c r="D33" s="526" t="s">
        <v>10</v>
      </c>
      <c r="E33" s="531">
        <v>-2.9999999999999997E-4</v>
      </c>
      <c r="F33" s="526">
        <f t="shared" si="3"/>
        <v>0</v>
      </c>
      <c r="G33" s="526">
        <v>5.1999999999999995E-4</v>
      </c>
      <c r="H33" s="517"/>
      <c r="I33" s="795"/>
      <c r="J33" s="529">
        <v>3</v>
      </c>
      <c r="K33" s="526" t="s">
        <v>10</v>
      </c>
      <c r="L33" s="526" t="s">
        <v>10</v>
      </c>
      <c r="M33" s="531">
        <v>-2.0000000000000001E-4</v>
      </c>
      <c r="N33" s="526">
        <f t="shared" si="4"/>
        <v>0</v>
      </c>
      <c r="O33" s="534">
        <f t="shared" si="5"/>
        <v>5.2000000000000006E-4</v>
      </c>
      <c r="P33" s="517"/>
      <c r="Q33" s="795"/>
      <c r="R33" s="529">
        <v>3</v>
      </c>
      <c r="S33" s="526" t="s">
        <v>10</v>
      </c>
      <c r="T33" s="526" t="s">
        <v>10</v>
      </c>
      <c r="U33" s="526">
        <v>-2.0000000000000001E-4</v>
      </c>
      <c r="V33" s="535">
        <f t="shared" si="6"/>
        <v>0</v>
      </c>
      <c r="W33" s="526">
        <v>5.1999999999999995E-4</v>
      </c>
      <c r="X33" s="518">
        <v>2.9998</v>
      </c>
      <c r="Y33" s="518">
        <f>X33-R33</f>
        <v>-1.9999999999997797E-4</v>
      </c>
    </row>
    <row r="34" spans="1:37" s="518" customFormat="1" ht="10.5" x14ac:dyDescent="0.2">
      <c r="A34" s="795"/>
      <c r="B34" s="529">
        <v>500</v>
      </c>
      <c r="C34" s="526" t="s">
        <v>10</v>
      </c>
      <c r="D34" s="526" t="s">
        <v>10</v>
      </c>
      <c r="E34" s="526">
        <v>-8.0000000000000002E-3</v>
      </c>
      <c r="F34" s="526">
        <f>0.5*(MAX(C34:E34)-MIN(C34:E34))</f>
        <v>0</v>
      </c>
      <c r="G34" s="526">
        <v>5.1999999999999995E-4</v>
      </c>
      <c r="H34" s="517"/>
      <c r="I34" s="795"/>
      <c r="J34" s="529">
        <v>500</v>
      </c>
      <c r="K34" s="526" t="s">
        <v>10</v>
      </c>
      <c r="L34" s="526" t="s">
        <v>10</v>
      </c>
      <c r="M34" s="526">
        <v>-1.2999999999999999E-2</v>
      </c>
      <c r="N34" s="526">
        <f>0.5*(MAX(K34:M34)-MIN(K34:M34))</f>
        <v>0</v>
      </c>
      <c r="O34" s="526">
        <f>K17</f>
        <v>5.2000000000000006E-4</v>
      </c>
      <c r="P34" s="517"/>
      <c r="Q34" s="795"/>
      <c r="R34" s="529">
        <v>500</v>
      </c>
      <c r="S34" s="526" t="s">
        <v>10</v>
      </c>
      <c r="T34" s="526" t="s">
        <v>10</v>
      </c>
      <c r="U34" s="526">
        <v>1.4E-2</v>
      </c>
      <c r="V34" s="535">
        <f t="shared" si="6"/>
        <v>0</v>
      </c>
      <c r="W34" s="526">
        <v>5.1999999999999995E-4</v>
      </c>
    </row>
    <row r="35" spans="1:37" s="518" customFormat="1" ht="10.5" x14ac:dyDescent="0.2">
      <c r="A35" s="796"/>
      <c r="B35" s="529">
        <v>1000</v>
      </c>
      <c r="C35" s="526" t="s">
        <v>10</v>
      </c>
      <c r="D35" s="526" t="s">
        <v>10</v>
      </c>
      <c r="E35" s="526">
        <v>-1.7000000000000001E-2</v>
      </c>
      <c r="F35" s="526">
        <f>0.5*(MAX(C35:E35)-MIN(C35:E35))</f>
        <v>0</v>
      </c>
      <c r="G35" s="526">
        <f>K17</f>
        <v>5.2000000000000006E-4</v>
      </c>
      <c r="H35" s="517"/>
      <c r="I35" s="796"/>
      <c r="J35" s="529">
        <v>1000</v>
      </c>
      <c r="K35" s="526" t="s">
        <v>10</v>
      </c>
      <c r="L35" s="526" t="s">
        <v>10</v>
      </c>
      <c r="M35" s="526">
        <v>-2.4E-2</v>
      </c>
      <c r="N35" s="526">
        <f>0.5*(MAX(K35:M35)-MIN(K35:M35))</f>
        <v>0</v>
      </c>
      <c r="O35" s="526">
        <f>K17</f>
        <v>5.2000000000000006E-4</v>
      </c>
      <c r="P35" s="517"/>
      <c r="Q35" s="796"/>
      <c r="R35" s="529">
        <v>1000</v>
      </c>
      <c r="S35" s="526" t="s">
        <v>10</v>
      </c>
      <c r="T35" s="526" t="s">
        <v>10</v>
      </c>
      <c r="U35" s="526">
        <v>1.0999999999999999E-2</v>
      </c>
      <c r="V35" s="535">
        <f t="shared" si="6"/>
        <v>0</v>
      </c>
      <c r="W35" s="526">
        <v>5.1999999999999995E-4</v>
      </c>
    </row>
    <row r="37" spans="1:37" x14ac:dyDescent="0.25">
      <c r="C37" s="73">
        <f>1000-999.983</f>
        <v>1.7000000000052751E-2</v>
      </c>
      <c r="L37" s="73">
        <f>1000-999.976</f>
        <v>2.4000000000000909E-2</v>
      </c>
    </row>
    <row r="39" spans="1:37" hidden="1" x14ac:dyDescent="0.25"/>
    <row r="40" spans="1:37" hidden="1" x14ac:dyDescent="0.25"/>
    <row r="41" spans="1:37" hidden="1" x14ac:dyDescent="0.25"/>
    <row r="42" spans="1:37" hidden="1" x14ac:dyDescent="0.25"/>
    <row r="43" spans="1:37" hidden="1" x14ac:dyDescent="0.25"/>
    <row r="44" spans="1:37" hidden="1" x14ac:dyDescent="0.25"/>
    <row r="45" spans="1:37" ht="15" x14ac:dyDescent="0.3">
      <c r="B45" s="133"/>
      <c r="C45" s="133"/>
      <c r="E45" s="133"/>
      <c r="F45" s="133"/>
      <c r="G45" s="133"/>
      <c r="S45" s="134"/>
      <c r="U45" s="134"/>
      <c r="V45" s="134"/>
      <c r="W45" s="134"/>
      <c r="Y45" s="356" t="e">
        <f>ID!#REF!</f>
        <v>#REF!</v>
      </c>
    </row>
    <row r="46" spans="1:37" ht="39" customHeight="1" x14ac:dyDescent="0.25">
      <c r="A46" s="799">
        <f>IF($B$61=$B$62,A4,IF($B$61=$B$63,I4,IF($B$61=$B$64,Q4,IF($B$61=$B$65,A25,IF($B$61=$B$66,I25,Q25)))))</f>
        <v>6</v>
      </c>
      <c r="B46" s="800" t="str">
        <f>IF($B$61=$B$62,B4,IF($B$61=$B$63,J4,IF($B$61=$B$64,R4,IF($B$61=$B$65,B25,IF($B$61=$B$66,J25,R25)))))</f>
        <v>F</v>
      </c>
      <c r="C46" s="801"/>
      <c r="D46" s="801"/>
      <c r="E46" s="801"/>
      <c r="F46" s="801"/>
      <c r="G46" s="802"/>
      <c r="J46" s="536" t="s">
        <v>71</v>
      </c>
      <c r="K46" s="537">
        <v>1</v>
      </c>
      <c r="L46" s="803"/>
      <c r="M46" s="363"/>
      <c r="N46" s="363"/>
      <c r="U46" s="135"/>
      <c r="V46" s="135"/>
      <c r="W46" s="135"/>
      <c r="Y46" s="342" t="s">
        <v>30</v>
      </c>
      <c r="Z46" s="342" t="s">
        <v>72</v>
      </c>
      <c r="AA46" s="343" t="s">
        <v>73</v>
      </c>
      <c r="AB46" s="343" t="s">
        <v>74</v>
      </c>
      <c r="AC46" s="343" t="s">
        <v>75</v>
      </c>
      <c r="AD46" s="344" t="s">
        <v>76</v>
      </c>
      <c r="AE46" s="343" t="s">
        <v>77</v>
      </c>
      <c r="AF46" s="345" t="s">
        <v>78</v>
      </c>
      <c r="AG46" s="343" t="s">
        <v>36</v>
      </c>
      <c r="AH46" s="343" t="s">
        <v>79</v>
      </c>
      <c r="AI46" s="344" t="s">
        <v>80</v>
      </c>
      <c r="AJ46" s="344" t="s">
        <v>81</v>
      </c>
      <c r="AK46" s="343" t="s">
        <v>12</v>
      </c>
    </row>
    <row r="47" spans="1:37" ht="14.25" customHeight="1" x14ac:dyDescent="0.25">
      <c r="A47" s="799"/>
      <c r="B47" s="789" t="str">
        <f>IF($B$61=$B$62,B5,IF($B$61=$B$63,J5,IF($B$61=$B$64,R5,IF($B$61=$B$65,B26,IF($B$61=$B$66,J26,R26)))))</f>
        <v>KOREKSI RESISTANCE BOX</v>
      </c>
      <c r="C47" s="790"/>
      <c r="D47" s="790"/>
      <c r="E47" s="791"/>
      <c r="F47" s="136" t="str">
        <f>IF($B$61=$B$62,F5,IF($B$61=$B$63,N5,IF($B$61=$B$64,V5,IF($B$61=$B$65,F26,IF($B$61=$B$66,N26,V26)))))</f>
        <v>DRIFT</v>
      </c>
      <c r="G47" s="136" t="str">
        <f>IF($B$61=$B$62,G5,IF($B$61=$B$63,O5,IF($B$61=$B$64,W5,IF($B$61=$B$65,G26,IF($B$61=$B$66,O26,W26)))))</f>
        <v>U 95</v>
      </c>
      <c r="J47" s="332">
        <v>1</v>
      </c>
      <c r="K47" s="332" t="s">
        <v>82</v>
      </c>
      <c r="L47" s="803"/>
      <c r="M47" s="363"/>
      <c r="N47" s="363"/>
      <c r="U47" s="135"/>
      <c r="V47" s="137"/>
      <c r="W47" s="137"/>
      <c r="Y47" s="346">
        <v>1</v>
      </c>
      <c r="Z47" s="786" t="str">
        <f>ID!C36</f>
        <v>Kalibrasi Earth Resistance</v>
      </c>
      <c r="AA47" s="507" t="e">
        <f>ID!#REF!</f>
        <v>#REF!</v>
      </c>
      <c r="AB47" s="399"/>
      <c r="AC47" s="507" t="e">
        <f>AVERAGE(ID!#REF!)</f>
        <v>#REF!</v>
      </c>
      <c r="AD47" s="353" t="e">
        <f ca="1">(FORECAST(AC47,OFFSET($U$29:$U$35,MATCH(AC47,$R$29:$R$35,1)-1,0,2),OFFSET($R$29:$R$35,MATCH(AC47,$R$29:$R$35,1)-1,0,2)))</f>
        <v>#REF!</v>
      </c>
      <c r="AE47" s="353" t="e">
        <f ca="1">AC47+AD47</f>
        <v>#REF!</v>
      </c>
      <c r="AF47" s="353" t="e">
        <f ca="1">AA47-AE47-AI47</f>
        <v>#REF!</v>
      </c>
      <c r="AG47" s="353" t="e">
        <f>STDEV(ID!#REF!)</f>
        <v>#REF!</v>
      </c>
      <c r="AH47" s="346" t="e">
        <f>0.5*ID!#REF!</f>
        <v>#REF!</v>
      </c>
      <c r="AI47" s="399" t="e">
        <f ca="1">(FORECAST(AE47,OFFSET($F$50:$F$57,MATCH(AE47,$B$50:$B$57,1)-1,0,2),OFFSET($B$50:$B$57,MATCH(AE47,$B$50:$B$57,1)-1,0,2)))</f>
        <v>#REF!</v>
      </c>
      <c r="AJ47" s="346" t="e">
        <f ca="1">(FORECAST(AE47,OFFSET($G$50:$G$57,MATCH(AE47,$B$50:$B$57,1)-1,0,2),OFFSET($B$50:$B$57,MATCH(AE47,$B$50:$B$57,1)-1,0,2)))</f>
        <v>#REF!</v>
      </c>
      <c r="AK47" s="351">
        <f>KTPS!W15</f>
        <v>0</v>
      </c>
    </row>
    <row r="48" spans="1:37" ht="14.25" customHeight="1" x14ac:dyDescent="0.25">
      <c r="A48" s="799"/>
      <c r="B48" s="789" t="str">
        <f>IF($B$61=$B$62,B6,IF($B$61=$B$63,J6,IF($B$61=$B$64,R6,IF($B$61=$B$65,B27,IF($B$61=$B$66,J27,R27)))))</f>
        <v>Resistance</v>
      </c>
      <c r="C48" s="790"/>
      <c r="D48" s="790"/>
      <c r="E48" s="791"/>
      <c r="F48" s="138"/>
      <c r="G48" s="138"/>
      <c r="J48" s="481"/>
      <c r="K48" s="362"/>
      <c r="L48" s="803"/>
      <c r="M48" s="363"/>
      <c r="N48" s="363"/>
      <c r="U48" s="135"/>
      <c r="V48" s="135"/>
      <c r="W48" s="135"/>
      <c r="Y48" s="346">
        <v>2</v>
      </c>
      <c r="Z48" s="787"/>
      <c r="AA48" s="507" t="e">
        <f>ID!#REF!</f>
        <v>#REF!</v>
      </c>
      <c r="AB48" s="399"/>
      <c r="AC48" s="507" t="e">
        <f>AVERAGE(ID!#REF!)</f>
        <v>#REF!</v>
      </c>
      <c r="AD48" s="353" t="e">
        <f t="shared" ref="AD48:AD49" ca="1" si="7">(FORECAST(AC48,OFFSET($U$29:$U$35,MATCH(AC48,$R$29:$R$35,1)-1,0,2),OFFSET($R$29:$R$35,MATCH(AC48,$R$29:$R$35,1)-1,0,2)))</f>
        <v>#REF!</v>
      </c>
      <c r="AE48" s="353" t="e">
        <f t="shared" ref="AE48:AE50" ca="1" si="8">AC48+AD48</f>
        <v>#REF!</v>
      </c>
      <c r="AF48" s="353" t="e">
        <f t="shared" ref="AF48:AF49" ca="1" si="9">AA48-AE48-AI48</f>
        <v>#REF!</v>
      </c>
      <c r="AG48" s="353" t="e">
        <f>STDEV(ID!#REF!)</f>
        <v>#REF!</v>
      </c>
      <c r="AH48" s="346" t="e">
        <f>0.5*ID!#REF!</f>
        <v>#REF!</v>
      </c>
      <c r="AI48" s="399" t="e">
        <f t="shared" ref="AI48:AI50" ca="1" si="10">(FORECAST(AE48,OFFSET($F$50:$F$57,MATCH(AE48,$B$50:$B$57,1)-1,0,2),OFFSET($B$50:$B$57,MATCH(AE48,$B$50:$B$57,1)-1,0,2)))</f>
        <v>#REF!</v>
      </c>
      <c r="AJ48" s="346" t="e">
        <f t="shared" ref="AJ48:AJ49" ca="1" si="11">(FORECAST(AE48,OFFSET($G$50:$G$57,MATCH(AE48,$B$50:$B$57,1)-1,0,2),OFFSET($B$50:$B$57,MATCH(AE48,$B$50:$B$57,1)-1,0,2)))</f>
        <v>#REF!</v>
      </c>
      <c r="AK48" s="351">
        <f>KTPS!W27</f>
        <v>0</v>
      </c>
    </row>
    <row r="49" spans="1:37" ht="14.25" customHeight="1" x14ac:dyDescent="0.25">
      <c r="A49" s="799"/>
      <c r="B49" s="138" t="str">
        <f>IF($B$61=$B$62,B7,IF($B$61=$B$63,J7,IF($B$61=$B$64,R7,IF($B$61=$B$65,B28,IF($B$61=$B$66,J28,R28)))))</f>
        <v>( MΩ )</v>
      </c>
      <c r="C49" s="138">
        <f t="shared" ref="C49:G57" si="12">IF($B$61=$B$62,C7,IF($B$61=$B$63,K7,IF($B$61=$B$64,S7,IF($B$61=$B$65,C28,IF($B$61=$B$66,K28,S28)))))</f>
        <v>2017</v>
      </c>
      <c r="D49" s="138">
        <f t="shared" si="12"/>
        <v>2017</v>
      </c>
      <c r="E49" s="138">
        <f t="shared" si="12"/>
        <v>2021</v>
      </c>
      <c r="F49" s="138"/>
      <c r="G49" s="138"/>
      <c r="J49" s="365"/>
      <c r="K49" s="366"/>
      <c r="L49" s="367"/>
      <c r="M49" s="364"/>
      <c r="N49" s="364"/>
      <c r="Y49" s="346">
        <v>3</v>
      </c>
      <c r="Z49" s="787"/>
      <c r="AA49" s="507" t="e">
        <f>ID!#REF!</f>
        <v>#REF!</v>
      </c>
      <c r="AB49" s="399"/>
      <c r="AC49" s="507" t="e">
        <f>AVERAGE(ID!#REF!)</f>
        <v>#REF!</v>
      </c>
      <c r="AD49" s="353" t="e">
        <f t="shared" ca="1" si="7"/>
        <v>#REF!</v>
      </c>
      <c r="AE49" s="353" t="e">
        <f t="shared" ca="1" si="8"/>
        <v>#REF!</v>
      </c>
      <c r="AF49" s="353" t="e">
        <f t="shared" ca="1" si="9"/>
        <v>#REF!</v>
      </c>
      <c r="AG49" s="353" t="e">
        <f>STDEV(ID!#REF!)</f>
        <v>#REF!</v>
      </c>
      <c r="AH49" s="346" t="e">
        <f>0.5*ID!#REF!</f>
        <v>#REF!</v>
      </c>
      <c r="AI49" s="399" t="e">
        <f t="shared" ca="1" si="10"/>
        <v>#REF!</v>
      </c>
      <c r="AJ49" s="346" t="e">
        <f t="shared" ca="1" si="11"/>
        <v>#REF!</v>
      </c>
      <c r="AK49" s="351">
        <f>KTPS!W39</f>
        <v>0</v>
      </c>
    </row>
    <row r="50" spans="1:37" ht="14.25" customHeight="1" x14ac:dyDescent="0.25">
      <c r="A50" s="799"/>
      <c r="B50" s="138">
        <f t="shared" ref="B50:B57" si="13">IF($B$61=$B$62,B8,IF($B$61=$B$63,J8,IF($B$61=$B$64,R8,IF($B$61=$B$65,B29,IF($B$61=$B$66,J29,R29)))))</f>
        <v>0.01</v>
      </c>
      <c r="C50" s="138" t="str">
        <f t="shared" si="12"/>
        <v>-</v>
      </c>
      <c r="D50" s="138" t="str">
        <f t="shared" si="12"/>
        <v>-</v>
      </c>
      <c r="E50" s="138">
        <f t="shared" si="12"/>
        <v>-2.0000000000000001E-4</v>
      </c>
      <c r="F50" s="538">
        <f>IF($K$46=1,G50/3,0.5*(MAX(D8:F8)-MIN(D8:F8)))</f>
        <v>1.7333333333333331E-4</v>
      </c>
      <c r="G50" s="138">
        <f t="shared" si="12"/>
        <v>5.1999999999999995E-4</v>
      </c>
      <c r="J50" s="365"/>
      <c r="K50" s="366"/>
      <c r="L50" s="367"/>
      <c r="M50" s="364"/>
      <c r="N50" s="364"/>
      <c r="Y50" s="346">
        <v>4</v>
      </c>
      <c r="Z50" s="787"/>
      <c r="AA50" s="507" t="e">
        <f>ID!#REF!</f>
        <v>#REF!</v>
      </c>
      <c r="AB50" s="399"/>
      <c r="AC50" s="507" t="e">
        <f>AVERAGE(ID!#REF!)</f>
        <v>#REF!</v>
      </c>
      <c r="AD50" s="353" t="e">
        <f ca="1">(FORECAST(AC50,OFFSET($U$29:$U$35,MATCH(AC50,$R$29:$R$35,1)-1,0,2),OFFSET($R$29:$R$35,MATCH(AC50,$R$29:$R$35,1)-1,0,2)))</f>
        <v>#REF!</v>
      </c>
      <c r="AE50" s="353" t="e">
        <f t="shared" ca="1" si="8"/>
        <v>#REF!</v>
      </c>
      <c r="AF50" s="353" t="e">
        <f ca="1">AA50-AE50-AI50</f>
        <v>#REF!</v>
      </c>
      <c r="AG50" s="353" t="e">
        <f>STDEV(ID!#REF!)</f>
        <v>#REF!</v>
      </c>
      <c r="AH50" s="346" t="e">
        <f>0.5*ID!#REF!</f>
        <v>#REF!</v>
      </c>
      <c r="AI50" s="399" t="e">
        <f t="shared" ca="1" si="10"/>
        <v>#REF!</v>
      </c>
      <c r="AJ50" s="346" t="e">
        <f ca="1">(FORECAST(AE50,OFFSET($G$50:$G$57,MATCH(AE50,$B$50:$B$57,1)-1,0,2),OFFSET($B$50:$B$57,MATCH(AE50,$B$50:$B$57,1)-1,0,2)))</f>
        <v>#REF!</v>
      </c>
      <c r="AK50" s="351">
        <f>KTPS!W51</f>
        <v>0</v>
      </c>
    </row>
    <row r="51" spans="1:37" ht="14.25" customHeight="1" x14ac:dyDescent="0.25">
      <c r="A51" s="799"/>
      <c r="B51" s="138">
        <f t="shared" si="13"/>
        <v>0.1</v>
      </c>
      <c r="C51" s="138" t="str">
        <f t="shared" si="12"/>
        <v>-</v>
      </c>
      <c r="D51" s="138" t="str">
        <f t="shared" si="12"/>
        <v>-</v>
      </c>
      <c r="E51" s="138">
        <f t="shared" si="12"/>
        <v>4.0000000000000002E-4</v>
      </c>
      <c r="F51" s="538">
        <f t="shared" ref="F51:F57" si="14">IF($K$46=1,G51/3,0.5*(MAX(D9:F9)-MIN(D9:F9)))</f>
        <v>1.7333333333333331E-4</v>
      </c>
      <c r="G51" s="138">
        <f t="shared" si="12"/>
        <v>5.1999999999999995E-4</v>
      </c>
      <c r="Y51" s="346"/>
      <c r="Z51" s="788"/>
      <c r="AA51" s="351"/>
      <c r="AB51" s="399"/>
      <c r="AC51" s="352"/>
      <c r="AD51" s="353"/>
      <c r="AE51" s="353"/>
      <c r="AF51" s="353"/>
      <c r="AG51" s="353"/>
      <c r="AH51" s="346"/>
      <c r="AI51" s="399"/>
      <c r="AJ51" s="346"/>
      <c r="AK51" s="354"/>
    </row>
    <row r="52" spans="1:37" ht="14.25" customHeight="1" x14ac:dyDescent="0.25">
      <c r="A52" s="799"/>
      <c r="B52" s="138">
        <f t="shared" si="13"/>
        <v>1</v>
      </c>
      <c r="C52" s="138" t="str">
        <f t="shared" si="12"/>
        <v>-</v>
      </c>
      <c r="D52" s="138" t="str">
        <f t="shared" si="12"/>
        <v>-</v>
      </c>
      <c r="E52" s="138">
        <f t="shared" si="12"/>
        <v>5.0000000000000001E-4</v>
      </c>
      <c r="F52" s="538">
        <f t="shared" si="14"/>
        <v>1.7333333333333331E-4</v>
      </c>
      <c r="G52" s="138">
        <f t="shared" si="12"/>
        <v>5.1999999999999995E-4</v>
      </c>
    </row>
    <row r="53" spans="1:37" ht="14.25" customHeight="1" x14ac:dyDescent="0.25">
      <c r="A53" s="799"/>
      <c r="B53" s="138">
        <f t="shared" si="13"/>
        <v>2</v>
      </c>
      <c r="C53" s="138" t="str">
        <f t="shared" si="12"/>
        <v>-</v>
      </c>
      <c r="D53" s="138" t="str">
        <f t="shared" si="12"/>
        <v>-</v>
      </c>
      <c r="E53" s="138">
        <f t="shared" si="12"/>
        <v>8.9999999999999998E-4</v>
      </c>
      <c r="F53" s="538">
        <f t="shared" si="14"/>
        <v>1.7333333333333331E-4</v>
      </c>
      <c r="G53" s="138">
        <f t="shared" si="12"/>
        <v>5.1999999999999995E-4</v>
      </c>
    </row>
    <row r="54" spans="1:37" ht="14.25" customHeight="1" x14ac:dyDescent="0.25">
      <c r="A54" s="799"/>
      <c r="B54" s="138">
        <f t="shared" si="13"/>
        <v>3</v>
      </c>
      <c r="C54" s="138" t="str">
        <f t="shared" si="12"/>
        <v>-</v>
      </c>
      <c r="D54" s="138" t="str">
        <f t="shared" si="12"/>
        <v>-</v>
      </c>
      <c r="E54" s="138">
        <f t="shared" si="12"/>
        <v>-2.0000000000000001E-4</v>
      </c>
      <c r="F54" s="538">
        <f t="shared" si="14"/>
        <v>1.7333333333333331E-4</v>
      </c>
      <c r="G54" s="138">
        <f t="shared" si="12"/>
        <v>5.1999999999999995E-4</v>
      </c>
    </row>
    <row r="55" spans="1:37" ht="14.25" customHeight="1" x14ac:dyDescent="0.25">
      <c r="A55" s="799"/>
      <c r="B55" s="138">
        <f t="shared" si="13"/>
        <v>500</v>
      </c>
      <c r="C55" s="138" t="str">
        <f t="shared" si="12"/>
        <v>-</v>
      </c>
      <c r="D55" s="138" t="str">
        <f t="shared" si="12"/>
        <v>-</v>
      </c>
      <c r="E55" s="138">
        <f t="shared" si="12"/>
        <v>1.4E-2</v>
      </c>
      <c r="F55" s="538">
        <f t="shared" si="14"/>
        <v>1.7333333333333331E-4</v>
      </c>
      <c r="G55" s="138">
        <f t="shared" si="12"/>
        <v>5.1999999999999995E-4</v>
      </c>
    </row>
    <row r="56" spans="1:37" ht="14.25" customHeight="1" x14ac:dyDescent="0.25">
      <c r="A56" s="799"/>
      <c r="B56" s="138">
        <f t="shared" si="13"/>
        <v>1000</v>
      </c>
      <c r="C56" s="138" t="str">
        <f t="shared" si="12"/>
        <v>-</v>
      </c>
      <c r="D56" s="138" t="str">
        <f t="shared" si="12"/>
        <v>-</v>
      </c>
      <c r="E56" s="138">
        <f t="shared" si="12"/>
        <v>1.0999999999999999E-2</v>
      </c>
      <c r="F56" s="538">
        <f t="shared" si="14"/>
        <v>1.7333333333333331E-4</v>
      </c>
      <c r="G56" s="138">
        <f t="shared" si="12"/>
        <v>5.1999999999999995E-4</v>
      </c>
    </row>
    <row r="57" spans="1:37" x14ac:dyDescent="0.25">
      <c r="A57" s="799"/>
      <c r="B57" s="138">
        <f t="shared" si="13"/>
        <v>0</v>
      </c>
      <c r="C57" s="138">
        <f t="shared" si="12"/>
        <v>0</v>
      </c>
      <c r="D57" s="138">
        <f t="shared" si="12"/>
        <v>0</v>
      </c>
      <c r="E57" s="138">
        <f t="shared" si="12"/>
        <v>0</v>
      </c>
      <c r="F57" s="538">
        <f t="shared" si="14"/>
        <v>0</v>
      </c>
      <c r="G57" s="138">
        <f t="shared" si="12"/>
        <v>0</v>
      </c>
    </row>
    <row r="58" spans="1:37" x14ac:dyDescent="0.25">
      <c r="Y58" s="133"/>
      <c r="Z58" s="133"/>
      <c r="AA58" s="133"/>
      <c r="AB58" s="133"/>
      <c r="AC58" s="133"/>
      <c r="AD58" s="133"/>
      <c r="AE58" s="133"/>
      <c r="AF58" s="133"/>
      <c r="AG58" s="133"/>
      <c r="AH58" s="133"/>
      <c r="AI58" s="133"/>
      <c r="AJ58" s="133"/>
      <c r="AK58" s="133"/>
    </row>
    <row r="59" spans="1:37" x14ac:dyDescent="0.25">
      <c r="Y59" s="509"/>
      <c r="Z59" s="509"/>
      <c r="AA59" s="362"/>
      <c r="AB59" s="362"/>
      <c r="AC59" s="362"/>
      <c r="AD59" s="362"/>
      <c r="AE59" s="362"/>
      <c r="AF59" s="362"/>
      <c r="AG59" s="362"/>
      <c r="AH59" s="362"/>
      <c r="AI59" s="362"/>
      <c r="AJ59" s="362"/>
      <c r="AK59" s="362"/>
    </row>
    <row r="60" spans="1:37" x14ac:dyDescent="0.25">
      <c r="J60" s="482" t="s">
        <v>83</v>
      </c>
      <c r="K60" s="183">
        <f>IF(O61=O62,2,1)</f>
        <v>1</v>
      </c>
      <c r="Y60" s="510"/>
      <c r="Z60" s="792"/>
      <c r="AA60" s="511"/>
      <c r="AB60" s="512"/>
      <c r="AC60" s="510"/>
      <c r="AD60" s="513"/>
      <c r="AE60" s="513"/>
      <c r="AF60" s="513"/>
      <c r="AG60" s="513"/>
      <c r="AH60" s="510"/>
      <c r="AI60" s="514"/>
      <c r="AJ60" s="514"/>
      <c r="AK60" s="515"/>
    </row>
    <row r="61" spans="1:37" x14ac:dyDescent="0.25">
      <c r="B61" s="139" t="str">
        <f>ID!B173</f>
        <v>F</v>
      </c>
      <c r="C61" s="140"/>
      <c r="D61" s="141"/>
      <c r="E61" s="140"/>
      <c r="F61" s="140"/>
      <c r="G61" s="140"/>
      <c r="H61" s="140"/>
      <c r="I61" s="140"/>
      <c r="J61" s="140"/>
      <c r="K61" s="142"/>
      <c r="L61" s="143"/>
      <c r="M61" s="144" t="s">
        <v>84</v>
      </c>
      <c r="N61" s="144"/>
      <c r="O61" s="144">
        <f>VLOOKUP(B61,B62:O67,14,(FALSE))</f>
        <v>6</v>
      </c>
      <c r="Y61" s="510"/>
      <c r="Z61" s="792"/>
      <c r="AA61" s="511"/>
      <c r="AB61" s="512"/>
      <c r="AC61" s="510"/>
      <c r="AD61" s="513"/>
      <c r="AE61" s="513"/>
      <c r="AF61" s="513"/>
      <c r="AG61" s="513"/>
      <c r="AH61" s="510"/>
      <c r="AI61" s="514"/>
      <c r="AJ61" s="514"/>
      <c r="AK61" s="515"/>
    </row>
    <row r="62" spans="1:37" x14ac:dyDescent="0.25">
      <c r="B62" s="145" t="s">
        <v>85</v>
      </c>
      <c r="C62" s="146"/>
      <c r="D62" s="75"/>
      <c r="E62" s="146"/>
      <c r="F62" s="146"/>
      <c r="G62" s="146"/>
      <c r="H62" s="146"/>
      <c r="I62" s="146"/>
      <c r="J62" s="146"/>
      <c r="K62" s="147"/>
      <c r="L62" s="148">
        <f t="shared" ref="L62:M62" si="15">C7</f>
        <v>2017</v>
      </c>
      <c r="M62" s="148">
        <f t="shared" si="15"/>
        <v>2017</v>
      </c>
      <c r="N62" s="148">
        <f>E7</f>
        <v>2018</v>
      </c>
      <c r="O62" s="149">
        <v>1</v>
      </c>
      <c r="R62" s="145" t="s">
        <v>86</v>
      </c>
      <c r="S62" s="75"/>
      <c r="T62" s="75"/>
      <c r="U62" s="75"/>
      <c r="V62" s="75"/>
      <c r="W62" s="76"/>
      <c r="Y62" s="510"/>
      <c r="Z62" s="792"/>
      <c r="AA62" s="511"/>
      <c r="AB62" s="512"/>
      <c r="AC62" s="510"/>
      <c r="AD62" s="513"/>
      <c r="AE62" s="513"/>
      <c r="AF62" s="513"/>
      <c r="AG62" s="513"/>
      <c r="AH62" s="510"/>
      <c r="AI62" s="514"/>
      <c r="AJ62" s="514"/>
      <c r="AK62" s="515"/>
    </row>
    <row r="63" spans="1:37" x14ac:dyDescent="0.25">
      <c r="B63" s="145" t="s">
        <v>87</v>
      </c>
      <c r="C63" s="146"/>
      <c r="D63" s="75"/>
      <c r="E63" s="146"/>
      <c r="F63" s="146"/>
      <c r="G63" s="146"/>
      <c r="H63" s="146"/>
      <c r="I63" s="146"/>
      <c r="J63" s="146"/>
      <c r="K63" s="147"/>
      <c r="L63" s="148">
        <f t="shared" ref="L63:M63" si="16">K7</f>
        <v>2017</v>
      </c>
      <c r="M63" s="148">
        <f t="shared" si="16"/>
        <v>2017</v>
      </c>
      <c r="N63" s="148">
        <f>M7</f>
        <v>2020</v>
      </c>
      <c r="O63" s="149">
        <v>2</v>
      </c>
      <c r="R63" s="145" t="s">
        <v>88</v>
      </c>
      <c r="S63" s="75"/>
      <c r="T63" s="75"/>
      <c r="U63" s="75"/>
      <c r="V63" s="75"/>
      <c r="W63" s="76"/>
      <c r="Y63" s="510"/>
      <c r="Z63" s="792"/>
      <c r="AA63" s="511"/>
      <c r="AB63" s="512"/>
      <c r="AC63" s="510"/>
      <c r="AD63" s="513"/>
      <c r="AE63" s="513"/>
      <c r="AF63" s="513"/>
      <c r="AG63" s="513"/>
      <c r="AH63" s="510"/>
      <c r="AI63" s="514"/>
      <c r="AJ63" s="514"/>
      <c r="AK63" s="515"/>
    </row>
    <row r="64" spans="1:37" x14ac:dyDescent="0.25">
      <c r="B64" s="145" t="s">
        <v>89</v>
      </c>
      <c r="C64" s="146"/>
      <c r="D64" s="75"/>
      <c r="E64" s="146"/>
      <c r="F64" s="146"/>
      <c r="G64" s="146"/>
      <c r="H64" s="146"/>
      <c r="I64" s="146"/>
      <c r="J64" s="146"/>
      <c r="K64" s="147"/>
      <c r="L64" s="148">
        <f t="shared" ref="L64:M64" si="17">S7</f>
        <v>2017</v>
      </c>
      <c r="M64" s="148">
        <f t="shared" si="17"/>
        <v>2017</v>
      </c>
      <c r="N64" s="148">
        <f>U7</f>
        <v>2020</v>
      </c>
      <c r="O64" s="149">
        <v>3</v>
      </c>
      <c r="R64" s="145" t="s">
        <v>88</v>
      </c>
      <c r="S64" s="75"/>
      <c r="T64" s="75"/>
      <c r="U64" s="75"/>
      <c r="V64" s="75"/>
      <c r="W64" s="76"/>
      <c r="Y64" s="510"/>
      <c r="Z64" s="792"/>
      <c r="AA64" s="511"/>
      <c r="AB64" s="512"/>
      <c r="AC64" s="510"/>
      <c r="AD64" s="513"/>
      <c r="AE64" s="513"/>
      <c r="AF64" s="513"/>
      <c r="AG64" s="513"/>
      <c r="AH64" s="510"/>
      <c r="AI64" s="514"/>
      <c r="AJ64" s="514"/>
      <c r="AK64" s="515"/>
    </row>
    <row r="65" spans="2:23" x14ac:dyDescent="0.25">
      <c r="B65" s="145" t="s">
        <v>90</v>
      </c>
      <c r="C65" s="146"/>
      <c r="D65" s="75"/>
      <c r="E65" s="146"/>
      <c r="F65" s="146"/>
      <c r="G65" s="146"/>
      <c r="H65" s="146"/>
      <c r="I65" s="146"/>
      <c r="J65" s="146"/>
      <c r="K65" s="147"/>
      <c r="L65" s="148">
        <f t="shared" ref="L65:M65" si="18">C28</f>
        <v>2017</v>
      </c>
      <c r="M65" s="148">
        <f t="shared" si="18"/>
        <v>2017</v>
      </c>
      <c r="N65" s="148">
        <f>E28</f>
        <v>2020</v>
      </c>
      <c r="O65" s="149">
        <v>4</v>
      </c>
      <c r="R65" s="145" t="s">
        <v>88</v>
      </c>
      <c r="S65" s="75"/>
      <c r="T65" s="75"/>
      <c r="U65" s="75"/>
      <c r="V65" s="75"/>
      <c r="W65" s="76"/>
    </row>
    <row r="66" spans="2:23" x14ac:dyDescent="0.25">
      <c r="B66" s="145" t="s">
        <v>91</v>
      </c>
      <c r="C66" s="146"/>
      <c r="D66" s="75"/>
      <c r="E66" s="146"/>
      <c r="F66" s="146"/>
      <c r="G66" s="146"/>
      <c r="H66" s="146"/>
      <c r="I66" s="146"/>
      <c r="J66" s="146"/>
      <c r="K66" s="147"/>
      <c r="L66" s="148">
        <f t="shared" ref="L66:M66" si="19">K28</f>
        <v>2017</v>
      </c>
      <c r="M66" s="148">
        <f t="shared" si="19"/>
        <v>2017</v>
      </c>
      <c r="N66" s="148">
        <f>M28</f>
        <v>2020</v>
      </c>
      <c r="O66" s="149">
        <v>5</v>
      </c>
      <c r="R66" s="145" t="s">
        <v>88</v>
      </c>
      <c r="S66" s="75"/>
      <c r="T66" s="75"/>
      <c r="U66" s="75"/>
      <c r="V66" s="75"/>
      <c r="W66" s="76"/>
    </row>
    <row r="67" spans="2:23" x14ac:dyDescent="0.25">
      <c r="B67" s="145" t="s">
        <v>92</v>
      </c>
      <c r="C67" s="146"/>
      <c r="D67" s="75"/>
      <c r="E67" s="146"/>
      <c r="F67" s="146"/>
      <c r="G67" s="146"/>
      <c r="H67" s="146"/>
      <c r="I67" s="146"/>
      <c r="J67" s="146"/>
      <c r="K67" s="147"/>
      <c r="L67" s="148">
        <f t="shared" ref="L67:M67" si="20">S28</f>
        <v>2017</v>
      </c>
      <c r="M67" s="148">
        <f t="shared" si="20"/>
        <v>2017</v>
      </c>
      <c r="N67" s="148">
        <f>U28</f>
        <v>2021</v>
      </c>
      <c r="O67" s="149">
        <v>6</v>
      </c>
      <c r="R67" s="145" t="s">
        <v>88</v>
      </c>
      <c r="S67" s="75"/>
      <c r="T67" s="75"/>
      <c r="U67" s="75"/>
      <c r="V67" s="75"/>
      <c r="W67" s="76"/>
    </row>
    <row r="68" spans="2:23" ht="15" customHeight="1" x14ac:dyDescent="0.25">
      <c r="B68" s="150" t="str">
        <f>IF(O61=1,R62,R63)</f>
        <v>Hasil Kalibrasi Earth Resistance tertelusur ke Satuan Internasional ( SI ) melalui UKAS</v>
      </c>
      <c r="C68" s="151"/>
      <c r="D68" s="75"/>
      <c r="E68" s="152"/>
      <c r="F68" s="152"/>
      <c r="G68" s="152"/>
      <c r="H68" s="152"/>
      <c r="I68" s="152"/>
      <c r="J68" s="152"/>
      <c r="K68" s="153"/>
      <c r="L68" s="143"/>
      <c r="M68" s="154"/>
      <c r="N68" s="154"/>
      <c r="O68" s="154"/>
      <c r="R68" s="145" t="str">
        <f>IF(O61=O62,R62,R63)</f>
        <v>Hasil Kalibrasi Earth Resistance tertelusur ke Satuan Internasional ( SI ) melalui UKAS</v>
      </c>
      <c r="S68" s="75"/>
      <c r="T68" s="75"/>
      <c r="U68" s="75"/>
      <c r="V68" s="75"/>
      <c r="W68" s="76"/>
    </row>
    <row r="69" spans="2:23" x14ac:dyDescent="0.25">
      <c r="B69" s="462" t="s">
        <v>93</v>
      </c>
    </row>
  </sheetData>
  <mergeCells count="35">
    <mergeCell ref="R4:W4"/>
    <mergeCell ref="B5:E5"/>
    <mergeCell ref="J5:M5"/>
    <mergeCell ref="R5:U5"/>
    <mergeCell ref="A4:A15"/>
    <mergeCell ref="B4:G4"/>
    <mergeCell ref="I4:I15"/>
    <mergeCell ref="J4:O4"/>
    <mergeCell ref="Q4:Q15"/>
    <mergeCell ref="Y5:AC5"/>
    <mergeCell ref="AD5:AD7"/>
    <mergeCell ref="AE5:AE7"/>
    <mergeCell ref="B6:E6"/>
    <mergeCell ref="J6:M6"/>
    <mergeCell ref="R6:U6"/>
    <mergeCell ref="Y6:AC6"/>
    <mergeCell ref="A46:A57"/>
    <mergeCell ref="B46:G46"/>
    <mergeCell ref="L46:L48"/>
    <mergeCell ref="B47:E47"/>
    <mergeCell ref="A25:A35"/>
    <mergeCell ref="B25:G25"/>
    <mergeCell ref="I25:I35"/>
    <mergeCell ref="J25:O25"/>
    <mergeCell ref="B26:E26"/>
    <mergeCell ref="J26:M26"/>
    <mergeCell ref="B27:E27"/>
    <mergeCell ref="Z47:Z51"/>
    <mergeCell ref="B48:E48"/>
    <mergeCell ref="Z60:Z64"/>
    <mergeCell ref="J27:M27"/>
    <mergeCell ref="R27:U27"/>
    <mergeCell ref="Q25:Q35"/>
    <mergeCell ref="R25:W25"/>
    <mergeCell ref="R26:U26"/>
  </mergeCells>
  <dataValidations count="1">
    <dataValidation type="list" allowBlank="1" showInputMessage="1" showErrorMessage="1" sqref="K46" xr:uid="{5D3A500A-144A-4103-BB9C-A11C09F6F8CF}">
      <formula1>$J$47:$K$47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43EE0-F871-4B5A-AFF4-FA2EA3E7ADCA}">
  <dimension ref="A1:IY172"/>
  <sheetViews>
    <sheetView view="pageBreakPreview" zoomScale="96" zoomScaleNormal="96" zoomScaleSheetLayoutView="96" workbookViewId="0">
      <selection activeCell="E10" sqref="E10"/>
    </sheetView>
  </sheetViews>
  <sheetFormatPr defaultRowHeight="14.5" x14ac:dyDescent="0.35"/>
  <cols>
    <col min="1" max="2" width="7.54296875" customWidth="1"/>
    <col min="3" max="3" width="9.81640625" customWidth="1"/>
    <col min="4" max="4" width="1.453125" customWidth="1"/>
    <col min="5" max="11" width="12.453125" customWidth="1"/>
    <col min="12" max="12" width="11.453125" customWidth="1"/>
    <col min="13" max="13" width="7.54296875" customWidth="1"/>
    <col min="17" max="17" width="18.54296875" customWidth="1"/>
    <col min="18" max="18" width="16" customWidth="1"/>
    <col min="19" max="19" width="8.54296875" customWidth="1"/>
  </cols>
  <sheetData>
    <row r="1" spans="1:22" ht="18.5" x14ac:dyDescent="0.45">
      <c r="A1" s="834" t="s">
        <v>94</v>
      </c>
      <c r="B1" s="834"/>
      <c r="C1" s="834"/>
      <c r="D1" s="834"/>
      <c r="E1" s="834"/>
      <c r="F1" s="834"/>
      <c r="G1" s="834"/>
      <c r="H1" s="834"/>
      <c r="I1" s="834"/>
      <c r="J1" s="834"/>
      <c r="K1" s="834"/>
      <c r="L1" s="834"/>
    </row>
    <row r="2" spans="1:22" ht="15.5" x14ac:dyDescent="0.35">
      <c r="A2" s="835" t="s">
        <v>95</v>
      </c>
      <c r="B2" s="835"/>
      <c r="C2" s="835"/>
      <c r="D2" s="835"/>
      <c r="E2" s="835"/>
      <c r="F2" s="835"/>
      <c r="G2" s="835"/>
      <c r="H2" s="14"/>
      <c r="I2" s="15"/>
      <c r="J2" s="15"/>
      <c r="K2" s="15"/>
      <c r="L2" s="15"/>
    </row>
    <row r="3" spans="1:22" ht="15.5" x14ac:dyDescent="0.35">
      <c r="A3" s="16"/>
      <c r="B3" s="16"/>
      <c r="C3" s="16"/>
      <c r="D3" s="16"/>
      <c r="E3" s="16"/>
      <c r="F3" s="16"/>
      <c r="G3" s="16"/>
      <c r="H3" s="15"/>
      <c r="I3" s="15"/>
      <c r="J3" s="15"/>
      <c r="K3" s="15"/>
      <c r="L3" s="15"/>
    </row>
    <row r="5" spans="1:22" x14ac:dyDescent="0.35">
      <c r="A5" s="831" t="s">
        <v>96</v>
      </c>
      <c r="B5" s="831"/>
      <c r="C5" s="831"/>
      <c r="D5" s="17" t="s">
        <v>97</v>
      </c>
      <c r="E5" s="18"/>
      <c r="F5" s="18"/>
    </row>
    <row r="6" spans="1:22" x14ac:dyDescent="0.35">
      <c r="A6" s="831" t="s">
        <v>98</v>
      </c>
      <c r="B6" s="831"/>
      <c r="C6" s="831"/>
      <c r="D6" s="17" t="s">
        <v>97</v>
      </c>
      <c r="E6" s="18"/>
      <c r="F6" s="18"/>
    </row>
    <row r="7" spans="1:22" x14ac:dyDescent="0.35">
      <c r="A7" s="831" t="s">
        <v>99</v>
      </c>
      <c r="B7" s="831"/>
      <c r="C7" s="831"/>
      <c r="D7" s="17" t="s">
        <v>97</v>
      </c>
      <c r="E7" s="18"/>
      <c r="F7" s="18"/>
    </row>
    <row r="8" spans="1:22" ht="15.5" x14ac:dyDescent="0.35">
      <c r="A8" s="831" t="s">
        <v>100</v>
      </c>
      <c r="B8" s="831"/>
      <c r="C8" s="831"/>
      <c r="D8" s="17" t="s">
        <v>97</v>
      </c>
      <c r="E8" s="20"/>
      <c r="F8" s="20"/>
      <c r="T8" s="830"/>
      <c r="U8" s="830"/>
      <c r="V8" s="830"/>
    </row>
    <row r="9" spans="1:22" x14ac:dyDescent="0.35">
      <c r="A9" s="831" t="s">
        <v>101</v>
      </c>
      <c r="B9" s="831"/>
      <c r="C9" s="831"/>
      <c r="D9" s="17" t="s">
        <v>97</v>
      </c>
      <c r="E9" s="20"/>
      <c r="F9" s="20"/>
      <c r="T9" s="77"/>
      <c r="U9" s="77"/>
      <c r="V9" s="77"/>
    </row>
    <row r="10" spans="1:22" x14ac:dyDescent="0.35">
      <c r="A10" s="831" t="s">
        <v>102</v>
      </c>
      <c r="B10" s="831"/>
      <c r="C10" s="831"/>
      <c r="D10" s="17" t="s">
        <v>97</v>
      </c>
      <c r="E10" s="18"/>
      <c r="F10" s="18"/>
      <c r="T10" s="78"/>
      <c r="U10" s="79"/>
      <c r="V10" s="80"/>
    </row>
    <row r="11" spans="1:22" x14ac:dyDescent="0.35">
      <c r="A11" s="831" t="s">
        <v>103</v>
      </c>
      <c r="B11" s="831"/>
      <c r="C11" s="831"/>
      <c r="D11" s="17" t="s">
        <v>97</v>
      </c>
      <c r="E11" s="18"/>
      <c r="F11" s="18"/>
      <c r="T11" s="78"/>
      <c r="U11" s="79"/>
      <c r="V11" s="80"/>
    </row>
    <row r="12" spans="1:22" x14ac:dyDescent="0.35">
      <c r="A12" s="831" t="s">
        <v>104</v>
      </c>
      <c r="B12" s="831"/>
      <c r="C12" s="831"/>
      <c r="D12" s="17" t="s">
        <v>97</v>
      </c>
      <c r="E12" s="18" t="s">
        <v>105</v>
      </c>
      <c r="F12" s="18"/>
      <c r="T12" s="78"/>
      <c r="U12" s="79"/>
      <c r="V12" s="80"/>
    </row>
    <row r="13" spans="1:22" x14ac:dyDescent="0.35">
      <c r="P13" s="21"/>
      <c r="T13" s="78"/>
      <c r="V13" s="80"/>
    </row>
    <row r="14" spans="1:22" ht="15" customHeight="1" x14ac:dyDescent="0.35">
      <c r="A14" s="22" t="s">
        <v>106</v>
      </c>
      <c r="B14" s="22" t="s">
        <v>107</v>
      </c>
      <c r="C14" s="22"/>
      <c r="D14" s="23"/>
      <c r="E14" s="24" t="s">
        <v>108</v>
      </c>
      <c r="F14" s="24" t="s">
        <v>109</v>
      </c>
      <c r="G14" s="87"/>
      <c r="I14" s="87"/>
      <c r="J14" s="23"/>
      <c r="T14" s="78"/>
      <c r="V14" s="81"/>
    </row>
    <row r="15" spans="1:22" x14ac:dyDescent="0.35">
      <c r="A15" s="25"/>
      <c r="B15" s="836" t="s">
        <v>110</v>
      </c>
      <c r="C15" s="836"/>
      <c r="D15" s="17" t="s">
        <v>97</v>
      </c>
      <c r="E15" s="26"/>
      <c r="F15" s="26"/>
      <c r="G15" s="27" t="s">
        <v>111</v>
      </c>
      <c r="I15" s="72"/>
      <c r="T15" s="78"/>
      <c r="V15" s="81"/>
    </row>
    <row r="16" spans="1:22" x14ac:dyDescent="0.35">
      <c r="A16" s="25"/>
      <c r="B16" s="836" t="s">
        <v>112</v>
      </c>
      <c r="C16" s="836"/>
      <c r="D16" s="17" t="s">
        <v>97</v>
      </c>
      <c r="E16" s="26"/>
      <c r="F16" s="26"/>
      <c r="G16" s="27" t="s">
        <v>8</v>
      </c>
      <c r="I16" s="72"/>
      <c r="T16" s="78"/>
    </row>
    <row r="17" spans="1:20" x14ac:dyDescent="0.35">
      <c r="A17" s="25"/>
      <c r="B17" s="25"/>
      <c r="C17" s="25"/>
      <c r="D17" s="23"/>
      <c r="E17" s="25"/>
      <c r="F17" s="25"/>
      <c r="G17" s="25"/>
      <c r="H17" s="25"/>
      <c r="I17" s="25"/>
      <c r="J17" s="28"/>
      <c r="K17" s="28"/>
      <c r="T17" s="78"/>
    </row>
    <row r="18" spans="1:20" x14ac:dyDescent="0.35">
      <c r="A18" s="22" t="s">
        <v>113</v>
      </c>
      <c r="B18" s="22" t="s">
        <v>114</v>
      </c>
      <c r="C18" s="22"/>
      <c r="D18" s="23"/>
      <c r="E18" s="25"/>
      <c r="F18" s="25"/>
      <c r="G18" s="25"/>
      <c r="H18" s="25"/>
      <c r="I18" s="25"/>
      <c r="J18" s="25"/>
      <c r="K18" s="25"/>
      <c r="T18" s="78"/>
    </row>
    <row r="19" spans="1:20" x14ac:dyDescent="0.35">
      <c r="A19" s="25"/>
      <c r="B19" s="836" t="s">
        <v>115</v>
      </c>
      <c r="C19" s="836"/>
      <c r="D19" s="17" t="s">
        <v>97</v>
      </c>
      <c r="E19" s="29"/>
      <c r="F19" s="29"/>
      <c r="G19" s="30"/>
      <c r="I19" s="23"/>
      <c r="J19" s="23"/>
      <c r="K19" s="25"/>
      <c r="T19" s="78"/>
    </row>
    <row r="20" spans="1:20" x14ac:dyDescent="0.35">
      <c r="A20" s="25"/>
      <c r="B20" s="836" t="s">
        <v>116</v>
      </c>
      <c r="C20" s="836"/>
      <c r="D20" s="17" t="s">
        <v>97</v>
      </c>
      <c r="E20" s="29"/>
      <c r="F20" s="29"/>
      <c r="G20" s="30"/>
      <c r="I20" s="23"/>
      <c r="J20" s="23"/>
      <c r="K20" s="25"/>
    </row>
    <row r="21" spans="1:20" x14ac:dyDescent="0.35">
      <c r="A21" s="25"/>
      <c r="B21" s="25"/>
      <c r="C21" s="25"/>
      <c r="D21" s="23"/>
      <c r="E21" s="25"/>
      <c r="F21" s="25"/>
      <c r="G21" s="30"/>
      <c r="H21" s="29"/>
      <c r="I21" s="23"/>
      <c r="J21" s="23"/>
      <c r="K21" s="25"/>
    </row>
    <row r="22" spans="1:20" x14ac:dyDescent="0.35">
      <c r="A22" s="22" t="s">
        <v>117</v>
      </c>
      <c r="B22" s="22" t="s">
        <v>118</v>
      </c>
      <c r="C22" s="22"/>
      <c r="D22" s="23"/>
      <c r="E22" s="25"/>
      <c r="F22" s="25"/>
      <c r="G22" s="30"/>
      <c r="H22" s="29"/>
      <c r="I22" s="23"/>
      <c r="J22" s="23"/>
      <c r="K22" s="25"/>
    </row>
    <row r="23" spans="1:20" x14ac:dyDescent="0.35">
      <c r="A23" s="25"/>
      <c r="B23" s="20" t="s">
        <v>119</v>
      </c>
      <c r="C23" s="25" t="s">
        <v>120</v>
      </c>
      <c r="D23" s="23"/>
      <c r="E23" s="25"/>
      <c r="F23" s="25"/>
      <c r="G23" s="30"/>
      <c r="H23" s="29"/>
      <c r="I23" s="82"/>
      <c r="J23" s="25"/>
      <c r="K23" s="85"/>
      <c r="L23" s="83"/>
    </row>
    <row r="24" spans="1:20" ht="15" customHeight="1" x14ac:dyDescent="0.35">
      <c r="C24" s="822" t="s">
        <v>30</v>
      </c>
      <c r="D24" s="825" t="s">
        <v>121</v>
      </c>
      <c r="E24" s="826"/>
      <c r="F24" s="832" t="s">
        <v>121</v>
      </c>
      <c r="G24" s="823" t="s">
        <v>122</v>
      </c>
      <c r="H24" s="823"/>
      <c r="I24" s="823"/>
      <c r="J24" s="823"/>
      <c r="K24" s="823"/>
      <c r="L24" s="813" t="s">
        <v>79</v>
      </c>
    </row>
    <row r="25" spans="1:20" ht="15" customHeight="1" x14ac:dyDescent="0.35">
      <c r="C25" s="822"/>
      <c r="D25" s="827"/>
      <c r="E25" s="828"/>
      <c r="F25" s="833"/>
      <c r="G25" s="46" t="s">
        <v>123</v>
      </c>
      <c r="H25" s="46" t="s">
        <v>124</v>
      </c>
      <c r="I25" s="46" t="s">
        <v>125</v>
      </c>
      <c r="J25" s="46" t="s">
        <v>126</v>
      </c>
      <c r="K25" s="46" t="s">
        <v>127</v>
      </c>
      <c r="L25" s="813"/>
    </row>
    <row r="26" spans="1:20" ht="15" customHeight="1" x14ac:dyDescent="0.35">
      <c r="C26" s="45"/>
      <c r="D26" s="843" t="s">
        <v>128</v>
      </c>
      <c r="E26" s="844"/>
      <c r="F26" s="844"/>
      <c r="G26" s="844"/>
      <c r="H26" s="844"/>
      <c r="I26" s="844"/>
      <c r="J26" s="844"/>
      <c r="K26" s="845"/>
      <c r="L26" s="63"/>
    </row>
    <row r="27" spans="1:20" ht="15" customHeight="1" x14ac:dyDescent="0.35">
      <c r="C27" s="31">
        <v>1</v>
      </c>
      <c r="D27" s="810">
        <v>0</v>
      </c>
      <c r="E27" s="810"/>
      <c r="F27" s="32"/>
      <c r="G27" s="44"/>
      <c r="H27" s="44"/>
      <c r="I27" s="44"/>
      <c r="J27" s="44"/>
      <c r="K27" s="44"/>
      <c r="L27" s="44"/>
    </row>
    <row r="28" spans="1:20" ht="15" customHeight="1" x14ac:dyDescent="0.35">
      <c r="C28" s="35">
        <v>2</v>
      </c>
      <c r="D28" s="810">
        <v>100</v>
      </c>
      <c r="E28" s="810"/>
      <c r="F28" s="32"/>
      <c r="G28" s="44"/>
      <c r="H28" s="44"/>
      <c r="I28" s="44"/>
      <c r="J28" s="44"/>
      <c r="K28" s="44"/>
      <c r="L28" s="44"/>
    </row>
    <row r="29" spans="1:20" ht="15" customHeight="1" x14ac:dyDescent="0.35">
      <c r="C29" s="35">
        <v>3</v>
      </c>
      <c r="D29" s="810">
        <v>120</v>
      </c>
      <c r="E29" s="810"/>
      <c r="F29" s="32"/>
      <c r="G29" s="44"/>
      <c r="H29" s="44"/>
      <c r="I29" s="44"/>
      <c r="J29" s="44"/>
      <c r="K29" s="44"/>
      <c r="L29" s="44"/>
    </row>
    <row r="30" spans="1:20" ht="15" customHeight="1" x14ac:dyDescent="0.35">
      <c r="C30" s="31">
        <v>4</v>
      </c>
      <c r="D30" s="810">
        <v>200</v>
      </c>
      <c r="E30" s="810"/>
      <c r="F30" s="32"/>
      <c r="G30" s="44"/>
      <c r="H30" s="44"/>
      <c r="I30" s="44"/>
      <c r="J30" s="44"/>
      <c r="K30" s="44"/>
      <c r="L30" s="44"/>
    </row>
    <row r="31" spans="1:20" x14ac:dyDescent="0.35">
      <c r="C31" s="31">
        <v>5</v>
      </c>
      <c r="D31" s="810">
        <v>220</v>
      </c>
      <c r="E31" s="810"/>
      <c r="F31" s="32"/>
      <c r="G31" s="44"/>
      <c r="H31" s="44"/>
      <c r="I31" s="44"/>
      <c r="J31" s="44"/>
      <c r="K31" s="44"/>
      <c r="L31" s="44"/>
    </row>
    <row r="32" spans="1:20" ht="15" customHeight="1" x14ac:dyDescent="0.35">
      <c r="C32" s="31">
        <v>6</v>
      </c>
      <c r="D32" s="810">
        <v>250</v>
      </c>
      <c r="E32" s="810"/>
      <c r="F32" s="32"/>
      <c r="G32" s="44"/>
      <c r="H32" s="44"/>
      <c r="I32" s="44"/>
      <c r="J32" s="44"/>
      <c r="K32" s="44"/>
      <c r="L32" s="44"/>
    </row>
    <row r="33" spans="1:12" x14ac:dyDescent="0.35">
      <c r="C33" s="39"/>
      <c r="D33" s="40"/>
      <c r="E33" s="41"/>
      <c r="F33" s="41"/>
      <c r="G33" s="41"/>
      <c r="H33" s="41"/>
      <c r="I33" s="41"/>
      <c r="J33" s="41"/>
      <c r="K33" s="41"/>
      <c r="L33" s="42"/>
    </row>
    <row r="34" spans="1:12" x14ac:dyDescent="0.35">
      <c r="A34" s="25"/>
      <c r="B34" s="20" t="s">
        <v>129</v>
      </c>
      <c r="C34" s="25" t="s">
        <v>130</v>
      </c>
      <c r="D34" s="23"/>
      <c r="E34" s="25"/>
      <c r="F34" s="25"/>
      <c r="G34" s="30"/>
      <c r="H34" s="29"/>
      <c r="I34" s="82"/>
      <c r="J34" s="25"/>
      <c r="K34" s="86"/>
    </row>
    <row r="35" spans="1:12" ht="15" customHeight="1" x14ac:dyDescent="0.35">
      <c r="C35" s="822" t="s">
        <v>30</v>
      </c>
      <c r="D35" s="825" t="s">
        <v>73</v>
      </c>
      <c r="E35" s="826"/>
      <c r="F35" s="832" t="s">
        <v>121</v>
      </c>
      <c r="G35" s="823" t="s">
        <v>122</v>
      </c>
      <c r="H35" s="823"/>
      <c r="I35" s="823"/>
      <c r="J35" s="823"/>
      <c r="K35" s="823"/>
      <c r="L35" s="813" t="s">
        <v>79</v>
      </c>
    </row>
    <row r="36" spans="1:12" ht="15" customHeight="1" x14ac:dyDescent="0.35">
      <c r="C36" s="822"/>
      <c r="D36" s="827"/>
      <c r="E36" s="828"/>
      <c r="F36" s="833"/>
      <c r="G36" s="46" t="s">
        <v>123</v>
      </c>
      <c r="H36" s="46" t="s">
        <v>124</v>
      </c>
      <c r="I36" s="46" t="s">
        <v>125</v>
      </c>
      <c r="J36" s="46" t="s">
        <v>126</v>
      </c>
      <c r="K36" s="46" t="s">
        <v>127</v>
      </c>
      <c r="L36" s="813"/>
    </row>
    <row r="37" spans="1:12" ht="15" customHeight="1" x14ac:dyDescent="0.35">
      <c r="C37" s="45"/>
      <c r="D37" s="840" t="s">
        <v>131</v>
      </c>
      <c r="E37" s="841"/>
      <c r="F37" s="841"/>
      <c r="G37" s="841"/>
      <c r="H37" s="841"/>
      <c r="I37" s="841"/>
      <c r="J37" s="841"/>
      <c r="K37" s="842"/>
      <c r="L37" s="63"/>
    </row>
    <row r="38" spans="1:12" ht="15" customHeight="1" x14ac:dyDescent="0.35">
      <c r="C38" s="31">
        <v>1</v>
      </c>
      <c r="D38" s="810">
        <v>0.01</v>
      </c>
      <c r="E38" s="810"/>
      <c r="F38" s="32"/>
      <c r="G38" s="33"/>
      <c r="H38" s="33"/>
      <c r="I38" s="33"/>
      <c r="J38" s="33"/>
      <c r="K38" s="33"/>
      <c r="L38" s="336"/>
    </row>
    <row r="39" spans="1:12" ht="15" customHeight="1" x14ac:dyDescent="0.35">
      <c r="C39" s="35">
        <v>2</v>
      </c>
      <c r="D39" s="810">
        <v>0.1</v>
      </c>
      <c r="E39" s="810"/>
      <c r="F39" s="32"/>
      <c r="G39" s="32"/>
      <c r="H39" s="32"/>
      <c r="I39" s="32"/>
      <c r="J39" s="32"/>
      <c r="K39" s="32"/>
      <c r="L39" s="336"/>
    </row>
    <row r="40" spans="1:12" ht="15" customHeight="1" x14ac:dyDescent="0.35">
      <c r="C40" s="35">
        <v>3</v>
      </c>
      <c r="D40" s="810">
        <v>1</v>
      </c>
      <c r="E40" s="810"/>
      <c r="F40" s="32"/>
      <c r="G40" s="32"/>
      <c r="H40" s="32"/>
      <c r="I40" s="32"/>
      <c r="J40" s="32"/>
      <c r="K40" s="32"/>
      <c r="L40" s="336"/>
    </row>
    <row r="41" spans="1:12" x14ac:dyDescent="0.35">
      <c r="C41" s="31">
        <v>4</v>
      </c>
      <c r="D41" s="810">
        <v>1.5</v>
      </c>
      <c r="E41" s="810"/>
      <c r="F41" s="32"/>
      <c r="G41" s="32"/>
      <c r="H41" s="32"/>
      <c r="I41" s="32"/>
      <c r="J41" s="32"/>
      <c r="K41" s="32"/>
      <c r="L41" s="336"/>
    </row>
    <row r="42" spans="1:12" ht="15" customHeight="1" x14ac:dyDescent="0.35">
      <c r="C42" s="31">
        <v>5</v>
      </c>
      <c r="D42" s="810">
        <v>2</v>
      </c>
      <c r="E42" s="810"/>
      <c r="F42" s="32"/>
      <c r="G42" s="32"/>
      <c r="H42" s="32"/>
      <c r="I42" s="32"/>
      <c r="J42" s="32"/>
      <c r="K42" s="32"/>
      <c r="L42" s="336"/>
    </row>
    <row r="43" spans="1:12" ht="15" customHeight="1" x14ac:dyDescent="0.35">
      <c r="C43" s="31"/>
      <c r="D43" s="814" t="s">
        <v>132</v>
      </c>
      <c r="E43" s="815"/>
      <c r="F43" s="334"/>
      <c r="G43" s="32"/>
      <c r="H43" s="32"/>
      <c r="I43" s="32"/>
      <c r="J43" s="32"/>
      <c r="K43" s="32"/>
      <c r="L43" s="336"/>
    </row>
    <row r="44" spans="1:12" ht="15" customHeight="1" x14ac:dyDescent="0.35">
      <c r="C44" s="45"/>
      <c r="D44" s="846" t="s">
        <v>133</v>
      </c>
      <c r="E44" s="847"/>
      <c r="F44" s="371"/>
      <c r="G44" s="369"/>
      <c r="H44" s="370" t="s">
        <v>134</v>
      </c>
      <c r="I44" s="371"/>
      <c r="J44" s="333"/>
      <c r="K44" s="370"/>
      <c r="L44" s="338"/>
    </row>
    <row r="45" spans="1:12" ht="15.75" customHeight="1" x14ac:dyDescent="0.35">
      <c r="C45" s="64"/>
      <c r="D45" s="837" t="s">
        <v>135</v>
      </c>
      <c r="E45" s="838"/>
      <c r="F45" s="838"/>
      <c r="G45" s="838"/>
      <c r="H45" s="838"/>
      <c r="I45" s="838"/>
      <c r="J45" s="838"/>
      <c r="K45" s="839"/>
      <c r="L45" s="337"/>
    </row>
    <row r="46" spans="1:12" ht="15" customHeight="1" x14ac:dyDescent="0.35">
      <c r="C46" s="65">
        <v>1</v>
      </c>
      <c r="D46" s="829">
        <v>0.01</v>
      </c>
      <c r="E46" s="829"/>
      <c r="F46" s="69"/>
      <c r="G46" s="66"/>
      <c r="H46" s="66"/>
      <c r="I46" s="66"/>
      <c r="J46" s="66"/>
      <c r="K46" s="66"/>
      <c r="L46" s="337"/>
    </row>
    <row r="47" spans="1:12" ht="15" customHeight="1" x14ac:dyDescent="0.35">
      <c r="C47" s="68">
        <v>2</v>
      </c>
      <c r="D47" s="829">
        <v>0.1</v>
      </c>
      <c r="E47" s="829"/>
      <c r="F47" s="69"/>
      <c r="G47" s="69"/>
      <c r="H47" s="69"/>
      <c r="I47" s="69"/>
      <c r="J47" s="69"/>
      <c r="K47" s="69"/>
      <c r="L47" s="337"/>
    </row>
    <row r="48" spans="1:12" ht="15" customHeight="1" x14ac:dyDescent="0.35">
      <c r="C48" s="68">
        <v>3</v>
      </c>
      <c r="D48" s="829">
        <v>1</v>
      </c>
      <c r="E48" s="829"/>
      <c r="F48" s="69"/>
      <c r="G48" s="69"/>
      <c r="H48" s="69"/>
      <c r="I48" s="69"/>
      <c r="J48" s="70"/>
      <c r="K48" s="69"/>
      <c r="L48" s="337"/>
    </row>
    <row r="49" spans="1:12" x14ac:dyDescent="0.35">
      <c r="C49" s="65">
        <v>4</v>
      </c>
      <c r="D49" s="829">
        <v>1.5</v>
      </c>
      <c r="E49" s="829"/>
      <c r="F49" s="69"/>
      <c r="G49" s="69"/>
      <c r="H49" s="69"/>
      <c r="I49" s="69"/>
      <c r="J49" s="69"/>
      <c r="K49" s="69"/>
      <c r="L49" s="337"/>
    </row>
    <row r="50" spans="1:12" ht="15" customHeight="1" x14ac:dyDescent="0.35">
      <c r="C50" s="65">
        <v>5</v>
      </c>
      <c r="D50" s="829">
        <v>2</v>
      </c>
      <c r="E50" s="829"/>
      <c r="F50" s="69"/>
      <c r="G50" s="69"/>
      <c r="H50" s="69"/>
      <c r="I50" s="69"/>
      <c r="J50" s="69"/>
      <c r="K50" s="69"/>
      <c r="L50" s="67"/>
    </row>
    <row r="51" spans="1:12" ht="15" customHeight="1" x14ac:dyDescent="0.35">
      <c r="C51" s="65"/>
      <c r="D51" s="816" t="s">
        <v>132</v>
      </c>
      <c r="E51" s="817"/>
      <c r="F51" s="340"/>
      <c r="G51" s="69"/>
      <c r="H51" s="69"/>
      <c r="I51" s="69"/>
      <c r="J51" s="69"/>
      <c r="K51" s="69"/>
      <c r="L51" s="337"/>
    </row>
    <row r="52" spans="1:12" ht="15" customHeight="1" x14ac:dyDescent="0.35">
      <c r="C52" s="339"/>
      <c r="D52" s="818" t="s">
        <v>133</v>
      </c>
      <c r="E52" s="819"/>
      <c r="F52" s="408"/>
      <c r="G52" s="406"/>
      <c r="H52" s="407" t="s">
        <v>134</v>
      </c>
      <c r="I52" s="408"/>
      <c r="J52" s="341"/>
      <c r="K52" s="407"/>
      <c r="L52" s="335"/>
    </row>
    <row r="53" spans="1:12" ht="15" customHeight="1" x14ac:dyDescent="0.35">
      <c r="C53" s="39"/>
      <c r="D53" s="40"/>
      <c r="E53" s="41"/>
      <c r="F53" s="41"/>
      <c r="G53" s="41"/>
      <c r="H53" s="41"/>
      <c r="I53" s="41"/>
      <c r="J53" s="41"/>
      <c r="K53" s="41"/>
      <c r="L53" s="83"/>
    </row>
    <row r="54" spans="1:12" x14ac:dyDescent="0.35">
      <c r="A54" s="25"/>
      <c r="B54" s="20" t="s">
        <v>136</v>
      </c>
      <c r="C54" s="25" t="s">
        <v>137</v>
      </c>
      <c r="D54" s="23"/>
      <c r="E54" s="25"/>
      <c r="F54" s="25"/>
      <c r="G54" s="30"/>
      <c r="H54" s="29"/>
      <c r="I54" s="82"/>
      <c r="J54" s="25"/>
      <c r="K54" s="85"/>
    </row>
    <row r="55" spans="1:12" ht="15" customHeight="1" x14ac:dyDescent="0.35">
      <c r="C55" s="822" t="s">
        <v>30</v>
      </c>
      <c r="D55" s="825" t="s">
        <v>121</v>
      </c>
      <c r="E55" s="826"/>
      <c r="F55" s="832" t="s">
        <v>121</v>
      </c>
      <c r="G55" s="823" t="s">
        <v>122</v>
      </c>
      <c r="H55" s="823"/>
      <c r="I55" s="823"/>
      <c r="J55" s="823"/>
      <c r="K55" s="823"/>
      <c r="L55" s="813" t="s">
        <v>79</v>
      </c>
    </row>
    <row r="56" spans="1:12" ht="15" customHeight="1" x14ac:dyDescent="0.35">
      <c r="C56" s="822"/>
      <c r="D56" s="827"/>
      <c r="E56" s="828"/>
      <c r="F56" s="833"/>
      <c r="G56" s="46" t="s">
        <v>123</v>
      </c>
      <c r="H56" s="46" t="s">
        <v>124</v>
      </c>
      <c r="I56" s="46" t="s">
        <v>125</v>
      </c>
      <c r="J56" s="46" t="s">
        <v>126</v>
      </c>
      <c r="K56" s="46" t="s">
        <v>127</v>
      </c>
      <c r="L56" s="813"/>
    </row>
    <row r="57" spans="1:12" ht="15" customHeight="1" x14ac:dyDescent="0.35">
      <c r="C57" s="11"/>
      <c r="D57" s="820" t="s">
        <v>138</v>
      </c>
      <c r="E57" s="821"/>
      <c r="F57" s="821"/>
      <c r="G57" s="821"/>
      <c r="H57" s="821"/>
      <c r="I57" s="821"/>
      <c r="J57" s="821"/>
      <c r="K57" s="824"/>
      <c r="L57" s="43"/>
    </row>
    <row r="58" spans="1:12" ht="15" customHeight="1" x14ac:dyDescent="0.35">
      <c r="C58" s="31">
        <v>1</v>
      </c>
      <c r="D58" s="810">
        <v>0</v>
      </c>
      <c r="E58" s="810"/>
      <c r="F58" s="32"/>
      <c r="G58" s="33"/>
      <c r="H58" s="33"/>
      <c r="I58" s="33"/>
      <c r="J58" s="33"/>
      <c r="K58" s="33"/>
      <c r="L58" s="34"/>
    </row>
    <row r="59" spans="1:12" ht="15" customHeight="1" x14ac:dyDescent="0.35">
      <c r="C59" s="35">
        <v>2</v>
      </c>
      <c r="D59" s="810">
        <v>1</v>
      </c>
      <c r="E59" s="810"/>
      <c r="F59" s="32"/>
      <c r="G59" s="32"/>
      <c r="H59" s="32"/>
      <c r="I59" s="32"/>
      <c r="J59" s="32"/>
      <c r="K59" s="32"/>
      <c r="L59" s="34"/>
    </row>
    <row r="60" spans="1:12" ht="15" customHeight="1" x14ac:dyDescent="0.35">
      <c r="C60" s="35">
        <v>3</v>
      </c>
      <c r="D60" s="810">
        <v>50</v>
      </c>
      <c r="E60" s="810"/>
      <c r="F60" s="32"/>
      <c r="G60" s="32"/>
      <c r="H60" s="32"/>
      <c r="I60" s="32"/>
      <c r="J60" s="32"/>
      <c r="K60" s="32"/>
      <c r="L60" s="34"/>
    </row>
    <row r="61" spans="1:12" x14ac:dyDescent="0.35">
      <c r="C61" s="31">
        <v>4</v>
      </c>
      <c r="D61" s="810">
        <v>100</v>
      </c>
      <c r="E61" s="810"/>
      <c r="F61" s="32"/>
      <c r="G61" s="32"/>
      <c r="H61" s="32"/>
      <c r="I61" s="32"/>
      <c r="J61" s="32"/>
      <c r="K61" s="32"/>
      <c r="L61" s="34"/>
    </row>
    <row r="62" spans="1:12" ht="15" customHeight="1" x14ac:dyDescent="0.35">
      <c r="C62" s="31">
        <v>5</v>
      </c>
      <c r="D62" s="810">
        <v>500</v>
      </c>
      <c r="E62" s="810"/>
      <c r="F62" s="32"/>
      <c r="G62" s="32"/>
      <c r="H62" s="32"/>
      <c r="I62" s="32"/>
      <c r="J62" s="32"/>
      <c r="K62" s="32"/>
      <c r="L62" s="34"/>
    </row>
    <row r="63" spans="1:12" ht="15" customHeight="1" x14ac:dyDescent="0.35">
      <c r="C63" s="31">
        <v>6</v>
      </c>
      <c r="D63" s="811">
        <v>1000</v>
      </c>
      <c r="E63" s="812"/>
      <c r="F63" s="62"/>
      <c r="G63" s="32"/>
      <c r="H63" s="32"/>
      <c r="I63" s="32"/>
      <c r="J63" s="32"/>
      <c r="K63" s="32"/>
      <c r="L63" s="34"/>
    </row>
    <row r="64" spans="1:12" ht="15" customHeight="1" x14ac:dyDescent="0.35">
      <c r="C64" s="39"/>
      <c r="D64" s="40"/>
      <c r="E64" s="41"/>
      <c r="F64" s="41"/>
      <c r="G64" s="41"/>
      <c r="H64" s="41"/>
      <c r="I64" s="41"/>
      <c r="J64" s="41"/>
      <c r="K64" s="41"/>
      <c r="L64" s="42"/>
    </row>
    <row r="65" spans="1:12" x14ac:dyDescent="0.35">
      <c r="A65" s="25"/>
      <c r="B65" s="20" t="s">
        <v>139</v>
      </c>
      <c r="C65" s="25" t="s">
        <v>140</v>
      </c>
      <c r="D65" s="23"/>
      <c r="E65" s="25"/>
      <c r="F65" s="25"/>
      <c r="G65" s="30"/>
      <c r="H65" s="29"/>
      <c r="I65" s="82"/>
      <c r="J65" s="25"/>
      <c r="K65" s="85"/>
      <c r="L65" s="83"/>
    </row>
    <row r="66" spans="1:12" ht="15" customHeight="1" x14ac:dyDescent="0.35">
      <c r="C66" s="822" t="s">
        <v>30</v>
      </c>
      <c r="D66" s="825" t="s">
        <v>121</v>
      </c>
      <c r="E66" s="826"/>
      <c r="F66" s="832" t="s">
        <v>121</v>
      </c>
      <c r="G66" s="823" t="s">
        <v>122</v>
      </c>
      <c r="H66" s="823"/>
      <c r="I66" s="823"/>
      <c r="J66" s="823"/>
      <c r="K66" s="823"/>
      <c r="L66" s="813" t="s">
        <v>79</v>
      </c>
    </row>
    <row r="67" spans="1:12" ht="15" customHeight="1" x14ac:dyDescent="0.35">
      <c r="C67" s="822"/>
      <c r="D67" s="827"/>
      <c r="E67" s="828"/>
      <c r="F67" s="833"/>
      <c r="G67" s="46" t="s">
        <v>123</v>
      </c>
      <c r="H67" s="46" t="s">
        <v>124</v>
      </c>
      <c r="I67" s="46" t="s">
        <v>125</v>
      </c>
      <c r="J67" s="46" t="s">
        <v>126</v>
      </c>
      <c r="K67" s="46" t="s">
        <v>127</v>
      </c>
      <c r="L67" s="813"/>
    </row>
    <row r="68" spans="1:12" ht="15" customHeight="1" x14ac:dyDescent="0.35">
      <c r="C68" s="11"/>
      <c r="D68" s="820" t="s">
        <v>138</v>
      </c>
      <c r="E68" s="821"/>
      <c r="F68" s="821"/>
      <c r="G68" s="821"/>
      <c r="H68" s="821"/>
      <c r="I68" s="821"/>
      <c r="J68" s="821"/>
      <c r="K68" s="824"/>
      <c r="L68" s="43"/>
    </row>
    <row r="69" spans="1:12" ht="15" customHeight="1" x14ac:dyDescent="0.35">
      <c r="C69" s="11"/>
      <c r="D69" s="820" t="s">
        <v>141</v>
      </c>
      <c r="E69" s="821"/>
      <c r="F69" s="821"/>
      <c r="G69" s="821"/>
      <c r="H69" s="821"/>
      <c r="I69" s="821"/>
      <c r="J69" s="821"/>
      <c r="K69" s="821"/>
      <c r="L69" s="43"/>
    </row>
    <row r="70" spans="1:12" ht="15" customHeight="1" x14ac:dyDescent="0.35">
      <c r="C70" s="31">
        <v>1</v>
      </c>
      <c r="D70" s="810">
        <v>0</v>
      </c>
      <c r="E70" s="810"/>
      <c r="F70" s="32"/>
      <c r="G70" s="33"/>
      <c r="H70" s="33"/>
      <c r="I70" s="33"/>
      <c r="J70" s="33"/>
      <c r="K70" s="33"/>
      <c r="L70" s="34"/>
    </row>
    <row r="71" spans="1:12" ht="15" customHeight="1" x14ac:dyDescent="0.35">
      <c r="C71" s="35">
        <v>2</v>
      </c>
      <c r="D71" s="810">
        <v>1</v>
      </c>
      <c r="E71" s="810"/>
      <c r="F71" s="32"/>
      <c r="G71" s="32"/>
      <c r="H71" s="32"/>
      <c r="I71" s="32"/>
      <c r="J71" s="32"/>
      <c r="K71" s="32"/>
      <c r="L71" s="34"/>
    </row>
    <row r="72" spans="1:12" ht="15" customHeight="1" x14ac:dyDescent="0.35">
      <c r="C72" s="35">
        <v>3</v>
      </c>
      <c r="D72" s="810">
        <v>50</v>
      </c>
      <c r="E72" s="810"/>
      <c r="F72" s="32"/>
      <c r="G72" s="32"/>
      <c r="H72" s="32"/>
      <c r="I72" s="32"/>
      <c r="J72" s="32"/>
      <c r="K72" s="32"/>
      <c r="L72" s="34"/>
    </row>
    <row r="73" spans="1:12" x14ac:dyDescent="0.35">
      <c r="C73" s="31">
        <v>4</v>
      </c>
      <c r="D73" s="810">
        <v>100</v>
      </c>
      <c r="E73" s="810"/>
      <c r="F73" s="32"/>
      <c r="G73" s="32"/>
      <c r="H73" s="32"/>
      <c r="I73" s="32"/>
      <c r="J73" s="32"/>
      <c r="K73" s="32"/>
      <c r="L73" s="34"/>
    </row>
    <row r="74" spans="1:12" ht="15" customHeight="1" x14ac:dyDescent="0.35">
      <c r="C74" s="31">
        <v>5</v>
      </c>
      <c r="D74" s="810">
        <v>500</v>
      </c>
      <c r="E74" s="810"/>
      <c r="F74" s="32"/>
      <c r="G74" s="32"/>
      <c r="H74" s="32"/>
      <c r="I74" s="32"/>
      <c r="J74" s="32"/>
      <c r="K74" s="32"/>
      <c r="L74" s="34"/>
    </row>
    <row r="75" spans="1:12" ht="15" customHeight="1" x14ac:dyDescent="0.35">
      <c r="C75" s="31">
        <v>6</v>
      </c>
      <c r="D75" s="811">
        <v>1000</v>
      </c>
      <c r="E75" s="812"/>
      <c r="F75" s="62"/>
      <c r="G75" s="32"/>
      <c r="H75" s="32"/>
      <c r="I75" s="32"/>
      <c r="J75" s="32"/>
      <c r="K75" s="32"/>
      <c r="L75" s="34"/>
    </row>
    <row r="76" spans="1:12" ht="15.75" customHeight="1" x14ac:dyDescent="0.35">
      <c r="C76" s="11"/>
      <c r="D76" s="820" t="s">
        <v>142</v>
      </c>
      <c r="E76" s="821"/>
      <c r="F76" s="821"/>
      <c r="G76" s="821"/>
      <c r="H76" s="821"/>
      <c r="I76" s="821"/>
      <c r="J76" s="821"/>
      <c r="K76" s="824"/>
      <c r="L76" s="43"/>
    </row>
    <row r="77" spans="1:12" ht="15" customHeight="1" x14ac:dyDescent="0.35">
      <c r="C77" s="31">
        <v>1</v>
      </c>
      <c r="D77" s="810">
        <v>0</v>
      </c>
      <c r="E77" s="810"/>
      <c r="F77" s="32"/>
      <c r="G77" s="33"/>
      <c r="H77" s="33"/>
      <c r="I77" s="33"/>
      <c r="J77" s="33"/>
      <c r="K77" s="33"/>
      <c r="L77" s="34"/>
    </row>
    <row r="78" spans="1:12" ht="15" customHeight="1" x14ac:dyDescent="0.35">
      <c r="C78" s="35">
        <v>2</v>
      </c>
      <c r="D78" s="810">
        <v>1</v>
      </c>
      <c r="E78" s="810"/>
      <c r="F78" s="32"/>
      <c r="G78" s="32"/>
      <c r="H78" s="32"/>
      <c r="I78" s="32"/>
      <c r="J78" s="32"/>
      <c r="K78" s="32"/>
      <c r="L78" s="34"/>
    </row>
    <row r="79" spans="1:12" ht="15" customHeight="1" x14ac:dyDescent="0.35">
      <c r="C79" s="35">
        <v>3</v>
      </c>
      <c r="D79" s="810">
        <v>50</v>
      </c>
      <c r="E79" s="810"/>
      <c r="F79" s="32"/>
      <c r="G79" s="32"/>
      <c r="H79" s="32"/>
      <c r="I79" s="32"/>
      <c r="J79" s="32"/>
      <c r="K79" s="32"/>
      <c r="L79" s="34"/>
    </row>
    <row r="80" spans="1:12" x14ac:dyDescent="0.35">
      <c r="C80" s="31">
        <v>4</v>
      </c>
      <c r="D80" s="810">
        <v>100</v>
      </c>
      <c r="E80" s="810"/>
      <c r="F80" s="32"/>
      <c r="G80" s="32"/>
      <c r="H80" s="32"/>
      <c r="I80" s="32"/>
      <c r="J80" s="32"/>
      <c r="K80" s="32"/>
      <c r="L80" s="34"/>
    </row>
    <row r="81" spans="3:12" ht="15" customHeight="1" x14ac:dyDescent="0.35">
      <c r="C81" s="31">
        <v>5</v>
      </c>
      <c r="D81" s="810">
        <v>500</v>
      </c>
      <c r="E81" s="810"/>
      <c r="F81" s="32"/>
      <c r="G81" s="32"/>
      <c r="H81" s="32"/>
      <c r="I81" s="32"/>
      <c r="J81" s="32"/>
      <c r="K81" s="32"/>
      <c r="L81" s="34"/>
    </row>
    <row r="82" spans="3:12" ht="15" customHeight="1" x14ac:dyDescent="0.35">
      <c r="C82" s="31">
        <v>6</v>
      </c>
      <c r="D82" s="811">
        <v>1000</v>
      </c>
      <c r="E82" s="812"/>
      <c r="F82" s="62"/>
      <c r="G82" s="32"/>
      <c r="H82" s="32"/>
      <c r="I82" s="32"/>
      <c r="J82" s="32"/>
      <c r="K82" s="32"/>
      <c r="L82" s="34"/>
    </row>
    <row r="83" spans="3:12" ht="15.75" customHeight="1" x14ac:dyDescent="0.35">
      <c r="C83" s="11"/>
      <c r="D83" s="820" t="s">
        <v>143</v>
      </c>
      <c r="E83" s="821"/>
      <c r="F83" s="821"/>
      <c r="G83" s="821"/>
      <c r="H83" s="821"/>
      <c r="I83" s="821"/>
      <c r="J83" s="821"/>
      <c r="K83" s="824"/>
      <c r="L83" s="43"/>
    </row>
    <row r="84" spans="3:12" ht="15" customHeight="1" x14ac:dyDescent="0.35">
      <c r="C84" s="31">
        <v>1</v>
      </c>
      <c r="D84" s="810">
        <v>0</v>
      </c>
      <c r="E84" s="810"/>
      <c r="F84" s="32"/>
      <c r="G84" s="33"/>
      <c r="H84" s="33"/>
      <c r="I84" s="33"/>
      <c r="J84" s="33"/>
      <c r="K84" s="33"/>
      <c r="L84" s="34"/>
    </row>
    <row r="85" spans="3:12" ht="15" customHeight="1" x14ac:dyDescent="0.35">
      <c r="C85" s="35">
        <v>2</v>
      </c>
      <c r="D85" s="810">
        <v>1</v>
      </c>
      <c r="E85" s="810"/>
      <c r="F85" s="32"/>
      <c r="G85" s="32"/>
      <c r="H85" s="32"/>
      <c r="I85" s="32"/>
      <c r="J85" s="32"/>
      <c r="K85" s="32"/>
      <c r="L85" s="34"/>
    </row>
    <row r="86" spans="3:12" ht="15" customHeight="1" x14ac:dyDescent="0.35">
      <c r="C86" s="35">
        <v>3</v>
      </c>
      <c r="D86" s="810">
        <v>50</v>
      </c>
      <c r="E86" s="810"/>
      <c r="F86" s="32"/>
      <c r="G86" s="32"/>
      <c r="H86" s="32"/>
      <c r="I86" s="32"/>
      <c r="J86" s="32"/>
      <c r="K86" s="32"/>
      <c r="L86" s="34"/>
    </row>
    <row r="87" spans="3:12" x14ac:dyDescent="0.35">
      <c r="C87" s="31">
        <v>4</v>
      </c>
      <c r="D87" s="810">
        <v>100</v>
      </c>
      <c r="E87" s="810"/>
      <c r="F87" s="32"/>
      <c r="G87" s="32"/>
      <c r="H87" s="32"/>
      <c r="I87" s="32"/>
      <c r="J87" s="32"/>
      <c r="K87" s="32"/>
      <c r="L87" s="34"/>
    </row>
    <row r="88" spans="3:12" ht="15" customHeight="1" x14ac:dyDescent="0.35">
      <c r="C88" s="35">
        <v>5</v>
      </c>
      <c r="D88" s="810">
        <v>500</v>
      </c>
      <c r="E88" s="810"/>
      <c r="F88" s="32"/>
      <c r="G88" s="32"/>
      <c r="H88" s="32"/>
      <c r="I88" s="32"/>
      <c r="J88" s="32"/>
      <c r="K88" s="32"/>
      <c r="L88" s="34"/>
    </row>
    <row r="89" spans="3:12" ht="15" customHeight="1" x14ac:dyDescent="0.35">
      <c r="C89" s="35">
        <v>6</v>
      </c>
      <c r="D89" s="811">
        <v>1000</v>
      </c>
      <c r="E89" s="812"/>
      <c r="F89" s="62"/>
      <c r="G89" s="32"/>
      <c r="H89" s="32"/>
      <c r="I89" s="32"/>
      <c r="J89" s="32"/>
      <c r="K89" s="32"/>
      <c r="L89" s="34"/>
    </row>
    <row r="90" spans="3:12" ht="15.75" customHeight="1" x14ac:dyDescent="0.35">
      <c r="C90" s="11"/>
      <c r="D90" s="820" t="s">
        <v>144</v>
      </c>
      <c r="E90" s="821"/>
      <c r="F90" s="821"/>
      <c r="G90" s="821"/>
      <c r="H90" s="821"/>
      <c r="I90" s="821"/>
      <c r="J90" s="821"/>
      <c r="K90" s="824"/>
      <c r="L90" s="43"/>
    </row>
    <row r="91" spans="3:12" ht="15" customHeight="1" x14ac:dyDescent="0.35">
      <c r="C91" s="31">
        <v>1</v>
      </c>
      <c r="D91" s="810">
        <v>0</v>
      </c>
      <c r="E91" s="810"/>
      <c r="F91" s="32"/>
      <c r="G91" s="33"/>
      <c r="H91" s="33"/>
      <c r="I91" s="33"/>
      <c r="J91" s="33"/>
      <c r="K91" s="33"/>
      <c r="L91" s="34"/>
    </row>
    <row r="92" spans="3:12" ht="15" customHeight="1" x14ac:dyDescent="0.35">
      <c r="C92" s="35">
        <v>2</v>
      </c>
      <c r="D92" s="810">
        <v>1</v>
      </c>
      <c r="E92" s="810"/>
      <c r="F92" s="32"/>
      <c r="G92" s="32"/>
      <c r="H92" s="32"/>
      <c r="I92" s="32"/>
      <c r="J92" s="32"/>
      <c r="K92" s="32"/>
      <c r="L92" s="34"/>
    </row>
    <row r="93" spans="3:12" ht="15" customHeight="1" x14ac:dyDescent="0.35">
      <c r="C93" s="35">
        <v>3</v>
      </c>
      <c r="D93" s="810">
        <v>50</v>
      </c>
      <c r="E93" s="810"/>
      <c r="F93" s="32"/>
      <c r="G93" s="32"/>
      <c r="H93" s="32"/>
      <c r="I93" s="32"/>
      <c r="J93" s="32"/>
      <c r="K93" s="32"/>
      <c r="L93" s="34"/>
    </row>
    <row r="94" spans="3:12" x14ac:dyDescent="0.35">
      <c r="C94" s="31">
        <v>4</v>
      </c>
      <c r="D94" s="810">
        <v>100</v>
      </c>
      <c r="E94" s="810"/>
      <c r="F94" s="32"/>
      <c r="G94" s="32"/>
      <c r="H94" s="32"/>
      <c r="I94" s="32"/>
      <c r="J94" s="32"/>
      <c r="K94" s="32"/>
      <c r="L94" s="34"/>
    </row>
    <row r="95" spans="3:12" ht="15" customHeight="1" x14ac:dyDescent="0.35">
      <c r="C95" s="35">
        <v>5</v>
      </c>
      <c r="D95" s="810">
        <v>500</v>
      </c>
      <c r="E95" s="810"/>
      <c r="F95" s="32"/>
      <c r="G95" s="32"/>
      <c r="H95" s="32"/>
      <c r="I95" s="32"/>
      <c r="J95" s="32"/>
      <c r="K95" s="32"/>
      <c r="L95" s="34"/>
    </row>
    <row r="96" spans="3:12" ht="15" customHeight="1" x14ac:dyDescent="0.35">
      <c r="C96" s="35">
        <v>6</v>
      </c>
      <c r="D96" s="811">
        <v>1000</v>
      </c>
      <c r="E96" s="812"/>
      <c r="F96" s="62"/>
      <c r="G96" s="32"/>
      <c r="H96" s="32"/>
      <c r="I96" s="32"/>
      <c r="J96" s="32"/>
      <c r="K96" s="32"/>
      <c r="L96" s="34"/>
    </row>
    <row r="97" spans="1:12" ht="15.75" customHeight="1" x14ac:dyDescent="0.35">
      <c r="C97" s="11"/>
      <c r="D97" s="820" t="s">
        <v>145</v>
      </c>
      <c r="E97" s="821"/>
      <c r="F97" s="821"/>
      <c r="G97" s="821"/>
      <c r="H97" s="821"/>
      <c r="I97" s="821"/>
      <c r="J97" s="821"/>
      <c r="K97" s="824"/>
      <c r="L97" s="43"/>
    </row>
    <row r="98" spans="1:12" ht="15" customHeight="1" x14ac:dyDescent="0.35">
      <c r="C98" s="31">
        <v>1</v>
      </c>
      <c r="D98" s="810">
        <v>0</v>
      </c>
      <c r="E98" s="810"/>
      <c r="F98" s="32"/>
      <c r="G98" s="33"/>
      <c r="H98" s="33"/>
      <c r="I98" s="33"/>
      <c r="J98" s="33"/>
      <c r="K98" s="33"/>
      <c r="L98" s="34"/>
    </row>
    <row r="99" spans="1:12" ht="15" customHeight="1" x14ac:dyDescent="0.35">
      <c r="C99" s="35">
        <v>2</v>
      </c>
      <c r="D99" s="810">
        <v>1</v>
      </c>
      <c r="E99" s="810"/>
      <c r="F99" s="32"/>
      <c r="G99" s="32"/>
      <c r="H99" s="32"/>
      <c r="I99" s="32"/>
      <c r="J99" s="32"/>
      <c r="K99" s="32"/>
      <c r="L99" s="34"/>
    </row>
    <row r="100" spans="1:12" ht="15" customHeight="1" x14ac:dyDescent="0.35">
      <c r="C100" s="35">
        <v>3</v>
      </c>
      <c r="D100" s="810">
        <v>50</v>
      </c>
      <c r="E100" s="810"/>
      <c r="F100" s="32"/>
      <c r="G100" s="32"/>
      <c r="H100" s="32"/>
      <c r="I100" s="32"/>
      <c r="J100" s="32"/>
      <c r="K100" s="32"/>
      <c r="L100" s="34"/>
    </row>
    <row r="101" spans="1:12" x14ac:dyDescent="0.35">
      <c r="C101" s="31">
        <v>4</v>
      </c>
      <c r="D101" s="810">
        <v>100</v>
      </c>
      <c r="E101" s="810"/>
      <c r="F101" s="32"/>
      <c r="G101" s="32"/>
      <c r="H101" s="32"/>
      <c r="I101" s="32"/>
      <c r="J101" s="32"/>
      <c r="K101" s="32"/>
      <c r="L101" s="34"/>
    </row>
    <row r="102" spans="1:12" ht="15" customHeight="1" x14ac:dyDescent="0.35">
      <c r="C102" s="35">
        <v>5</v>
      </c>
      <c r="D102" s="810">
        <v>500</v>
      </c>
      <c r="E102" s="810"/>
      <c r="F102" s="32"/>
      <c r="G102" s="32"/>
      <c r="H102" s="32"/>
      <c r="I102" s="32"/>
      <c r="J102" s="32"/>
      <c r="K102" s="32"/>
      <c r="L102" s="34"/>
    </row>
    <row r="103" spans="1:12" ht="15" customHeight="1" x14ac:dyDescent="0.35">
      <c r="C103" s="35">
        <v>6</v>
      </c>
      <c r="D103" s="811">
        <v>1000</v>
      </c>
      <c r="E103" s="812"/>
      <c r="F103" s="62"/>
      <c r="G103" s="32"/>
      <c r="H103" s="32"/>
      <c r="I103" s="32"/>
      <c r="J103" s="32"/>
      <c r="K103" s="32"/>
      <c r="L103" s="34"/>
    </row>
    <row r="104" spans="1:12" ht="15" customHeight="1" x14ac:dyDescent="0.35">
      <c r="C104" s="71"/>
      <c r="D104" s="41"/>
      <c r="E104" s="41"/>
      <c r="F104" s="41"/>
      <c r="G104" s="41"/>
      <c r="H104" s="41"/>
      <c r="I104" s="41"/>
      <c r="J104" s="41"/>
      <c r="K104" s="41"/>
      <c r="L104" s="42"/>
    </row>
    <row r="105" spans="1:12" x14ac:dyDescent="0.35">
      <c r="A105" s="25"/>
      <c r="B105" s="20" t="s">
        <v>146</v>
      </c>
      <c r="C105" s="25" t="s">
        <v>147</v>
      </c>
      <c r="D105" s="23"/>
      <c r="E105" s="25"/>
      <c r="F105" s="25"/>
      <c r="G105" s="30"/>
      <c r="H105" s="29"/>
      <c r="I105" s="82"/>
      <c r="J105" s="25"/>
      <c r="K105" s="85"/>
      <c r="L105" s="83"/>
    </row>
    <row r="106" spans="1:12" ht="15" customHeight="1" x14ac:dyDescent="0.35">
      <c r="C106" s="822" t="s">
        <v>30</v>
      </c>
      <c r="D106" s="825" t="s">
        <v>121</v>
      </c>
      <c r="E106" s="826"/>
      <c r="F106" s="832" t="s">
        <v>121</v>
      </c>
      <c r="G106" s="823" t="s">
        <v>122</v>
      </c>
      <c r="H106" s="823"/>
      <c r="I106" s="823"/>
      <c r="J106" s="823"/>
      <c r="K106" s="823"/>
      <c r="L106" s="813" t="s">
        <v>79</v>
      </c>
    </row>
    <row r="107" spans="1:12" ht="15" customHeight="1" x14ac:dyDescent="0.35">
      <c r="C107" s="822"/>
      <c r="D107" s="827"/>
      <c r="E107" s="828"/>
      <c r="F107" s="833"/>
      <c r="G107" s="46" t="s">
        <v>123</v>
      </c>
      <c r="H107" s="46" t="s">
        <v>124</v>
      </c>
      <c r="I107" s="46" t="s">
        <v>125</v>
      </c>
      <c r="J107" s="46" t="s">
        <v>126</v>
      </c>
      <c r="K107" s="46" t="s">
        <v>127</v>
      </c>
      <c r="L107" s="813"/>
    </row>
    <row r="108" spans="1:12" ht="15" customHeight="1" x14ac:dyDescent="0.35">
      <c r="C108" s="11"/>
      <c r="D108" s="820" t="s">
        <v>148</v>
      </c>
      <c r="E108" s="821"/>
      <c r="F108" s="821"/>
      <c r="G108" s="821"/>
      <c r="H108" s="821"/>
      <c r="I108" s="821"/>
      <c r="J108" s="821"/>
      <c r="K108" s="824"/>
      <c r="L108" s="43"/>
    </row>
    <row r="109" spans="1:12" ht="15" customHeight="1" x14ac:dyDescent="0.35">
      <c r="C109" s="31">
        <v>1</v>
      </c>
      <c r="D109" s="810">
        <v>0</v>
      </c>
      <c r="E109" s="810"/>
      <c r="F109" s="32"/>
      <c r="G109" s="33"/>
      <c r="H109" s="33"/>
      <c r="I109" s="33"/>
      <c r="J109" s="33"/>
      <c r="K109" s="33"/>
      <c r="L109" s="34"/>
    </row>
    <row r="110" spans="1:12" ht="15" customHeight="1" x14ac:dyDescent="0.35">
      <c r="C110" s="35">
        <v>2</v>
      </c>
      <c r="D110" s="810">
        <v>1</v>
      </c>
      <c r="E110" s="810"/>
      <c r="F110" s="32"/>
      <c r="G110" s="32"/>
      <c r="H110" s="32"/>
      <c r="I110" s="32"/>
      <c r="J110" s="32"/>
      <c r="K110" s="32"/>
      <c r="L110" s="34"/>
    </row>
    <row r="111" spans="1:12" ht="15" customHeight="1" x14ac:dyDescent="0.35">
      <c r="C111" s="35">
        <v>3</v>
      </c>
      <c r="D111" s="810">
        <v>50</v>
      </c>
      <c r="E111" s="810"/>
      <c r="F111" s="32"/>
      <c r="G111" s="32"/>
      <c r="H111" s="32"/>
      <c r="I111" s="32"/>
      <c r="J111" s="32"/>
      <c r="K111" s="32"/>
      <c r="L111" s="34"/>
    </row>
    <row r="112" spans="1:12" x14ac:dyDescent="0.35">
      <c r="C112" s="31">
        <v>4</v>
      </c>
      <c r="D112" s="810">
        <v>100</v>
      </c>
      <c r="E112" s="810"/>
      <c r="F112" s="32"/>
      <c r="G112" s="32"/>
      <c r="H112" s="32"/>
      <c r="I112" s="32"/>
      <c r="J112" s="32"/>
      <c r="K112" s="32"/>
      <c r="L112" s="34"/>
    </row>
    <row r="113" spans="1:12" ht="15" customHeight="1" x14ac:dyDescent="0.35">
      <c r="C113" s="31">
        <v>5</v>
      </c>
      <c r="D113" s="810">
        <v>500</v>
      </c>
      <c r="E113" s="810"/>
      <c r="F113" s="32"/>
      <c r="G113" s="32"/>
      <c r="H113" s="32"/>
      <c r="I113" s="32"/>
      <c r="J113" s="32"/>
      <c r="K113" s="32"/>
      <c r="L113" s="34"/>
    </row>
    <row r="114" spans="1:12" ht="15" customHeight="1" x14ac:dyDescent="0.35">
      <c r="C114" s="31">
        <v>6</v>
      </c>
      <c r="D114" s="811">
        <v>1000</v>
      </c>
      <c r="E114" s="812"/>
      <c r="F114" s="62"/>
      <c r="G114" s="32"/>
      <c r="H114" s="32"/>
      <c r="I114" s="32"/>
      <c r="J114" s="32"/>
      <c r="K114" s="32"/>
      <c r="L114" s="34"/>
    </row>
    <row r="115" spans="1:12" ht="15" customHeight="1" x14ac:dyDescent="0.35">
      <c r="C115" s="39"/>
      <c r="D115" s="41"/>
      <c r="E115" s="41"/>
      <c r="F115" s="41"/>
      <c r="G115" s="41"/>
      <c r="H115" s="41"/>
      <c r="I115" s="41"/>
      <c r="J115" s="41"/>
      <c r="K115" s="41"/>
      <c r="L115" s="42"/>
    </row>
    <row r="116" spans="1:12" x14ac:dyDescent="0.35">
      <c r="A116" s="25"/>
      <c r="B116" s="20" t="s">
        <v>149</v>
      </c>
      <c r="C116" s="25" t="s">
        <v>150</v>
      </c>
      <c r="D116" s="23"/>
      <c r="E116" s="25"/>
      <c r="F116" s="25"/>
      <c r="G116" s="30"/>
      <c r="H116" s="29"/>
      <c r="I116" s="82"/>
      <c r="J116" s="25"/>
      <c r="K116" s="85"/>
      <c r="L116" s="83"/>
    </row>
    <row r="117" spans="1:12" ht="15" customHeight="1" x14ac:dyDescent="0.35">
      <c r="C117" s="822" t="s">
        <v>30</v>
      </c>
      <c r="D117" s="825" t="str">
        <f>D106</f>
        <v>Penunjukan Standar</v>
      </c>
      <c r="E117" s="826"/>
      <c r="F117" s="832" t="s">
        <v>121</v>
      </c>
      <c r="G117" s="823" t="s">
        <v>122</v>
      </c>
      <c r="H117" s="823"/>
      <c r="I117" s="823"/>
      <c r="J117" s="823"/>
      <c r="K117" s="823"/>
      <c r="L117" s="813" t="s">
        <v>79</v>
      </c>
    </row>
    <row r="118" spans="1:12" ht="15" customHeight="1" x14ac:dyDescent="0.35">
      <c r="C118" s="822"/>
      <c r="D118" s="827"/>
      <c r="E118" s="828"/>
      <c r="F118" s="833"/>
      <c r="G118" s="46" t="s">
        <v>123</v>
      </c>
      <c r="H118" s="46" t="s">
        <v>124</v>
      </c>
      <c r="I118" s="46" t="s">
        <v>125</v>
      </c>
      <c r="J118" s="46" t="s">
        <v>126</v>
      </c>
      <c r="K118" s="46" t="s">
        <v>127</v>
      </c>
      <c r="L118" s="813"/>
    </row>
    <row r="119" spans="1:12" ht="15" customHeight="1" x14ac:dyDescent="0.35">
      <c r="C119" s="11"/>
      <c r="D119" s="820" t="s">
        <v>138</v>
      </c>
      <c r="E119" s="821"/>
      <c r="F119" s="821"/>
      <c r="G119" s="821"/>
      <c r="H119" s="821"/>
      <c r="I119" s="821"/>
      <c r="J119" s="821"/>
      <c r="K119" s="824"/>
      <c r="L119" s="43"/>
    </row>
    <row r="120" spans="1:12" ht="15" customHeight="1" x14ac:dyDescent="0.35">
      <c r="C120" s="11"/>
      <c r="D120" s="820" t="s">
        <v>151</v>
      </c>
      <c r="E120" s="821"/>
      <c r="F120" s="821"/>
      <c r="G120" s="821"/>
      <c r="H120" s="821"/>
      <c r="I120" s="821"/>
      <c r="J120" s="821"/>
      <c r="K120" s="824"/>
      <c r="L120" s="43"/>
    </row>
    <row r="121" spans="1:12" ht="15" customHeight="1" x14ac:dyDescent="0.35">
      <c r="C121" s="31">
        <v>1</v>
      </c>
      <c r="D121" s="810">
        <v>0</v>
      </c>
      <c r="E121" s="810"/>
      <c r="F121" s="32"/>
      <c r="G121" s="33"/>
      <c r="H121" s="33"/>
      <c r="I121" s="33"/>
      <c r="J121" s="33"/>
      <c r="K121" s="33"/>
      <c r="L121" s="34"/>
    </row>
    <row r="122" spans="1:12" ht="15" customHeight="1" x14ac:dyDescent="0.35">
      <c r="C122" s="35">
        <v>2</v>
      </c>
      <c r="D122" s="810">
        <v>1</v>
      </c>
      <c r="E122" s="810"/>
      <c r="F122" s="32"/>
      <c r="G122" s="32"/>
      <c r="H122" s="32"/>
      <c r="I122" s="32"/>
      <c r="J122" s="32"/>
      <c r="K122" s="32"/>
      <c r="L122" s="34"/>
    </row>
    <row r="123" spans="1:12" ht="15" customHeight="1" x14ac:dyDescent="0.35">
      <c r="C123" s="35">
        <v>3</v>
      </c>
      <c r="D123" s="810">
        <v>50</v>
      </c>
      <c r="E123" s="810"/>
      <c r="F123" s="32"/>
      <c r="G123" s="32"/>
      <c r="H123" s="32"/>
      <c r="I123" s="32"/>
      <c r="J123" s="32"/>
      <c r="K123" s="32"/>
      <c r="L123" s="34"/>
    </row>
    <row r="124" spans="1:12" x14ac:dyDescent="0.35">
      <c r="C124" s="31">
        <v>4</v>
      </c>
      <c r="D124" s="810">
        <v>100</v>
      </c>
      <c r="E124" s="810"/>
      <c r="F124" s="32"/>
      <c r="G124" s="32"/>
      <c r="H124" s="32"/>
      <c r="I124" s="32"/>
      <c r="J124" s="32"/>
      <c r="K124" s="32"/>
      <c r="L124" s="34"/>
    </row>
    <row r="125" spans="1:12" ht="15" customHeight="1" x14ac:dyDescent="0.35">
      <c r="C125" s="31">
        <v>5</v>
      </c>
      <c r="D125" s="810">
        <v>500</v>
      </c>
      <c r="E125" s="810"/>
      <c r="F125" s="32"/>
      <c r="G125" s="32"/>
      <c r="H125" s="32"/>
      <c r="I125" s="32"/>
      <c r="J125" s="32"/>
      <c r="K125" s="32"/>
      <c r="L125" s="34"/>
    </row>
    <row r="126" spans="1:12" ht="15" customHeight="1" x14ac:dyDescent="0.35">
      <c r="C126" s="31">
        <v>6</v>
      </c>
      <c r="D126" s="811">
        <v>1000</v>
      </c>
      <c r="E126" s="812"/>
      <c r="F126" s="62"/>
      <c r="G126" s="32"/>
      <c r="H126" s="32"/>
      <c r="I126" s="32"/>
      <c r="J126" s="32"/>
      <c r="K126" s="32"/>
      <c r="L126" s="34"/>
    </row>
    <row r="127" spans="1:12" ht="15.75" customHeight="1" x14ac:dyDescent="0.35">
      <c r="C127" s="11"/>
      <c r="D127" s="820" t="s">
        <v>152</v>
      </c>
      <c r="E127" s="821"/>
      <c r="F127" s="821"/>
      <c r="G127" s="821"/>
      <c r="H127" s="821"/>
      <c r="I127" s="821"/>
      <c r="J127" s="821"/>
      <c r="K127" s="824"/>
      <c r="L127" s="43"/>
    </row>
    <row r="128" spans="1:12" ht="15" customHeight="1" x14ac:dyDescent="0.35">
      <c r="C128" s="31">
        <v>1</v>
      </c>
      <c r="D128" s="810">
        <v>0</v>
      </c>
      <c r="E128" s="810"/>
      <c r="F128" s="32"/>
      <c r="G128" s="33"/>
      <c r="H128" s="33"/>
      <c r="I128" s="33"/>
      <c r="J128" s="33"/>
      <c r="K128" s="33"/>
      <c r="L128" s="34"/>
    </row>
    <row r="129" spans="3:12" ht="15" customHeight="1" x14ac:dyDescent="0.35">
      <c r="C129" s="35">
        <v>2</v>
      </c>
      <c r="D129" s="810">
        <v>1</v>
      </c>
      <c r="E129" s="810"/>
      <c r="F129" s="32"/>
      <c r="G129" s="32"/>
      <c r="H129" s="32"/>
      <c r="I129" s="32"/>
      <c r="J129" s="32"/>
      <c r="K129" s="32"/>
      <c r="L129" s="34"/>
    </row>
    <row r="130" spans="3:12" ht="15" customHeight="1" x14ac:dyDescent="0.35">
      <c r="C130" s="35">
        <v>3</v>
      </c>
      <c r="D130" s="810">
        <v>50</v>
      </c>
      <c r="E130" s="810"/>
      <c r="F130" s="32"/>
      <c r="G130" s="32"/>
      <c r="H130" s="32"/>
      <c r="I130" s="32"/>
      <c r="J130" s="32"/>
      <c r="K130" s="32"/>
      <c r="L130" s="34"/>
    </row>
    <row r="131" spans="3:12" x14ac:dyDescent="0.35">
      <c r="C131" s="31">
        <v>4</v>
      </c>
      <c r="D131" s="810">
        <v>100</v>
      </c>
      <c r="E131" s="810"/>
      <c r="F131" s="32"/>
      <c r="G131" s="32"/>
      <c r="H131" s="32"/>
      <c r="I131" s="32"/>
      <c r="J131" s="32"/>
      <c r="K131" s="32"/>
      <c r="L131" s="34"/>
    </row>
    <row r="132" spans="3:12" ht="15" customHeight="1" x14ac:dyDescent="0.35">
      <c r="C132" s="31">
        <v>5</v>
      </c>
      <c r="D132" s="810">
        <v>500</v>
      </c>
      <c r="E132" s="810"/>
      <c r="F132" s="32"/>
      <c r="G132" s="32"/>
      <c r="H132" s="32"/>
      <c r="I132" s="32"/>
      <c r="J132" s="32"/>
      <c r="K132" s="32"/>
      <c r="L132" s="34"/>
    </row>
    <row r="133" spans="3:12" ht="15" customHeight="1" x14ac:dyDescent="0.35">
      <c r="C133" s="31">
        <v>6</v>
      </c>
      <c r="D133" s="811">
        <v>1000</v>
      </c>
      <c r="E133" s="812"/>
      <c r="F133" s="62"/>
      <c r="G133" s="32"/>
      <c r="H133" s="32"/>
      <c r="I133" s="32"/>
      <c r="J133" s="32"/>
      <c r="K133" s="32"/>
      <c r="L133" s="34"/>
    </row>
    <row r="134" spans="3:12" ht="15.75" customHeight="1" x14ac:dyDescent="0.35">
      <c r="C134" s="11"/>
      <c r="D134" s="820" t="s">
        <v>153</v>
      </c>
      <c r="E134" s="821"/>
      <c r="F134" s="821"/>
      <c r="G134" s="821"/>
      <c r="H134" s="821"/>
      <c r="I134" s="821"/>
      <c r="J134" s="821"/>
      <c r="K134" s="824"/>
      <c r="L134" s="43"/>
    </row>
    <row r="135" spans="3:12" ht="15" customHeight="1" x14ac:dyDescent="0.35">
      <c r="C135" s="31">
        <v>1</v>
      </c>
      <c r="D135" s="810">
        <v>0</v>
      </c>
      <c r="E135" s="810"/>
      <c r="F135" s="32"/>
      <c r="G135" s="33"/>
      <c r="H135" s="33"/>
      <c r="I135" s="33"/>
      <c r="J135" s="33"/>
      <c r="K135" s="33"/>
      <c r="L135" s="34"/>
    </row>
    <row r="136" spans="3:12" ht="15" customHeight="1" x14ac:dyDescent="0.35">
      <c r="C136" s="35">
        <v>2</v>
      </c>
      <c r="D136" s="810">
        <v>1</v>
      </c>
      <c r="E136" s="810"/>
      <c r="F136" s="32"/>
      <c r="G136" s="32"/>
      <c r="H136" s="32"/>
      <c r="I136" s="32"/>
      <c r="J136" s="32"/>
      <c r="K136" s="32"/>
      <c r="L136" s="34"/>
    </row>
    <row r="137" spans="3:12" ht="15" customHeight="1" x14ac:dyDescent="0.35">
      <c r="C137" s="35">
        <v>3</v>
      </c>
      <c r="D137" s="810">
        <v>50</v>
      </c>
      <c r="E137" s="810"/>
      <c r="F137" s="32"/>
      <c r="G137" s="32"/>
      <c r="H137" s="32"/>
      <c r="I137" s="32"/>
      <c r="J137" s="32"/>
      <c r="K137" s="32"/>
      <c r="L137" s="34"/>
    </row>
    <row r="138" spans="3:12" x14ac:dyDescent="0.35">
      <c r="C138" s="31">
        <v>4</v>
      </c>
      <c r="D138" s="810">
        <v>100</v>
      </c>
      <c r="E138" s="810"/>
      <c r="F138" s="32"/>
      <c r="G138" s="32"/>
      <c r="H138" s="32"/>
      <c r="I138" s="32"/>
      <c r="J138" s="32"/>
      <c r="K138" s="32"/>
      <c r="L138" s="34"/>
    </row>
    <row r="139" spans="3:12" ht="15" customHeight="1" x14ac:dyDescent="0.35">
      <c r="C139" s="35">
        <v>5</v>
      </c>
      <c r="D139" s="810">
        <v>500</v>
      </c>
      <c r="E139" s="810"/>
      <c r="F139" s="32"/>
      <c r="G139" s="32"/>
      <c r="H139" s="32"/>
      <c r="I139" s="32"/>
      <c r="J139" s="32"/>
      <c r="K139" s="32"/>
      <c r="L139" s="34"/>
    </row>
    <row r="140" spans="3:12" ht="15" customHeight="1" x14ac:dyDescent="0.35">
      <c r="C140" s="35">
        <v>6</v>
      </c>
      <c r="D140" s="811">
        <v>1000</v>
      </c>
      <c r="E140" s="812"/>
      <c r="F140" s="62"/>
      <c r="G140" s="32"/>
      <c r="H140" s="32"/>
      <c r="I140" s="32"/>
      <c r="J140" s="32"/>
      <c r="K140" s="32"/>
      <c r="L140" s="34"/>
    </row>
    <row r="141" spans="3:12" ht="15.75" customHeight="1" x14ac:dyDescent="0.35">
      <c r="C141" s="11"/>
      <c r="D141" s="820" t="s">
        <v>154</v>
      </c>
      <c r="E141" s="821"/>
      <c r="F141" s="821"/>
      <c r="G141" s="821"/>
      <c r="H141" s="821"/>
      <c r="I141" s="821"/>
      <c r="J141" s="821"/>
      <c r="K141" s="824"/>
      <c r="L141" s="43"/>
    </row>
    <row r="142" spans="3:12" ht="15" customHeight="1" x14ac:dyDescent="0.35">
      <c r="C142" s="31">
        <v>1</v>
      </c>
      <c r="D142" s="810">
        <v>0</v>
      </c>
      <c r="E142" s="810"/>
      <c r="F142" s="32"/>
      <c r="G142" s="33"/>
      <c r="H142" s="33"/>
      <c r="I142" s="33"/>
      <c r="J142" s="33"/>
      <c r="K142" s="33"/>
      <c r="L142" s="34"/>
    </row>
    <row r="143" spans="3:12" ht="15" customHeight="1" x14ac:dyDescent="0.35">
      <c r="C143" s="35">
        <v>2</v>
      </c>
      <c r="D143" s="810">
        <v>1</v>
      </c>
      <c r="E143" s="810"/>
      <c r="F143" s="32"/>
      <c r="G143" s="32"/>
      <c r="H143" s="32"/>
      <c r="I143" s="32"/>
      <c r="J143" s="32"/>
      <c r="K143" s="32"/>
      <c r="L143" s="34"/>
    </row>
    <row r="144" spans="3:12" ht="15" customHeight="1" x14ac:dyDescent="0.35">
      <c r="C144" s="35">
        <v>3</v>
      </c>
      <c r="D144" s="810">
        <v>50</v>
      </c>
      <c r="E144" s="810"/>
      <c r="F144" s="32"/>
      <c r="G144" s="32"/>
      <c r="H144" s="32"/>
      <c r="I144" s="32"/>
      <c r="J144" s="32"/>
      <c r="K144" s="32"/>
      <c r="L144" s="34"/>
    </row>
    <row r="145" spans="1:12" x14ac:dyDescent="0.35">
      <c r="C145" s="31">
        <v>4</v>
      </c>
      <c r="D145" s="810">
        <v>100</v>
      </c>
      <c r="E145" s="810"/>
      <c r="F145" s="32"/>
      <c r="G145" s="32"/>
      <c r="H145" s="32"/>
      <c r="I145" s="32"/>
      <c r="J145" s="32"/>
      <c r="K145" s="32"/>
      <c r="L145" s="34"/>
    </row>
    <row r="146" spans="1:12" ht="15" customHeight="1" x14ac:dyDescent="0.35">
      <c r="C146" s="35">
        <v>5</v>
      </c>
      <c r="D146" s="810">
        <v>500</v>
      </c>
      <c r="E146" s="810"/>
      <c r="F146" s="32"/>
      <c r="G146" s="32"/>
      <c r="H146" s="32"/>
      <c r="I146" s="32"/>
      <c r="J146" s="32"/>
      <c r="K146" s="32"/>
      <c r="L146" s="34"/>
    </row>
    <row r="147" spans="1:12" ht="15" customHeight="1" x14ac:dyDescent="0.35">
      <c r="C147" s="35">
        <v>6</v>
      </c>
      <c r="D147" s="811">
        <v>1000</v>
      </c>
      <c r="E147" s="812"/>
      <c r="F147" s="62"/>
      <c r="G147" s="32"/>
      <c r="H147" s="32"/>
      <c r="I147" s="32"/>
      <c r="J147" s="32"/>
      <c r="K147" s="32"/>
      <c r="L147" s="34"/>
    </row>
    <row r="148" spans="1:12" ht="15.75" customHeight="1" x14ac:dyDescent="0.35">
      <c r="C148" s="11"/>
      <c r="D148" s="820" t="s">
        <v>155</v>
      </c>
      <c r="E148" s="821"/>
      <c r="F148" s="821"/>
      <c r="G148" s="821"/>
      <c r="H148" s="821"/>
      <c r="I148" s="821"/>
      <c r="J148" s="821"/>
      <c r="K148" s="824"/>
      <c r="L148" s="43"/>
    </row>
    <row r="149" spans="1:12" ht="15" customHeight="1" x14ac:dyDescent="0.35">
      <c r="C149" s="31">
        <v>1</v>
      </c>
      <c r="D149" s="810">
        <v>0</v>
      </c>
      <c r="E149" s="810"/>
      <c r="F149" s="32"/>
      <c r="G149" s="33"/>
      <c r="H149" s="33"/>
      <c r="I149" s="33"/>
      <c r="J149" s="33"/>
      <c r="K149" s="33"/>
      <c r="L149" s="34"/>
    </row>
    <row r="150" spans="1:12" ht="15" customHeight="1" x14ac:dyDescent="0.35">
      <c r="C150" s="35">
        <v>2</v>
      </c>
      <c r="D150" s="810">
        <v>1</v>
      </c>
      <c r="E150" s="810"/>
      <c r="F150" s="32"/>
      <c r="G150" s="32"/>
      <c r="H150" s="32"/>
      <c r="I150" s="32"/>
      <c r="J150" s="32"/>
      <c r="K150" s="32"/>
      <c r="L150" s="34"/>
    </row>
    <row r="151" spans="1:12" ht="15" customHeight="1" x14ac:dyDescent="0.35">
      <c r="C151" s="35">
        <v>3</v>
      </c>
      <c r="D151" s="810">
        <v>50</v>
      </c>
      <c r="E151" s="810"/>
      <c r="F151" s="32"/>
      <c r="G151" s="32"/>
      <c r="H151" s="32"/>
      <c r="I151" s="32"/>
      <c r="J151" s="32"/>
      <c r="K151" s="32"/>
      <c r="L151" s="34"/>
    </row>
    <row r="152" spans="1:12" x14ac:dyDescent="0.35">
      <c r="C152" s="31">
        <v>4</v>
      </c>
      <c r="D152" s="810">
        <v>100</v>
      </c>
      <c r="E152" s="810"/>
      <c r="F152" s="32"/>
      <c r="G152" s="32"/>
      <c r="H152" s="32"/>
      <c r="I152" s="32"/>
      <c r="J152" s="32"/>
      <c r="K152" s="32"/>
      <c r="L152" s="34"/>
    </row>
    <row r="153" spans="1:12" ht="15" customHeight="1" x14ac:dyDescent="0.35">
      <c r="C153" s="35">
        <v>5</v>
      </c>
      <c r="D153" s="810">
        <v>500</v>
      </c>
      <c r="E153" s="810"/>
      <c r="F153" s="32"/>
      <c r="G153" s="32"/>
      <c r="H153" s="32"/>
      <c r="I153" s="32"/>
      <c r="J153" s="32"/>
      <c r="K153" s="32"/>
      <c r="L153" s="34"/>
    </row>
    <row r="154" spans="1:12" ht="15" customHeight="1" x14ac:dyDescent="0.35">
      <c r="C154" s="35">
        <v>6</v>
      </c>
      <c r="D154" s="811">
        <v>1000</v>
      </c>
      <c r="E154" s="812"/>
      <c r="F154" s="62"/>
      <c r="G154" s="32"/>
      <c r="H154" s="32"/>
      <c r="I154" s="32"/>
      <c r="J154" s="32"/>
      <c r="K154" s="32"/>
      <c r="L154" s="34"/>
    </row>
    <row r="156" spans="1:12" x14ac:dyDescent="0.35">
      <c r="A156" s="22" t="s">
        <v>156</v>
      </c>
      <c r="B156" s="22" t="s">
        <v>157</v>
      </c>
      <c r="C156" s="22"/>
      <c r="D156" s="23"/>
    </row>
    <row r="157" spans="1:12" x14ac:dyDescent="0.35">
      <c r="A157" s="25"/>
      <c r="B157" s="36"/>
      <c r="C157" s="36"/>
      <c r="D157" s="23"/>
    </row>
    <row r="158" spans="1:12" x14ac:dyDescent="0.35">
      <c r="B158" s="18"/>
      <c r="C158" s="18"/>
    </row>
    <row r="159" spans="1:12" x14ac:dyDescent="0.35">
      <c r="A159" s="22" t="s">
        <v>158</v>
      </c>
      <c r="B159" s="22" t="s">
        <v>159</v>
      </c>
      <c r="C159" s="22"/>
    </row>
    <row r="160" spans="1:12" x14ac:dyDescent="0.35">
      <c r="B160" s="18" t="s">
        <v>160</v>
      </c>
      <c r="C160" s="18"/>
    </row>
    <row r="161" spans="1:259" x14ac:dyDescent="0.35">
      <c r="B161" s="18" t="s">
        <v>161</v>
      </c>
      <c r="C161" s="18"/>
    </row>
    <row r="162" spans="1:259" x14ac:dyDescent="0.35">
      <c r="B162" s="18"/>
      <c r="C162" s="18"/>
      <c r="H162" s="18" t="s">
        <v>162</v>
      </c>
    </row>
    <row r="163" spans="1:259" s="327" customFormat="1" ht="15.5" x14ac:dyDescent="0.35">
      <c r="B163" s="329" t="s">
        <v>163</v>
      </c>
      <c r="C163" s="329"/>
      <c r="E163" s="328"/>
      <c r="F163" s="328"/>
      <c r="G163" s="328"/>
      <c r="H163" s="328"/>
      <c r="I163" s="328"/>
      <c r="J163" s="328"/>
      <c r="K163" s="328"/>
      <c r="L163"/>
      <c r="M163" s="328"/>
      <c r="N163" s="328"/>
      <c r="O163" s="328"/>
      <c r="P163" s="328"/>
      <c r="Q163" s="328"/>
      <c r="R163" s="328"/>
      <c r="S163" s="328"/>
      <c r="T163" s="328"/>
      <c r="U163" s="328"/>
      <c r="V163" s="328"/>
      <c r="W163" s="328"/>
      <c r="X163" s="328"/>
      <c r="Y163" s="328"/>
      <c r="Z163" s="328"/>
      <c r="AA163" s="328"/>
      <c r="AB163" s="328"/>
      <c r="AC163" s="328"/>
      <c r="AD163" s="328"/>
      <c r="AE163" s="328"/>
      <c r="AF163" s="328"/>
      <c r="AG163" s="328"/>
      <c r="AH163" s="328"/>
      <c r="AI163" s="328"/>
      <c r="AJ163" s="328"/>
      <c r="AK163" s="328"/>
      <c r="AL163" s="328"/>
      <c r="AM163" s="328"/>
      <c r="AN163" s="328"/>
      <c r="AO163" s="328"/>
      <c r="AP163" s="328"/>
      <c r="AQ163" s="328"/>
      <c r="AR163" s="328"/>
      <c r="AS163" s="328"/>
      <c r="AT163" s="328"/>
      <c r="AU163" s="328"/>
      <c r="AV163" s="328"/>
      <c r="AW163" s="328"/>
      <c r="AX163" s="328"/>
      <c r="AY163" s="328"/>
      <c r="AZ163" s="328"/>
      <c r="BA163" s="328"/>
      <c r="BB163" s="328"/>
      <c r="BC163" s="328"/>
      <c r="BD163" s="328"/>
      <c r="BE163" s="328"/>
      <c r="BF163" s="328"/>
      <c r="BG163" s="328"/>
      <c r="BH163" s="328"/>
      <c r="BI163" s="328"/>
      <c r="BJ163" s="328"/>
      <c r="BK163" s="328"/>
      <c r="BL163" s="328"/>
      <c r="BM163" s="328"/>
      <c r="BN163" s="328"/>
      <c r="BO163" s="328"/>
      <c r="BP163" s="328"/>
      <c r="BQ163" s="328"/>
      <c r="BR163" s="328"/>
      <c r="BS163" s="328"/>
      <c r="BT163" s="328"/>
      <c r="BU163" s="328"/>
      <c r="BV163" s="328"/>
      <c r="BW163" s="328"/>
      <c r="BX163" s="328"/>
      <c r="BY163" s="328"/>
      <c r="BZ163" s="328"/>
      <c r="CA163" s="328"/>
      <c r="CB163" s="328"/>
      <c r="CC163" s="328"/>
      <c r="CD163" s="328"/>
      <c r="CE163" s="328"/>
      <c r="CF163" s="328"/>
      <c r="CG163" s="328"/>
      <c r="CH163" s="328"/>
      <c r="CI163" s="328"/>
      <c r="CJ163" s="328"/>
      <c r="CK163" s="328"/>
      <c r="CL163" s="328"/>
      <c r="CM163" s="328"/>
      <c r="CN163" s="328"/>
      <c r="CO163" s="328"/>
      <c r="CP163" s="328"/>
      <c r="CQ163" s="328"/>
      <c r="CR163" s="328"/>
      <c r="CS163" s="328"/>
      <c r="CT163" s="328"/>
      <c r="CU163" s="328"/>
      <c r="CV163" s="328"/>
      <c r="CW163" s="328"/>
      <c r="CX163" s="328"/>
      <c r="CY163" s="328"/>
      <c r="CZ163" s="328"/>
      <c r="DA163" s="328"/>
      <c r="DB163" s="328"/>
      <c r="DC163" s="328"/>
      <c r="DD163" s="328"/>
      <c r="DE163" s="328"/>
      <c r="DF163" s="328"/>
      <c r="DG163" s="328"/>
      <c r="DH163" s="328"/>
      <c r="DI163" s="328"/>
      <c r="DJ163" s="328"/>
      <c r="DK163" s="328"/>
      <c r="DL163" s="328"/>
      <c r="DM163" s="328"/>
      <c r="DN163" s="328"/>
      <c r="DO163" s="328"/>
      <c r="DP163" s="328"/>
      <c r="DQ163" s="328"/>
      <c r="DR163" s="328"/>
      <c r="DS163" s="328"/>
      <c r="DT163" s="328"/>
      <c r="DU163" s="328"/>
      <c r="DV163" s="328"/>
      <c r="DW163" s="328"/>
      <c r="DX163" s="328"/>
      <c r="DY163" s="328"/>
      <c r="DZ163" s="328"/>
      <c r="EA163" s="328"/>
      <c r="EB163" s="328"/>
      <c r="EC163" s="328"/>
      <c r="ED163" s="328"/>
      <c r="EE163" s="328"/>
      <c r="EF163" s="328"/>
      <c r="EG163" s="328"/>
      <c r="EH163" s="328"/>
      <c r="EI163" s="328"/>
      <c r="EJ163" s="328"/>
      <c r="EK163" s="328"/>
      <c r="EL163" s="328"/>
      <c r="EM163" s="328"/>
      <c r="EN163" s="328"/>
      <c r="EO163" s="328"/>
      <c r="EP163" s="328"/>
      <c r="EQ163" s="328"/>
      <c r="ER163" s="328"/>
      <c r="ES163" s="328"/>
      <c r="ET163" s="328"/>
      <c r="EU163" s="328"/>
      <c r="EV163" s="328"/>
      <c r="EW163" s="328"/>
      <c r="EX163" s="328"/>
      <c r="EY163" s="328"/>
      <c r="EZ163" s="328"/>
      <c r="FA163" s="328"/>
      <c r="FB163" s="328"/>
      <c r="FC163" s="328"/>
      <c r="FD163" s="328"/>
      <c r="FE163" s="328"/>
      <c r="FF163" s="328"/>
      <c r="FG163" s="328"/>
      <c r="FH163" s="328"/>
      <c r="FI163" s="328"/>
      <c r="FJ163" s="328"/>
      <c r="FK163" s="328"/>
      <c r="FL163" s="328"/>
      <c r="FM163" s="328"/>
      <c r="FN163" s="328"/>
      <c r="FO163" s="328"/>
      <c r="FP163" s="328"/>
      <c r="FQ163" s="328"/>
      <c r="FR163" s="328"/>
      <c r="FS163" s="328"/>
      <c r="FT163" s="328"/>
      <c r="FU163" s="328"/>
      <c r="FV163" s="328"/>
      <c r="FW163" s="328"/>
      <c r="FX163" s="328"/>
      <c r="FY163" s="328"/>
      <c r="FZ163" s="328"/>
      <c r="GA163" s="328"/>
      <c r="GB163" s="328"/>
      <c r="GC163" s="328"/>
      <c r="GD163" s="328"/>
      <c r="GE163" s="328"/>
      <c r="GF163" s="328"/>
      <c r="GG163" s="328"/>
      <c r="GH163" s="328"/>
      <c r="GI163" s="328"/>
      <c r="GJ163" s="328"/>
      <c r="GK163" s="328"/>
      <c r="GL163" s="328"/>
      <c r="GM163" s="328"/>
      <c r="GN163" s="328"/>
      <c r="GO163" s="328"/>
      <c r="GP163" s="328"/>
      <c r="GQ163" s="328"/>
      <c r="GR163" s="328"/>
      <c r="GS163" s="328"/>
      <c r="GT163" s="328"/>
      <c r="GU163" s="328"/>
      <c r="GV163" s="328"/>
      <c r="GW163" s="328"/>
      <c r="GX163" s="328"/>
      <c r="GY163" s="328"/>
      <c r="GZ163" s="328"/>
      <c r="HA163" s="328"/>
      <c r="HB163" s="328"/>
      <c r="HC163" s="328"/>
      <c r="HD163" s="328"/>
      <c r="HE163" s="328"/>
      <c r="HF163" s="328"/>
      <c r="HG163" s="328"/>
      <c r="HH163" s="328"/>
      <c r="HI163" s="328"/>
      <c r="HJ163" s="328"/>
      <c r="HK163" s="328"/>
      <c r="HL163" s="328"/>
      <c r="HM163" s="328"/>
      <c r="HN163" s="328"/>
      <c r="HO163" s="328"/>
      <c r="HP163" s="328"/>
      <c r="HQ163" s="328"/>
      <c r="HR163" s="328"/>
      <c r="HS163" s="328"/>
      <c r="HT163" s="328"/>
      <c r="HU163" s="328"/>
      <c r="HV163" s="328"/>
      <c r="HW163" s="328"/>
      <c r="HX163" s="328"/>
      <c r="HY163" s="328"/>
      <c r="HZ163" s="328"/>
      <c r="IA163" s="328"/>
      <c r="IB163" s="328"/>
      <c r="IC163" s="328"/>
      <c r="ID163" s="328"/>
      <c r="IE163" s="328"/>
      <c r="IF163" s="328"/>
      <c r="IG163" s="328"/>
      <c r="IH163" s="328"/>
      <c r="II163" s="328"/>
      <c r="IJ163" s="328"/>
      <c r="IK163" s="328"/>
      <c r="IL163" s="328"/>
      <c r="IM163" s="328"/>
      <c r="IN163" s="328"/>
      <c r="IO163" s="328"/>
      <c r="IP163" s="328"/>
      <c r="IQ163" s="328"/>
      <c r="IR163" s="328"/>
      <c r="IS163" s="328"/>
      <c r="IT163" s="328"/>
      <c r="IU163" s="328"/>
      <c r="IV163" s="328"/>
      <c r="IW163" s="328"/>
      <c r="IX163" s="328"/>
      <c r="IY163" s="328"/>
    </row>
    <row r="164" spans="1:259" s="327" customFormat="1" ht="15.5" x14ac:dyDescent="0.35">
      <c r="B164" s="330" t="s">
        <v>164</v>
      </c>
      <c r="C164" s="329"/>
      <c r="E164" s="328"/>
      <c r="F164" s="328"/>
      <c r="G164" s="328"/>
      <c r="H164" s="328"/>
      <c r="I164" s="328"/>
      <c r="J164" s="328"/>
      <c r="K164" s="328"/>
      <c r="L164"/>
      <c r="M164" s="328"/>
      <c r="N164" s="328"/>
      <c r="O164" s="328"/>
      <c r="P164" s="328"/>
      <c r="Q164" s="328"/>
      <c r="R164" s="328"/>
      <c r="S164" s="328"/>
      <c r="T164" s="328"/>
      <c r="U164" s="328"/>
      <c r="V164" s="328"/>
      <c r="W164" s="328"/>
      <c r="X164" s="328"/>
      <c r="Y164" s="328"/>
      <c r="Z164" s="328"/>
      <c r="AA164" s="328"/>
      <c r="AB164" s="328"/>
      <c r="AC164" s="328"/>
      <c r="AD164" s="328"/>
      <c r="AE164" s="328"/>
      <c r="AF164" s="328"/>
      <c r="AG164" s="328"/>
      <c r="AH164" s="328"/>
      <c r="AI164" s="328"/>
      <c r="AJ164" s="328"/>
      <c r="AK164" s="328"/>
      <c r="AL164" s="328"/>
      <c r="AM164" s="328"/>
      <c r="AN164" s="328"/>
      <c r="AO164" s="328"/>
      <c r="AP164" s="328"/>
      <c r="AQ164" s="328"/>
      <c r="AR164" s="328"/>
      <c r="AS164" s="328"/>
      <c r="AT164" s="328"/>
      <c r="AU164" s="328"/>
      <c r="AV164" s="328"/>
      <c r="AW164" s="328"/>
      <c r="AX164" s="328"/>
      <c r="AY164" s="328"/>
      <c r="AZ164" s="328"/>
      <c r="BA164" s="328"/>
      <c r="BB164" s="328"/>
      <c r="BC164" s="328"/>
      <c r="BD164" s="328"/>
      <c r="BE164" s="328"/>
      <c r="BF164" s="328"/>
      <c r="BG164" s="328"/>
      <c r="BH164" s="328"/>
      <c r="BI164" s="328"/>
      <c r="BJ164" s="328"/>
      <c r="BK164" s="328"/>
      <c r="BL164" s="328"/>
      <c r="BM164" s="328"/>
      <c r="BN164" s="328"/>
      <c r="BO164" s="328"/>
      <c r="BP164" s="328"/>
      <c r="BQ164" s="328"/>
      <c r="BR164" s="328"/>
      <c r="BS164" s="328"/>
      <c r="BT164" s="328"/>
      <c r="BU164" s="328"/>
      <c r="BV164" s="328"/>
      <c r="BW164" s="328"/>
      <c r="BX164" s="328"/>
      <c r="BY164" s="328"/>
      <c r="BZ164" s="328"/>
      <c r="CA164" s="328"/>
      <c r="CB164" s="328"/>
      <c r="CC164" s="328"/>
      <c r="CD164" s="328"/>
      <c r="CE164" s="328"/>
      <c r="CF164" s="328"/>
      <c r="CG164" s="328"/>
      <c r="CH164" s="328"/>
      <c r="CI164" s="328"/>
      <c r="CJ164" s="328"/>
      <c r="CK164" s="328"/>
      <c r="CL164" s="328"/>
      <c r="CM164" s="328"/>
      <c r="CN164" s="328"/>
      <c r="CO164" s="328"/>
      <c r="CP164" s="328"/>
      <c r="CQ164" s="328"/>
      <c r="CR164" s="328"/>
      <c r="CS164" s="328"/>
      <c r="CT164" s="328"/>
      <c r="CU164" s="328"/>
      <c r="CV164" s="328"/>
      <c r="CW164" s="328"/>
      <c r="CX164" s="328"/>
      <c r="CY164" s="328"/>
      <c r="CZ164" s="328"/>
      <c r="DA164" s="328"/>
      <c r="DB164" s="328"/>
      <c r="DC164" s="328"/>
      <c r="DD164" s="328"/>
      <c r="DE164" s="328"/>
      <c r="DF164" s="328"/>
      <c r="DG164" s="328"/>
      <c r="DH164" s="328"/>
      <c r="DI164" s="328"/>
      <c r="DJ164" s="328"/>
      <c r="DK164" s="328"/>
      <c r="DL164" s="328"/>
      <c r="DM164" s="328"/>
      <c r="DN164" s="328"/>
      <c r="DO164" s="328"/>
      <c r="DP164" s="328"/>
      <c r="DQ164" s="328"/>
      <c r="DR164" s="328"/>
      <c r="DS164" s="328"/>
      <c r="DT164" s="328"/>
      <c r="DU164" s="328"/>
      <c r="DV164" s="328"/>
      <c r="DW164" s="328"/>
      <c r="DX164" s="328"/>
      <c r="DY164" s="328"/>
      <c r="DZ164" s="328"/>
      <c r="EA164" s="328"/>
      <c r="EB164" s="328"/>
      <c r="EC164" s="328"/>
      <c r="ED164" s="328"/>
      <c r="EE164" s="328"/>
      <c r="EF164" s="328"/>
      <c r="EG164" s="328"/>
      <c r="EH164" s="328"/>
      <c r="EI164" s="328"/>
      <c r="EJ164" s="328"/>
      <c r="EK164" s="328"/>
      <c r="EL164" s="328"/>
      <c r="EM164" s="328"/>
      <c r="EN164" s="328"/>
      <c r="EO164" s="328"/>
      <c r="EP164" s="328"/>
      <c r="EQ164" s="328"/>
      <c r="ER164" s="328"/>
      <c r="ES164" s="328"/>
      <c r="ET164" s="328"/>
      <c r="EU164" s="328"/>
      <c r="EV164" s="328"/>
      <c r="EW164" s="328"/>
      <c r="EX164" s="328"/>
      <c r="EY164" s="328"/>
      <c r="EZ164" s="328"/>
      <c r="FA164" s="328"/>
      <c r="FB164" s="328"/>
      <c r="FC164" s="328"/>
      <c r="FD164" s="328"/>
      <c r="FE164" s="328"/>
      <c r="FF164" s="328"/>
      <c r="FG164" s="328"/>
      <c r="FH164" s="328"/>
      <c r="FI164" s="328"/>
      <c r="FJ164" s="328"/>
      <c r="FK164" s="328"/>
      <c r="FL164" s="328"/>
      <c r="FM164" s="328"/>
      <c r="FN164" s="328"/>
      <c r="FO164" s="328"/>
      <c r="FP164" s="328"/>
      <c r="FQ164" s="328"/>
      <c r="FR164" s="328"/>
      <c r="FS164" s="328"/>
      <c r="FT164" s="328"/>
      <c r="FU164" s="328"/>
      <c r="FV164" s="328"/>
      <c r="FW164" s="328"/>
      <c r="FX164" s="328"/>
      <c r="FY164" s="328"/>
      <c r="FZ164" s="328"/>
      <c r="GA164" s="328"/>
      <c r="GB164" s="328"/>
      <c r="GC164" s="328"/>
      <c r="GD164" s="328"/>
      <c r="GE164" s="328"/>
      <c r="GF164" s="328"/>
      <c r="GG164" s="328"/>
      <c r="GH164" s="328"/>
      <c r="GI164" s="328"/>
      <c r="GJ164" s="328"/>
      <c r="GK164" s="328"/>
      <c r="GL164" s="328"/>
      <c r="GM164" s="328"/>
      <c r="GN164" s="328"/>
      <c r="GO164" s="328"/>
      <c r="GP164" s="328"/>
      <c r="GQ164" s="328"/>
      <c r="GR164" s="328"/>
      <c r="GS164" s="328"/>
      <c r="GT164" s="328"/>
      <c r="GU164" s="328"/>
      <c r="GV164" s="328"/>
      <c r="GW164" s="328"/>
      <c r="GX164" s="328"/>
      <c r="GY164" s="328"/>
      <c r="GZ164" s="328"/>
      <c r="HA164" s="328"/>
      <c r="HB164" s="328"/>
      <c r="HC164" s="328"/>
      <c r="HD164" s="328"/>
      <c r="HE164" s="328"/>
      <c r="HF164" s="328"/>
      <c r="HG164" s="328"/>
      <c r="HH164" s="328"/>
      <c r="HI164" s="328"/>
      <c r="HJ164" s="328"/>
      <c r="HK164" s="328"/>
      <c r="HL164" s="328"/>
      <c r="HM164" s="328"/>
      <c r="HN164" s="328"/>
      <c r="HO164" s="328"/>
      <c r="HP164" s="328"/>
      <c r="HQ164" s="328"/>
      <c r="HR164" s="328"/>
      <c r="HS164" s="328"/>
      <c r="HT164" s="328"/>
      <c r="HU164" s="328"/>
      <c r="HV164" s="328"/>
      <c r="HW164" s="328"/>
      <c r="HX164" s="328"/>
      <c r="HY164" s="328"/>
      <c r="HZ164" s="328"/>
      <c r="IA164" s="328"/>
      <c r="IB164" s="328"/>
      <c r="IC164" s="328"/>
      <c r="ID164" s="328"/>
      <c r="IE164" s="328"/>
      <c r="IF164" s="328"/>
      <c r="IG164" s="328"/>
      <c r="IH164" s="328"/>
      <c r="II164" s="328"/>
      <c r="IJ164" s="328"/>
      <c r="IK164" s="328"/>
      <c r="IL164" s="328"/>
      <c r="IM164" s="328"/>
      <c r="IN164" s="328"/>
      <c r="IO164" s="328"/>
      <c r="IP164" s="328"/>
      <c r="IQ164" s="328"/>
      <c r="IR164" s="328"/>
      <c r="IS164" s="328"/>
      <c r="IT164" s="328"/>
      <c r="IU164" s="328"/>
      <c r="IV164" s="328"/>
      <c r="IW164" s="328"/>
      <c r="IX164" s="328"/>
      <c r="IY164" s="328"/>
    </row>
    <row r="165" spans="1:259" s="327" customFormat="1" ht="15.5" x14ac:dyDescent="0.35">
      <c r="B165" s="329" t="s">
        <v>165</v>
      </c>
      <c r="C165" s="329"/>
      <c r="E165" s="328"/>
      <c r="F165" s="328"/>
      <c r="G165" s="328"/>
      <c r="H165" s="328"/>
      <c r="I165" s="328"/>
      <c r="J165" s="328"/>
      <c r="K165" s="328"/>
      <c r="L165"/>
      <c r="M165" s="328"/>
      <c r="N165" s="328"/>
      <c r="O165" s="328"/>
      <c r="P165" s="328"/>
      <c r="Q165" s="328"/>
      <c r="R165" s="328"/>
      <c r="S165" s="328"/>
      <c r="T165" s="328"/>
      <c r="U165" s="328"/>
      <c r="V165" s="328"/>
      <c r="W165" s="328"/>
      <c r="X165" s="328"/>
      <c r="Y165" s="328"/>
      <c r="Z165" s="328"/>
      <c r="AA165" s="328"/>
      <c r="AB165" s="328"/>
      <c r="AC165" s="328"/>
      <c r="AD165" s="328"/>
      <c r="AE165" s="328"/>
      <c r="AF165" s="328"/>
      <c r="AG165" s="328"/>
      <c r="AH165" s="328"/>
      <c r="AI165" s="328"/>
      <c r="AJ165" s="328"/>
      <c r="AK165" s="328"/>
      <c r="AL165" s="328"/>
      <c r="AM165" s="328"/>
      <c r="AN165" s="328"/>
      <c r="AO165" s="328"/>
      <c r="AP165" s="328"/>
      <c r="AQ165" s="328"/>
      <c r="AR165" s="328"/>
      <c r="AS165" s="328"/>
      <c r="AT165" s="328"/>
      <c r="AU165" s="328"/>
      <c r="AV165" s="328"/>
      <c r="AW165" s="328"/>
      <c r="AX165" s="328"/>
      <c r="AY165" s="328"/>
      <c r="AZ165" s="328"/>
      <c r="BA165" s="328"/>
      <c r="BB165" s="328"/>
      <c r="BC165" s="328"/>
      <c r="BD165" s="328"/>
      <c r="BE165" s="328"/>
      <c r="BF165" s="328"/>
      <c r="BG165" s="328"/>
      <c r="BH165" s="328"/>
      <c r="BI165" s="328"/>
      <c r="BJ165" s="328"/>
      <c r="BK165" s="328"/>
      <c r="BL165" s="328"/>
      <c r="BM165" s="328"/>
      <c r="BN165" s="328"/>
      <c r="BO165" s="328"/>
      <c r="BP165" s="328"/>
      <c r="BQ165" s="328"/>
      <c r="BR165" s="328"/>
      <c r="BS165" s="328"/>
      <c r="BT165" s="328"/>
      <c r="BU165" s="328"/>
      <c r="BV165" s="328"/>
      <c r="BW165" s="328"/>
      <c r="BX165" s="328"/>
      <c r="BY165" s="328"/>
      <c r="BZ165" s="328"/>
      <c r="CA165" s="328"/>
      <c r="CB165" s="328"/>
      <c r="CC165" s="328"/>
      <c r="CD165" s="328"/>
      <c r="CE165" s="328"/>
      <c r="CF165" s="328"/>
      <c r="CG165" s="328"/>
      <c r="CH165" s="328"/>
      <c r="CI165" s="328"/>
      <c r="CJ165" s="328"/>
      <c r="CK165" s="328"/>
      <c r="CL165" s="328"/>
      <c r="CM165" s="328"/>
      <c r="CN165" s="328"/>
      <c r="CO165" s="328"/>
      <c r="CP165" s="328"/>
      <c r="CQ165" s="328"/>
      <c r="CR165" s="328"/>
      <c r="CS165" s="328"/>
      <c r="CT165" s="328"/>
      <c r="CU165" s="328"/>
      <c r="CV165" s="328"/>
      <c r="CW165" s="328"/>
      <c r="CX165" s="328"/>
      <c r="CY165" s="328"/>
      <c r="CZ165" s="328"/>
      <c r="DA165" s="328"/>
      <c r="DB165" s="328"/>
      <c r="DC165" s="328"/>
      <c r="DD165" s="328"/>
      <c r="DE165" s="328"/>
      <c r="DF165" s="328"/>
      <c r="DG165" s="328"/>
      <c r="DH165" s="328"/>
      <c r="DI165" s="328"/>
      <c r="DJ165" s="328"/>
      <c r="DK165" s="328"/>
      <c r="DL165" s="328"/>
      <c r="DM165" s="328"/>
      <c r="DN165" s="328"/>
      <c r="DO165" s="328"/>
      <c r="DP165" s="328"/>
      <c r="DQ165" s="328"/>
      <c r="DR165" s="328"/>
      <c r="DS165" s="328"/>
      <c r="DT165" s="328"/>
      <c r="DU165" s="328"/>
      <c r="DV165" s="328"/>
      <c r="DW165" s="328"/>
      <c r="DX165" s="328"/>
      <c r="DY165" s="328"/>
      <c r="DZ165" s="328"/>
      <c r="EA165" s="328"/>
      <c r="EB165" s="328"/>
      <c r="EC165" s="328"/>
      <c r="ED165" s="328"/>
      <c r="EE165" s="328"/>
      <c r="EF165" s="328"/>
      <c r="EG165" s="328"/>
      <c r="EH165" s="328"/>
      <c r="EI165" s="328"/>
      <c r="EJ165" s="328"/>
      <c r="EK165" s="328"/>
      <c r="EL165" s="328"/>
      <c r="EM165" s="328"/>
      <c r="EN165" s="328"/>
      <c r="EO165" s="328"/>
      <c r="EP165" s="328"/>
      <c r="EQ165" s="328"/>
      <c r="ER165" s="328"/>
      <c r="ES165" s="328"/>
      <c r="ET165" s="328"/>
      <c r="EU165" s="328"/>
      <c r="EV165" s="328"/>
      <c r="EW165" s="328"/>
      <c r="EX165" s="328"/>
      <c r="EY165" s="328"/>
      <c r="EZ165" s="328"/>
      <c r="FA165" s="328"/>
      <c r="FB165" s="328"/>
      <c r="FC165" s="328"/>
      <c r="FD165" s="328"/>
      <c r="FE165" s="328"/>
      <c r="FF165" s="328"/>
      <c r="FG165" s="328"/>
      <c r="FH165" s="328"/>
      <c r="FI165" s="328"/>
      <c r="FJ165" s="328"/>
      <c r="FK165" s="328"/>
      <c r="FL165" s="328"/>
      <c r="FM165" s="328"/>
      <c r="FN165" s="328"/>
      <c r="FO165" s="328"/>
      <c r="FP165" s="328"/>
      <c r="FQ165" s="328"/>
      <c r="FR165" s="328"/>
      <c r="FS165" s="328"/>
      <c r="FT165" s="328"/>
      <c r="FU165" s="328"/>
      <c r="FV165" s="328"/>
      <c r="FW165" s="328"/>
      <c r="FX165" s="328"/>
      <c r="FY165" s="328"/>
      <c r="FZ165" s="328"/>
      <c r="GA165" s="328"/>
      <c r="GB165" s="328"/>
      <c r="GC165" s="328"/>
      <c r="GD165" s="328"/>
      <c r="GE165" s="328"/>
      <c r="GF165" s="328"/>
      <c r="GG165" s="328"/>
      <c r="GH165" s="328"/>
      <c r="GI165" s="328"/>
      <c r="GJ165" s="328"/>
      <c r="GK165" s="328"/>
      <c r="GL165" s="328"/>
      <c r="GM165" s="328"/>
      <c r="GN165" s="328"/>
      <c r="GO165" s="328"/>
      <c r="GP165" s="328"/>
      <c r="GQ165" s="328"/>
      <c r="GR165" s="328"/>
      <c r="GS165" s="328"/>
      <c r="GT165" s="328"/>
      <c r="GU165" s="328"/>
      <c r="GV165" s="328"/>
      <c r="GW165" s="328"/>
      <c r="GX165" s="328"/>
      <c r="GY165" s="328"/>
      <c r="GZ165" s="328"/>
      <c r="HA165" s="328"/>
      <c r="HB165" s="328"/>
      <c r="HC165" s="328"/>
      <c r="HD165" s="328"/>
      <c r="HE165" s="328"/>
      <c r="HF165" s="328"/>
      <c r="HG165" s="328"/>
      <c r="HH165" s="328"/>
      <c r="HI165" s="328"/>
      <c r="HJ165" s="328"/>
      <c r="HK165" s="328"/>
      <c r="HL165" s="328"/>
      <c r="HM165" s="328"/>
      <c r="HN165" s="328"/>
      <c r="HO165" s="328"/>
      <c r="HP165" s="328"/>
      <c r="HQ165" s="328"/>
      <c r="HR165" s="328"/>
      <c r="HS165" s="328"/>
      <c r="HT165" s="328"/>
      <c r="HU165" s="328"/>
      <c r="HV165" s="328"/>
      <c r="HW165" s="328"/>
      <c r="HX165" s="328"/>
      <c r="HY165" s="328"/>
      <c r="HZ165" s="328"/>
      <c r="IA165" s="328"/>
      <c r="IB165" s="328"/>
      <c r="IC165" s="328"/>
      <c r="ID165" s="328"/>
      <c r="IE165" s="328"/>
      <c r="IF165" s="328"/>
      <c r="IG165" s="328"/>
      <c r="IH165" s="328"/>
      <c r="II165" s="328"/>
      <c r="IJ165" s="328"/>
      <c r="IK165" s="328"/>
      <c r="IL165" s="328"/>
      <c r="IM165" s="328"/>
      <c r="IN165" s="328"/>
      <c r="IO165" s="328"/>
      <c r="IP165" s="328"/>
      <c r="IQ165" s="328"/>
      <c r="IR165" s="328"/>
      <c r="IS165" s="328"/>
      <c r="IT165" s="328"/>
      <c r="IU165" s="328"/>
      <c r="IV165" s="328"/>
      <c r="IW165" s="328"/>
      <c r="IX165" s="328"/>
      <c r="IY165" s="328"/>
    </row>
    <row r="166" spans="1:259" s="327" customFormat="1" ht="15.5" x14ac:dyDescent="0.35">
      <c r="B166" s="329" t="s">
        <v>166</v>
      </c>
      <c r="C166" s="329"/>
      <c r="E166" s="328"/>
      <c r="F166" s="328"/>
      <c r="G166" s="328"/>
      <c r="H166" s="328"/>
      <c r="I166" s="328"/>
      <c r="J166" s="328"/>
      <c r="K166" s="328"/>
      <c r="L166"/>
      <c r="M166" s="328"/>
      <c r="N166" s="328"/>
      <c r="O166" s="328"/>
      <c r="P166" s="328"/>
      <c r="Q166" s="328"/>
      <c r="R166" s="328"/>
      <c r="S166" s="328"/>
      <c r="T166" s="328"/>
      <c r="U166" s="328"/>
      <c r="V166" s="328"/>
      <c r="W166" s="328"/>
      <c r="X166" s="328"/>
      <c r="Y166" s="328"/>
      <c r="Z166" s="328"/>
      <c r="AA166" s="328"/>
      <c r="AB166" s="328"/>
      <c r="AC166" s="328"/>
      <c r="AD166" s="328"/>
      <c r="AE166" s="328"/>
      <c r="AF166" s="328"/>
      <c r="AG166" s="328"/>
      <c r="AH166" s="328"/>
      <c r="AI166" s="328"/>
      <c r="AJ166" s="328"/>
      <c r="AK166" s="328"/>
      <c r="AL166" s="328"/>
      <c r="AM166" s="328"/>
      <c r="AN166" s="328"/>
      <c r="AO166" s="328"/>
      <c r="AP166" s="328"/>
      <c r="AQ166" s="328"/>
      <c r="AR166" s="328"/>
      <c r="AS166" s="328"/>
      <c r="AT166" s="328"/>
      <c r="AU166" s="328"/>
      <c r="AV166" s="328"/>
      <c r="AW166" s="328"/>
      <c r="AX166" s="328"/>
      <c r="AY166" s="328"/>
      <c r="AZ166" s="328"/>
      <c r="BA166" s="328"/>
      <c r="BB166" s="328"/>
      <c r="BC166" s="328"/>
      <c r="BD166" s="328"/>
      <c r="BE166" s="328"/>
      <c r="BF166" s="328"/>
      <c r="BG166" s="328"/>
      <c r="BH166" s="328"/>
      <c r="BI166" s="328"/>
      <c r="BJ166" s="328"/>
      <c r="BK166" s="328"/>
      <c r="BL166" s="328"/>
      <c r="BM166" s="328"/>
      <c r="BN166" s="328"/>
      <c r="BO166" s="328"/>
      <c r="BP166" s="328"/>
      <c r="BQ166" s="328"/>
      <c r="BR166" s="328"/>
      <c r="BS166" s="328"/>
      <c r="BT166" s="328"/>
      <c r="BU166" s="328"/>
      <c r="BV166" s="328"/>
      <c r="BW166" s="328"/>
      <c r="BX166" s="328"/>
      <c r="BY166" s="328"/>
      <c r="BZ166" s="328"/>
      <c r="CA166" s="328"/>
      <c r="CB166" s="328"/>
      <c r="CC166" s="328"/>
      <c r="CD166" s="328"/>
      <c r="CE166" s="328"/>
      <c r="CF166" s="328"/>
      <c r="CG166" s="328"/>
      <c r="CH166" s="328"/>
      <c r="CI166" s="328"/>
      <c r="CJ166" s="328"/>
      <c r="CK166" s="328"/>
      <c r="CL166" s="328"/>
      <c r="CM166" s="328"/>
      <c r="CN166" s="328"/>
      <c r="CO166" s="328"/>
      <c r="CP166" s="328"/>
      <c r="CQ166" s="328"/>
      <c r="CR166" s="328"/>
      <c r="CS166" s="328"/>
      <c r="CT166" s="328"/>
      <c r="CU166" s="328"/>
      <c r="CV166" s="328"/>
      <c r="CW166" s="328"/>
      <c r="CX166" s="328"/>
      <c r="CY166" s="328"/>
      <c r="CZ166" s="328"/>
      <c r="DA166" s="328"/>
      <c r="DB166" s="328"/>
      <c r="DC166" s="328"/>
      <c r="DD166" s="328"/>
      <c r="DE166" s="328"/>
      <c r="DF166" s="328"/>
      <c r="DG166" s="328"/>
      <c r="DH166" s="328"/>
      <c r="DI166" s="328"/>
      <c r="DJ166" s="328"/>
      <c r="DK166" s="328"/>
      <c r="DL166" s="328"/>
      <c r="DM166" s="328"/>
      <c r="DN166" s="328"/>
      <c r="DO166" s="328"/>
      <c r="DP166" s="328"/>
      <c r="DQ166" s="328"/>
      <c r="DR166" s="328"/>
      <c r="DS166" s="328"/>
      <c r="DT166" s="328"/>
      <c r="DU166" s="328"/>
      <c r="DV166" s="328"/>
      <c r="DW166" s="328"/>
      <c r="DX166" s="328"/>
      <c r="DY166" s="328"/>
      <c r="DZ166" s="328"/>
      <c r="EA166" s="328"/>
      <c r="EB166" s="328"/>
      <c r="EC166" s="328"/>
      <c r="ED166" s="328"/>
      <c r="EE166" s="328"/>
      <c r="EF166" s="328"/>
      <c r="EG166" s="328"/>
      <c r="EH166" s="328"/>
      <c r="EI166" s="328"/>
      <c r="EJ166" s="328"/>
      <c r="EK166" s="328"/>
      <c r="EL166" s="328"/>
      <c r="EM166" s="328"/>
      <c r="EN166" s="328"/>
      <c r="EO166" s="328"/>
      <c r="EP166" s="328"/>
      <c r="EQ166" s="328"/>
      <c r="ER166" s="328"/>
      <c r="ES166" s="328"/>
      <c r="ET166" s="328"/>
      <c r="EU166" s="328"/>
      <c r="EV166" s="328"/>
      <c r="EW166" s="328"/>
      <c r="EX166" s="328"/>
      <c r="EY166" s="328"/>
      <c r="EZ166" s="328"/>
      <c r="FA166" s="328"/>
      <c r="FB166" s="328"/>
      <c r="FC166" s="328"/>
      <c r="FD166" s="328"/>
      <c r="FE166" s="328"/>
      <c r="FF166" s="328"/>
      <c r="FG166" s="328"/>
      <c r="FH166" s="328"/>
      <c r="FI166" s="328"/>
      <c r="FJ166" s="328"/>
      <c r="FK166" s="328"/>
      <c r="FL166" s="328"/>
      <c r="FM166" s="328"/>
      <c r="FN166" s="328"/>
      <c r="FO166" s="328"/>
      <c r="FP166" s="328"/>
      <c r="FQ166" s="328"/>
      <c r="FR166" s="328"/>
      <c r="FS166" s="328"/>
      <c r="FT166" s="328"/>
      <c r="FU166" s="328"/>
      <c r="FV166" s="328"/>
      <c r="FW166" s="328"/>
      <c r="FX166" s="328"/>
      <c r="FY166" s="328"/>
      <c r="FZ166" s="328"/>
      <c r="GA166" s="328"/>
      <c r="GB166" s="328"/>
      <c r="GC166" s="328"/>
      <c r="GD166" s="328"/>
      <c r="GE166" s="328"/>
      <c r="GF166" s="328"/>
      <c r="GG166" s="328"/>
      <c r="GH166" s="328"/>
      <c r="GI166" s="328"/>
      <c r="GJ166" s="328"/>
      <c r="GK166" s="328"/>
      <c r="GL166" s="328"/>
      <c r="GM166" s="328"/>
      <c r="GN166" s="328"/>
      <c r="GO166" s="328"/>
      <c r="GP166" s="328"/>
      <c r="GQ166" s="328"/>
      <c r="GR166" s="328"/>
      <c r="GS166" s="328"/>
      <c r="GT166" s="328"/>
      <c r="GU166" s="328"/>
      <c r="GV166" s="328"/>
      <c r="GW166" s="328"/>
      <c r="GX166" s="328"/>
      <c r="GY166" s="328"/>
      <c r="GZ166" s="328"/>
      <c r="HA166" s="328"/>
      <c r="HB166" s="328"/>
      <c r="HC166" s="328"/>
      <c r="HD166" s="328"/>
      <c r="HE166" s="328"/>
      <c r="HF166" s="328"/>
      <c r="HG166" s="328"/>
      <c r="HH166" s="328"/>
      <c r="HI166" s="328"/>
      <c r="HJ166" s="328"/>
      <c r="HK166" s="328"/>
      <c r="HL166" s="328"/>
      <c r="HM166" s="328"/>
      <c r="HN166" s="328"/>
      <c r="HO166" s="328"/>
      <c r="HP166" s="328"/>
      <c r="HQ166" s="328"/>
      <c r="HR166" s="328"/>
      <c r="HS166" s="328"/>
      <c r="HT166" s="328"/>
      <c r="HU166" s="328"/>
      <c r="HV166" s="328"/>
      <c r="HW166" s="328"/>
      <c r="HX166" s="328"/>
      <c r="HY166" s="328"/>
      <c r="HZ166" s="328"/>
      <c r="IA166" s="328"/>
      <c r="IB166" s="328"/>
      <c r="IC166" s="328"/>
      <c r="ID166" s="328"/>
      <c r="IE166" s="328"/>
      <c r="IF166" s="328"/>
      <c r="IG166" s="328"/>
      <c r="IH166" s="328"/>
      <c r="II166" s="328"/>
      <c r="IJ166" s="328"/>
      <c r="IK166" s="328"/>
      <c r="IL166" s="328"/>
      <c r="IM166" s="328"/>
      <c r="IN166" s="328"/>
      <c r="IO166" s="328"/>
      <c r="IP166" s="328"/>
      <c r="IQ166" s="328"/>
      <c r="IR166" s="328"/>
      <c r="IS166" s="328"/>
      <c r="IT166" s="328"/>
      <c r="IU166" s="328"/>
      <c r="IV166" s="328"/>
      <c r="IW166" s="328"/>
      <c r="IX166" s="328"/>
      <c r="IY166" s="328"/>
    </row>
    <row r="167" spans="1:259" x14ac:dyDescent="0.35">
      <c r="B167" s="18"/>
      <c r="C167" s="18"/>
    </row>
    <row r="168" spans="1:259" x14ac:dyDescent="0.35">
      <c r="A168" s="37" t="s">
        <v>167</v>
      </c>
      <c r="B168" s="37" t="s">
        <v>168</v>
      </c>
      <c r="C168" s="37"/>
    </row>
    <row r="169" spans="1:259" x14ac:dyDescent="0.35">
      <c r="B169" s="18"/>
      <c r="C169" s="18"/>
    </row>
    <row r="170" spans="1:259" x14ac:dyDescent="0.35">
      <c r="B170" s="18"/>
      <c r="C170" s="18"/>
    </row>
    <row r="171" spans="1:259" x14ac:dyDescent="0.35">
      <c r="A171" s="37" t="s">
        <v>169</v>
      </c>
      <c r="B171" s="38" t="s">
        <v>170</v>
      </c>
      <c r="C171" s="38"/>
    </row>
    <row r="172" spans="1:259" x14ac:dyDescent="0.35">
      <c r="B172" s="20"/>
      <c r="C172" s="20"/>
    </row>
  </sheetData>
  <mergeCells count="154">
    <mergeCell ref="D140:E140"/>
    <mergeCell ref="D141:K141"/>
    <mergeCell ref="D142:E142"/>
    <mergeCell ref="D143:E143"/>
    <mergeCell ref="D144:E144"/>
    <mergeCell ref="D154:E154"/>
    <mergeCell ref="D145:E145"/>
    <mergeCell ref="D146:E146"/>
    <mergeCell ref="D147:E147"/>
    <mergeCell ref="D148:K148"/>
    <mergeCell ref="D149:E149"/>
    <mergeCell ref="D150:E150"/>
    <mergeCell ref="D151:E151"/>
    <mergeCell ref="D152:E152"/>
    <mergeCell ref="D153:E153"/>
    <mergeCell ref="D131:E131"/>
    <mergeCell ref="D132:E132"/>
    <mergeCell ref="D133:E133"/>
    <mergeCell ref="D134:K134"/>
    <mergeCell ref="D135:E135"/>
    <mergeCell ref="D136:E136"/>
    <mergeCell ref="D137:E137"/>
    <mergeCell ref="D138:E138"/>
    <mergeCell ref="D139:E139"/>
    <mergeCell ref="D122:E122"/>
    <mergeCell ref="D123:E123"/>
    <mergeCell ref="D124:E124"/>
    <mergeCell ref="D125:E125"/>
    <mergeCell ref="D126:E126"/>
    <mergeCell ref="D127:K127"/>
    <mergeCell ref="D128:E128"/>
    <mergeCell ref="D129:E129"/>
    <mergeCell ref="D130:E130"/>
    <mergeCell ref="D113:E113"/>
    <mergeCell ref="D114:E114"/>
    <mergeCell ref="C117:C118"/>
    <mergeCell ref="D117:E118"/>
    <mergeCell ref="G117:K117"/>
    <mergeCell ref="F117:F118"/>
    <mergeCell ref="D119:K119"/>
    <mergeCell ref="D120:K120"/>
    <mergeCell ref="D121:E121"/>
    <mergeCell ref="C106:C107"/>
    <mergeCell ref="D106:E107"/>
    <mergeCell ref="G106:K106"/>
    <mergeCell ref="F106:F107"/>
    <mergeCell ref="D108:K108"/>
    <mergeCell ref="D109:E109"/>
    <mergeCell ref="D110:E110"/>
    <mergeCell ref="D111:E111"/>
    <mergeCell ref="D112:E112"/>
    <mergeCell ref="D42:E42"/>
    <mergeCell ref="D46:E46"/>
    <mergeCell ref="G24:K24"/>
    <mergeCell ref="D40:E40"/>
    <mergeCell ref="D41:E41"/>
    <mergeCell ref="F55:F56"/>
    <mergeCell ref="F66:F67"/>
    <mergeCell ref="D44:E44"/>
    <mergeCell ref="G66:K66"/>
    <mergeCell ref="A1:L1"/>
    <mergeCell ref="D90:K90"/>
    <mergeCell ref="D91:E91"/>
    <mergeCell ref="D92:E92"/>
    <mergeCell ref="D93:E93"/>
    <mergeCell ref="D94:E94"/>
    <mergeCell ref="A2:G2"/>
    <mergeCell ref="A5:C5"/>
    <mergeCell ref="A6:C6"/>
    <mergeCell ref="A7:C7"/>
    <mergeCell ref="B16:C16"/>
    <mergeCell ref="B15:C15"/>
    <mergeCell ref="B19:C19"/>
    <mergeCell ref="B20:C20"/>
    <mergeCell ref="D76:K76"/>
    <mergeCell ref="D77:E77"/>
    <mergeCell ref="D78:E78"/>
    <mergeCell ref="D45:K45"/>
    <mergeCell ref="D50:E50"/>
    <mergeCell ref="D37:K37"/>
    <mergeCell ref="D38:E38"/>
    <mergeCell ref="D39:E39"/>
    <mergeCell ref="C66:C67"/>
    <mergeCell ref="D66:E67"/>
    <mergeCell ref="T8:V8"/>
    <mergeCell ref="A8:C8"/>
    <mergeCell ref="A9:C9"/>
    <mergeCell ref="A10:C10"/>
    <mergeCell ref="A11:C11"/>
    <mergeCell ref="A12:C12"/>
    <mergeCell ref="C35:C36"/>
    <mergeCell ref="G35:K35"/>
    <mergeCell ref="L24:L25"/>
    <mergeCell ref="D28:E28"/>
    <mergeCell ref="D29:E29"/>
    <mergeCell ref="D31:E31"/>
    <mergeCell ref="D32:E32"/>
    <mergeCell ref="C24:C25"/>
    <mergeCell ref="F35:F36"/>
    <mergeCell ref="L35:L36"/>
    <mergeCell ref="F24:F25"/>
    <mergeCell ref="D30:E30"/>
    <mergeCell ref="D26:K26"/>
    <mergeCell ref="D24:E25"/>
    <mergeCell ref="D27:E27"/>
    <mergeCell ref="D35:E36"/>
    <mergeCell ref="L117:L118"/>
    <mergeCell ref="D43:E43"/>
    <mergeCell ref="D51:E51"/>
    <mergeCell ref="D52:E52"/>
    <mergeCell ref="D87:E87"/>
    <mergeCell ref="D69:K69"/>
    <mergeCell ref="C55:C56"/>
    <mergeCell ref="G55:K55"/>
    <mergeCell ref="D58:E58"/>
    <mergeCell ref="D59:E59"/>
    <mergeCell ref="D60:E60"/>
    <mergeCell ref="D61:E61"/>
    <mergeCell ref="D62:E62"/>
    <mergeCell ref="D63:E63"/>
    <mergeCell ref="D57:K57"/>
    <mergeCell ref="D55:E56"/>
    <mergeCell ref="D68:K68"/>
    <mergeCell ref="D84:E84"/>
    <mergeCell ref="L55:L56"/>
    <mergeCell ref="D47:E47"/>
    <mergeCell ref="D48:E48"/>
    <mergeCell ref="D49:E49"/>
    <mergeCell ref="D95:E95"/>
    <mergeCell ref="D96:E96"/>
    <mergeCell ref="D85:E85"/>
    <mergeCell ref="D70:E70"/>
    <mergeCell ref="D71:E71"/>
    <mergeCell ref="D72:E72"/>
    <mergeCell ref="D73:E73"/>
    <mergeCell ref="D74:E74"/>
    <mergeCell ref="D75:E75"/>
    <mergeCell ref="L66:L67"/>
    <mergeCell ref="L106:L107"/>
    <mergeCell ref="D97:K97"/>
    <mergeCell ref="D86:E86"/>
    <mergeCell ref="D89:E89"/>
    <mergeCell ref="D88:E88"/>
    <mergeCell ref="D79:E79"/>
    <mergeCell ref="D80:E80"/>
    <mergeCell ref="D81:E81"/>
    <mergeCell ref="D82:E82"/>
    <mergeCell ref="D83:K83"/>
    <mergeCell ref="D98:E98"/>
    <mergeCell ref="D99:E99"/>
    <mergeCell ref="D100:E100"/>
    <mergeCell ref="D101:E101"/>
    <mergeCell ref="D102:E102"/>
    <mergeCell ref="D103:E103"/>
  </mergeCells>
  <phoneticPr fontId="26" type="noConversion"/>
  <dataValidations count="2">
    <dataValidation type="list" allowBlank="1" showInputMessage="1" showErrorMessage="1" sqref="H116 H65 H34 H21:H23 H54 H105" xr:uid="{1A884C2E-5A50-4BA3-904B-A0B423879629}">
      <formula1>$Q$235:$Q$236</formula1>
    </dataValidation>
    <dataValidation type="list" allowBlank="1" showInputMessage="1" showErrorMessage="1" sqref="E160:F166" xr:uid="{F551FC65-75C3-4776-90F6-3CEDA014E6AA}">
      <formula1>$T$10:$T$12</formula1>
    </dataValidation>
  </dataValidations>
  <pageMargins left="0.45" right="0.39" top="0.5" bottom="0.47" header="0.3" footer="0.3"/>
  <pageSetup paperSize="9" scale="71" orientation="portrait" r:id="rId1"/>
  <headerFooter>
    <oddHeader>&amp;R&amp;8LK.MK.093-19/Rev.0</oddHeader>
    <oddFooter>&amp;C&amp;8&amp;K09+000Software 04-08-22</oddFooter>
  </headerFooter>
  <rowBreaks count="2" manualBreakCount="2">
    <brk id="44" max="11" man="1"/>
    <brk id="115" max="11" man="1"/>
  </rowBreaks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4777805-A5C9-41C4-839E-E21D6B33E9D0}">
          <x14:formula1>
            <xm:f>'Kata-kata'!$B$9:$B$10</xm:f>
          </x14:formula1>
          <xm:sqref>G24:K24 G35:K35 G55:K55 G66:K66 G106:K106</xm:sqref>
        </x14:dataValidation>
        <x14:dataValidation type="list" allowBlank="1" showInputMessage="1" showErrorMessage="1" xr:uid="{24D20804-0B03-45FA-AD40-32A3E5234ECD}">
          <x14:formula1>
            <xm:f>'Kata-kata'!$B$7:$B$8</xm:f>
          </x14:formula1>
          <xm:sqref>D66:E67 D24:E25 D35:E36 D55:E56 D106:E107</xm:sqref>
        </x14:dataValidation>
        <x14:dataValidation type="list" allowBlank="1" showInputMessage="1" showErrorMessage="1" xr:uid="{203AC854-23D1-4C82-8AF4-CA20872B07E3}">
          <x14:formula1>
            <xm:f>'Kata-kata'!$D$7:$D$8</xm:f>
          </x14:formula1>
          <xm:sqref>F24 F35 F55 F66 F106 F117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9DE83-F4A2-4940-91E4-F6804722BCD4}">
  <dimension ref="A1:U181"/>
  <sheetViews>
    <sheetView view="pageBreakPreview" topLeftCell="A133" zoomScale="75" zoomScaleNormal="96" zoomScaleSheetLayoutView="75" workbookViewId="0">
      <selection activeCell="K136" sqref="K136"/>
    </sheetView>
  </sheetViews>
  <sheetFormatPr defaultRowHeight="14.5" x14ac:dyDescent="0.35"/>
  <cols>
    <col min="1" max="2" width="8" style="650" customWidth="1"/>
    <col min="3" max="3" width="8.81640625" style="650" customWidth="1"/>
    <col min="4" max="4" width="1.453125" style="650" customWidth="1"/>
    <col min="5" max="5" width="12.1796875" style="650" customWidth="1"/>
    <col min="6" max="8" width="12.453125" style="650" customWidth="1"/>
    <col min="9" max="9" width="12.7265625" style="650" customWidth="1"/>
    <col min="10" max="11" width="12.453125" style="650" customWidth="1"/>
    <col min="12" max="12" width="9.453125" style="650" customWidth="1"/>
    <col min="13" max="19" width="9.1796875" style="650" customWidth="1"/>
    <col min="20" max="16384" width="8.7265625" style="650"/>
  </cols>
  <sheetData>
    <row r="1" spans="1:21" ht="18.5" x14ac:dyDescent="0.45">
      <c r="A1" s="834" t="s">
        <v>171</v>
      </c>
      <c r="B1" s="834"/>
      <c r="C1" s="834"/>
      <c r="D1" s="834"/>
      <c r="E1" s="834"/>
      <c r="F1" s="834"/>
      <c r="G1" s="834"/>
      <c r="H1" s="834"/>
      <c r="I1" s="834"/>
      <c r="J1" s="834"/>
      <c r="K1" s="834"/>
    </row>
    <row r="2" spans="1:21" ht="15.5" x14ac:dyDescent="0.35">
      <c r="A2" s="835" t="s">
        <v>95</v>
      </c>
      <c r="B2" s="835"/>
      <c r="C2" s="835"/>
      <c r="D2" s="835"/>
      <c r="E2" s="835"/>
      <c r="F2" s="835"/>
      <c r="H2" s="15"/>
      <c r="I2" s="582" t="s">
        <v>172</v>
      </c>
      <c r="J2" s="15"/>
      <c r="K2" s="15"/>
    </row>
    <row r="3" spans="1:21" ht="15.5" x14ac:dyDescent="0.35">
      <c r="A3" s="581"/>
      <c r="B3" s="581"/>
      <c r="C3" s="581"/>
      <c r="D3" s="581"/>
      <c r="E3" s="581"/>
      <c r="F3" s="581"/>
      <c r="G3" s="15"/>
      <c r="H3" s="15"/>
      <c r="I3" s="15"/>
      <c r="J3" s="15"/>
      <c r="K3" s="15"/>
    </row>
    <row r="5" spans="1:21" x14ac:dyDescent="0.35">
      <c r="A5" s="873" t="s">
        <v>96</v>
      </c>
      <c r="B5" s="873"/>
      <c r="C5" s="873"/>
      <c r="D5" s="651" t="s">
        <v>97</v>
      </c>
      <c r="E5" s="18" t="s">
        <v>173</v>
      </c>
    </row>
    <row r="6" spans="1:21" x14ac:dyDescent="0.35">
      <c r="A6" s="873" t="s">
        <v>98</v>
      </c>
      <c r="B6" s="873"/>
      <c r="C6" s="873"/>
      <c r="D6" s="651" t="s">
        <v>97</v>
      </c>
      <c r="E6" s="18" t="s">
        <v>174</v>
      </c>
    </row>
    <row r="7" spans="1:21" x14ac:dyDescent="0.35">
      <c r="A7" s="873" t="s">
        <v>99</v>
      </c>
      <c r="B7" s="873"/>
      <c r="C7" s="873"/>
      <c r="D7" s="651" t="s">
        <v>97</v>
      </c>
      <c r="E7" s="20" t="s">
        <v>175</v>
      </c>
    </row>
    <row r="8" spans="1:21" ht="15.5" x14ac:dyDescent="0.35">
      <c r="A8" s="873" t="s">
        <v>100</v>
      </c>
      <c r="B8" s="873"/>
      <c r="C8" s="873"/>
      <c r="D8" s="651" t="s">
        <v>97</v>
      </c>
      <c r="E8" s="20" t="s">
        <v>176</v>
      </c>
      <c r="S8" s="830"/>
      <c r="T8" s="830"/>
      <c r="U8" s="830"/>
    </row>
    <row r="9" spans="1:21" x14ac:dyDescent="0.35">
      <c r="A9" s="873" t="s">
        <v>101</v>
      </c>
      <c r="B9" s="873"/>
      <c r="C9" s="873"/>
      <c r="D9" s="651" t="s">
        <v>97</v>
      </c>
      <c r="E9" s="20" t="s">
        <v>176</v>
      </c>
      <c r="S9" s="77"/>
      <c r="T9" s="77"/>
      <c r="U9" s="77"/>
    </row>
    <row r="10" spans="1:21" x14ac:dyDescent="0.35">
      <c r="A10" s="873" t="s">
        <v>102</v>
      </c>
      <c r="B10" s="873"/>
      <c r="C10" s="873"/>
      <c r="D10" s="651" t="s">
        <v>97</v>
      </c>
      <c r="E10" s="18" t="s">
        <v>10</v>
      </c>
      <c r="S10" s="78"/>
      <c r="T10" s="79"/>
      <c r="U10" s="80"/>
    </row>
    <row r="11" spans="1:21" x14ac:dyDescent="0.35">
      <c r="A11" s="873" t="s">
        <v>103</v>
      </c>
      <c r="B11" s="873"/>
      <c r="C11" s="873"/>
      <c r="D11" s="651" t="s">
        <v>97</v>
      </c>
      <c r="E11" s="18" t="s">
        <v>177</v>
      </c>
      <c r="S11" s="78"/>
      <c r="T11" s="79"/>
      <c r="U11" s="80"/>
    </row>
    <row r="12" spans="1:21" x14ac:dyDescent="0.35">
      <c r="A12" s="873" t="s">
        <v>104</v>
      </c>
      <c r="B12" s="873"/>
      <c r="C12" s="873"/>
      <c r="D12" s="651" t="s">
        <v>97</v>
      </c>
      <c r="E12" s="18" t="s">
        <v>105</v>
      </c>
      <c r="S12" s="78"/>
      <c r="T12" s="79"/>
      <c r="U12" s="80"/>
    </row>
    <row r="13" spans="1:21" x14ac:dyDescent="0.35">
      <c r="O13" s="652"/>
      <c r="S13" s="78"/>
      <c r="U13" s="80"/>
    </row>
    <row r="14" spans="1:21" ht="15" customHeight="1" x14ac:dyDescent="0.35">
      <c r="A14" s="653" t="s">
        <v>106</v>
      </c>
      <c r="B14" s="653" t="s">
        <v>107</v>
      </c>
      <c r="C14" s="653"/>
      <c r="D14" s="654"/>
      <c r="E14" s="655" t="s">
        <v>108</v>
      </c>
      <c r="F14" s="655" t="s">
        <v>109</v>
      </c>
      <c r="G14" s="656"/>
      <c r="H14" s="657"/>
      <c r="I14" s="654"/>
      <c r="S14" s="78"/>
      <c r="U14" s="658"/>
    </row>
    <row r="15" spans="1:21" x14ac:dyDescent="0.35">
      <c r="A15" s="659"/>
      <c r="B15" s="872" t="s">
        <v>110</v>
      </c>
      <c r="C15" s="872"/>
      <c r="D15" s="651" t="s">
        <v>97</v>
      </c>
      <c r="E15" s="639">
        <v>19.899999999999999</v>
      </c>
      <c r="F15" s="639">
        <v>20.100000000000001</v>
      </c>
      <c r="G15" s="660" t="s">
        <v>111</v>
      </c>
      <c r="S15" s="78"/>
      <c r="U15" s="658"/>
    </row>
    <row r="16" spans="1:21" x14ac:dyDescent="0.35">
      <c r="A16" s="659"/>
      <c r="B16" s="872" t="s">
        <v>112</v>
      </c>
      <c r="C16" s="872"/>
      <c r="D16" s="651" t="s">
        <v>97</v>
      </c>
      <c r="E16" s="639">
        <v>58.9</v>
      </c>
      <c r="F16" s="639">
        <v>60.3</v>
      </c>
      <c r="G16" s="660" t="s">
        <v>8</v>
      </c>
      <c r="S16" s="78"/>
    </row>
    <row r="17" spans="1:19" x14ac:dyDescent="0.35">
      <c r="A17" s="659"/>
      <c r="B17" s="659"/>
      <c r="C17" s="659"/>
      <c r="D17" s="654"/>
      <c r="E17" s="659"/>
      <c r="F17" s="659"/>
      <c r="G17" s="659"/>
      <c r="H17" s="659"/>
      <c r="I17" s="661"/>
      <c r="J17" s="661"/>
      <c r="S17" s="78"/>
    </row>
    <row r="18" spans="1:19" x14ac:dyDescent="0.35">
      <c r="A18" s="653" t="s">
        <v>113</v>
      </c>
      <c r="B18" s="653" t="s">
        <v>114</v>
      </c>
      <c r="C18" s="653"/>
      <c r="D18" s="654"/>
      <c r="E18" s="659"/>
      <c r="F18" s="659"/>
      <c r="G18" s="659"/>
      <c r="H18" s="659"/>
      <c r="I18" s="659"/>
      <c r="J18" s="659"/>
      <c r="S18" s="78"/>
    </row>
    <row r="19" spans="1:19" x14ac:dyDescent="0.35">
      <c r="A19" s="659"/>
      <c r="B19" s="872" t="s">
        <v>115</v>
      </c>
      <c r="C19" s="872"/>
      <c r="D19" s="651" t="s">
        <v>97</v>
      </c>
      <c r="E19" s="640" t="s">
        <v>178</v>
      </c>
      <c r="F19" s="662"/>
      <c r="H19" s="654"/>
      <c r="I19" s="654"/>
      <c r="J19" s="659"/>
      <c r="S19" s="78"/>
    </row>
    <row r="20" spans="1:19" x14ac:dyDescent="0.35">
      <c r="A20" s="659"/>
      <c r="B20" s="872" t="s">
        <v>116</v>
      </c>
      <c r="C20" s="872"/>
      <c r="D20" s="651" t="s">
        <v>97</v>
      </c>
      <c r="E20" s="640" t="s">
        <v>178</v>
      </c>
      <c r="F20" s="662"/>
      <c r="H20" s="654"/>
      <c r="I20" s="654"/>
      <c r="J20" s="659"/>
    </row>
    <row r="21" spans="1:19" x14ac:dyDescent="0.35">
      <c r="A21" s="659"/>
      <c r="B21" s="659"/>
      <c r="C21" s="659"/>
      <c r="D21" s="654"/>
      <c r="E21" s="659"/>
      <c r="F21" s="662"/>
      <c r="G21" s="663"/>
      <c r="H21" s="654"/>
      <c r="I21" s="654"/>
      <c r="J21" s="659"/>
    </row>
    <row r="22" spans="1:19" x14ac:dyDescent="0.35">
      <c r="A22" s="653" t="s">
        <v>117</v>
      </c>
      <c r="B22" s="653" t="s">
        <v>118</v>
      </c>
      <c r="C22" s="653"/>
      <c r="D22" s="654"/>
      <c r="E22" s="659"/>
      <c r="F22" s="662"/>
      <c r="G22" s="663"/>
      <c r="H22" s="654"/>
      <c r="I22" s="654"/>
      <c r="J22" s="659"/>
    </row>
    <row r="23" spans="1:19" x14ac:dyDescent="0.35">
      <c r="C23" s="664"/>
      <c r="D23" s="40"/>
      <c r="E23" s="71"/>
      <c r="F23" s="71"/>
      <c r="G23" s="71"/>
      <c r="H23" s="71"/>
      <c r="I23" s="71"/>
      <c r="J23" s="71"/>
      <c r="K23" s="42"/>
    </row>
    <row r="24" spans="1:19" x14ac:dyDescent="0.35">
      <c r="A24" s="659"/>
      <c r="B24" s="20" t="s">
        <v>119</v>
      </c>
      <c r="C24" s="659" t="s">
        <v>120</v>
      </c>
      <c r="D24" s="654"/>
      <c r="E24" s="659"/>
      <c r="F24" s="662"/>
      <c r="G24" s="663"/>
      <c r="H24" s="654"/>
      <c r="I24" s="665"/>
      <c r="J24" s="659"/>
      <c r="K24" s="78"/>
    </row>
    <row r="25" spans="1:19" ht="15" customHeight="1" x14ac:dyDescent="0.35">
      <c r="C25" s="859" t="s">
        <v>30</v>
      </c>
      <c r="D25" s="825" t="s">
        <v>73</v>
      </c>
      <c r="E25" s="826"/>
      <c r="F25" s="823" t="s">
        <v>122</v>
      </c>
      <c r="G25" s="823"/>
      <c r="H25" s="823"/>
      <c r="I25" s="823"/>
      <c r="J25" s="823"/>
      <c r="K25" s="813" t="s">
        <v>79</v>
      </c>
    </row>
    <row r="26" spans="1:19" ht="15" customHeight="1" x14ac:dyDescent="0.35">
      <c r="C26" s="859"/>
      <c r="D26" s="827"/>
      <c r="E26" s="828"/>
      <c r="F26" s="580" t="s">
        <v>123</v>
      </c>
      <c r="G26" s="580" t="s">
        <v>124</v>
      </c>
      <c r="H26" s="580" t="s">
        <v>125</v>
      </c>
      <c r="I26" s="580" t="s">
        <v>126</v>
      </c>
      <c r="J26" s="580" t="s">
        <v>127</v>
      </c>
      <c r="K26" s="813"/>
    </row>
    <row r="27" spans="1:19" ht="15" customHeight="1" x14ac:dyDescent="0.35">
      <c r="C27" s="666"/>
      <c r="D27" s="843" t="s">
        <v>128</v>
      </c>
      <c r="E27" s="844"/>
      <c r="F27" s="844"/>
      <c r="G27" s="844"/>
      <c r="H27" s="844"/>
      <c r="I27" s="844"/>
      <c r="J27" s="844"/>
      <c r="K27" s="579"/>
    </row>
    <row r="28" spans="1:19" ht="15" customHeight="1" x14ac:dyDescent="0.35">
      <c r="C28" s="667">
        <v>1</v>
      </c>
      <c r="D28" s="855">
        <v>50</v>
      </c>
      <c r="E28" s="855"/>
      <c r="F28" s="641">
        <v>50</v>
      </c>
      <c r="G28" s="641">
        <v>50</v>
      </c>
      <c r="H28" s="641">
        <v>50</v>
      </c>
      <c r="I28" s="641">
        <v>50</v>
      </c>
      <c r="J28" s="641">
        <v>50</v>
      </c>
      <c r="K28" s="642">
        <v>0.1</v>
      </c>
    </row>
    <row r="29" spans="1:19" ht="15" customHeight="1" x14ac:dyDescent="0.35">
      <c r="C29" s="35">
        <v>2</v>
      </c>
      <c r="D29" s="855">
        <v>100</v>
      </c>
      <c r="E29" s="855"/>
      <c r="F29" s="641">
        <v>100</v>
      </c>
      <c r="G29" s="641">
        <v>100</v>
      </c>
      <c r="H29" s="641">
        <v>100</v>
      </c>
      <c r="I29" s="641">
        <v>100</v>
      </c>
      <c r="J29" s="641">
        <v>100</v>
      </c>
      <c r="K29" s="642">
        <v>0.1</v>
      </c>
    </row>
    <row r="30" spans="1:19" ht="15" customHeight="1" x14ac:dyDescent="0.35">
      <c r="C30" s="35">
        <v>3</v>
      </c>
      <c r="D30" s="855">
        <v>120</v>
      </c>
      <c r="E30" s="855"/>
      <c r="F30" s="641">
        <v>120</v>
      </c>
      <c r="G30" s="641">
        <v>120</v>
      </c>
      <c r="H30" s="641">
        <v>120</v>
      </c>
      <c r="I30" s="641">
        <v>120</v>
      </c>
      <c r="J30" s="641">
        <v>120</v>
      </c>
      <c r="K30" s="642">
        <v>0.1</v>
      </c>
    </row>
    <row r="31" spans="1:19" ht="15" customHeight="1" x14ac:dyDescent="0.35">
      <c r="C31" s="667">
        <v>4</v>
      </c>
      <c r="D31" s="855">
        <v>200</v>
      </c>
      <c r="E31" s="855"/>
      <c r="F31" s="641">
        <v>200</v>
      </c>
      <c r="G31" s="641">
        <v>200</v>
      </c>
      <c r="H31" s="641">
        <v>200</v>
      </c>
      <c r="I31" s="641">
        <v>200</v>
      </c>
      <c r="J31" s="641">
        <v>200</v>
      </c>
      <c r="K31" s="642">
        <v>0.1</v>
      </c>
    </row>
    <row r="32" spans="1:19" x14ac:dyDescent="0.35">
      <c r="C32" s="667">
        <v>5</v>
      </c>
      <c r="D32" s="855">
        <v>220</v>
      </c>
      <c r="E32" s="855"/>
      <c r="F32" s="641">
        <v>220</v>
      </c>
      <c r="G32" s="641">
        <v>220</v>
      </c>
      <c r="H32" s="641">
        <v>220</v>
      </c>
      <c r="I32" s="641">
        <v>220</v>
      </c>
      <c r="J32" s="641">
        <v>220</v>
      </c>
      <c r="K32" s="642">
        <v>0.1</v>
      </c>
    </row>
    <row r="33" spans="1:17" ht="15" customHeight="1" x14ac:dyDescent="0.35">
      <c r="C33" s="667">
        <v>6</v>
      </c>
      <c r="D33" s="855">
        <v>250</v>
      </c>
      <c r="E33" s="855"/>
      <c r="F33" s="641">
        <v>250</v>
      </c>
      <c r="G33" s="641">
        <v>250</v>
      </c>
      <c r="H33" s="641">
        <v>250</v>
      </c>
      <c r="I33" s="641">
        <v>250</v>
      </c>
      <c r="J33" s="641">
        <v>250</v>
      </c>
      <c r="K33" s="642">
        <v>0.1</v>
      </c>
    </row>
    <row r="34" spans="1:17" x14ac:dyDescent="0.35">
      <c r="C34" s="664"/>
      <c r="D34" s="552"/>
      <c r="E34" s="668"/>
      <c r="F34" s="668"/>
      <c r="G34" s="668"/>
      <c r="H34" s="668"/>
      <c r="I34" s="668"/>
      <c r="J34" s="668"/>
      <c r="K34" s="516"/>
    </row>
    <row r="35" spans="1:17" ht="15" customHeight="1" x14ac:dyDescent="0.35">
      <c r="C35" s="664"/>
      <c r="D35" s="870"/>
      <c r="E35" s="870"/>
      <c r="F35" s="669"/>
      <c r="G35" s="669"/>
      <c r="H35" s="669"/>
      <c r="I35" s="607"/>
      <c r="J35" s="669"/>
      <c r="K35" s="42"/>
    </row>
    <row r="36" spans="1:17" x14ac:dyDescent="0.35">
      <c r="A36" s="659"/>
      <c r="B36" s="20" t="s">
        <v>129</v>
      </c>
      <c r="C36" s="659" t="s">
        <v>180</v>
      </c>
      <c r="D36" s="654"/>
      <c r="E36" s="659"/>
      <c r="F36" s="662"/>
      <c r="G36" s="663"/>
      <c r="H36" s="654"/>
      <c r="I36" s="665"/>
      <c r="J36" s="659"/>
      <c r="K36" s="331"/>
      <c r="L36" s="670"/>
      <c r="N36" s="331"/>
    </row>
    <row r="37" spans="1:17" ht="15" customHeight="1" x14ac:dyDescent="0.35">
      <c r="C37" s="859" t="s">
        <v>30</v>
      </c>
      <c r="D37" s="825" t="s">
        <v>73</v>
      </c>
      <c r="E37" s="826"/>
      <c r="F37" s="823" t="s">
        <v>181</v>
      </c>
      <c r="G37" s="823"/>
      <c r="H37" s="823"/>
      <c r="I37" s="823"/>
      <c r="J37" s="823"/>
      <c r="K37" s="813" t="s">
        <v>79</v>
      </c>
      <c r="L37" s="670"/>
      <c r="M37" s="671"/>
      <c r="N37" s="331"/>
    </row>
    <row r="38" spans="1:17" ht="15" customHeight="1" x14ac:dyDescent="0.35">
      <c r="C38" s="859"/>
      <c r="D38" s="827"/>
      <c r="E38" s="828"/>
      <c r="F38" s="580" t="s">
        <v>123</v>
      </c>
      <c r="G38" s="580" t="s">
        <v>124</v>
      </c>
      <c r="H38" s="580" t="s">
        <v>125</v>
      </c>
      <c r="I38" s="580" t="s">
        <v>126</v>
      </c>
      <c r="J38" s="580" t="s">
        <v>127</v>
      </c>
      <c r="K38" s="813"/>
    </row>
    <row r="39" spans="1:17" ht="15" customHeight="1" x14ac:dyDescent="0.35">
      <c r="C39" s="666"/>
      <c r="D39" s="868" t="s">
        <v>131</v>
      </c>
      <c r="E39" s="869"/>
      <c r="F39" s="869"/>
      <c r="G39" s="869"/>
      <c r="H39" s="869"/>
      <c r="I39" s="869"/>
      <c r="J39" s="869"/>
      <c r="K39" s="579"/>
    </row>
    <row r="40" spans="1:17" ht="15" customHeight="1" x14ac:dyDescent="0.35">
      <c r="C40" s="667">
        <v>1</v>
      </c>
      <c r="D40" s="871">
        <v>0.01</v>
      </c>
      <c r="E40" s="871"/>
      <c r="F40" s="643">
        <v>8.9999999999999993E-3</v>
      </c>
      <c r="G40" s="643">
        <v>8.9999999999999993E-3</v>
      </c>
      <c r="H40" s="643">
        <v>8.9999999999999993E-3</v>
      </c>
      <c r="I40" s="643">
        <v>8.9999999999999993E-3</v>
      </c>
      <c r="J40" s="643">
        <v>8.9999999999999993E-3</v>
      </c>
      <c r="K40" s="644">
        <v>1E-3</v>
      </c>
      <c r="M40" s="673">
        <f>F40-$J$46-$F$46</f>
        <v>8.9899999999999997E-3</v>
      </c>
      <c r="N40" s="673">
        <f t="shared" ref="N40:Q40" si="0">G40-$J$46-$F$46</f>
        <v>8.9899999999999997E-3</v>
      </c>
      <c r="O40" s="673">
        <f t="shared" si="0"/>
        <v>8.9899999999999997E-3</v>
      </c>
      <c r="P40" s="673">
        <f t="shared" si="0"/>
        <v>8.9899999999999997E-3</v>
      </c>
      <c r="Q40" s="673">
        <f t="shared" si="0"/>
        <v>8.9899999999999997E-3</v>
      </c>
    </row>
    <row r="41" spans="1:17" ht="15" customHeight="1" x14ac:dyDescent="0.35">
      <c r="C41" s="35">
        <v>2</v>
      </c>
      <c r="D41" s="871">
        <v>0.1</v>
      </c>
      <c r="E41" s="871"/>
      <c r="F41" s="645">
        <v>0.153</v>
      </c>
      <c r="G41" s="645">
        <v>0.153</v>
      </c>
      <c r="H41" s="645">
        <v>0.153</v>
      </c>
      <c r="I41" s="645">
        <v>0.153</v>
      </c>
      <c r="J41" s="645">
        <v>0.153</v>
      </c>
      <c r="K41" s="644">
        <v>1E-3</v>
      </c>
      <c r="M41" s="673">
        <f>F41-$J$46-$F$46</f>
        <v>0.15298999999999999</v>
      </c>
      <c r="N41" s="673">
        <f t="shared" ref="N41:N44" si="1">G41-$J$46-$F$46</f>
        <v>0.15298999999999999</v>
      </c>
      <c r="O41" s="673">
        <f t="shared" ref="O41:O44" si="2">H41-$J$46-$F$46</f>
        <v>0.15298999999999999</v>
      </c>
      <c r="P41" s="673">
        <f t="shared" ref="P41:P44" si="3">I41-$J$46-$F$46</f>
        <v>0.15298999999999999</v>
      </c>
      <c r="Q41" s="673">
        <f t="shared" ref="Q41:Q43" si="4">J41-$J$46-$F$46</f>
        <v>0.15298999999999999</v>
      </c>
    </row>
    <row r="42" spans="1:17" ht="15" customHeight="1" x14ac:dyDescent="0.35">
      <c r="C42" s="35">
        <v>3</v>
      </c>
      <c r="D42" s="871">
        <v>1</v>
      </c>
      <c r="E42" s="871"/>
      <c r="F42" s="645">
        <v>1.0580000000000001</v>
      </c>
      <c r="G42" s="645">
        <v>1.0580000000000001</v>
      </c>
      <c r="H42" s="645">
        <v>1.0580000000000001</v>
      </c>
      <c r="I42" s="645">
        <v>1.0580000000000001</v>
      </c>
      <c r="J42" s="645">
        <v>1.0580000000000001</v>
      </c>
      <c r="K42" s="644">
        <v>1E-3</v>
      </c>
      <c r="M42" s="673">
        <f>F42-$J$46-$F$46</f>
        <v>1.05799</v>
      </c>
      <c r="N42" s="673">
        <f>G42-$J$46-$F$46</f>
        <v>1.05799</v>
      </c>
      <c r="O42" s="673">
        <f t="shared" si="2"/>
        <v>1.05799</v>
      </c>
      <c r="P42" s="673">
        <f t="shared" si="3"/>
        <v>1.05799</v>
      </c>
      <c r="Q42" s="673">
        <f t="shared" si="4"/>
        <v>1.05799</v>
      </c>
    </row>
    <row r="43" spans="1:17" x14ac:dyDescent="0.35">
      <c r="C43" s="667">
        <v>4</v>
      </c>
      <c r="D43" s="871">
        <v>1.5</v>
      </c>
      <c r="E43" s="871"/>
      <c r="F43" s="645">
        <v>1.5589999999999999</v>
      </c>
      <c r="G43" s="645">
        <v>1.5589999999999999</v>
      </c>
      <c r="H43" s="645">
        <v>1.5589999999999999</v>
      </c>
      <c r="I43" s="645">
        <v>1.5589999999999999</v>
      </c>
      <c r="J43" s="645">
        <v>1.5589999999999999</v>
      </c>
      <c r="K43" s="644">
        <v>1E-3</v>
      </c>
      <c r="M43" s="673">
        <f t="shared" ref="M43:M44" si="5">F43-$J$46-$F$46</f>
        <v>1.5589899999999999</v>
      </c>
      <c r="N43" s="673">
        <f t="shared" si="1"/>
        <v>1.5589899999999999</v>
      </c>
      <c r="O43" s="673">
        <f t="shared" si="2"/>
        <v>1.5589899999999999</v>
      </c>
      <c r="P43" s="673">
        <f t="shared" si="3"/>
        <v>1.5589899999999999</v>
      </c>
      <c r="Q43" s="673">
        <f t="shared" si="4"/>
        <v>1.5589899999999999</v>
      </c>
    </row>
    <row r="44" spans="1:17" ht="15" customHeight="1" x14ac:dyDescent="0.35">
      <c r="C44" s="667">
        <v>5</v>
      </c>
      <c r="D44" s="871">
        <v>2</v>
      </c>
      <c r="E44" s="871"/>
      <c r="F44" s="645">
        <v>2.0609999999999999</v>
      </c>
      <c r="G44" s="645">
        <v>2.0609999999999999</v>
      </c>
      <c r="H44" s="645">
        <v>2.0609999999999999</v>
      </c>
      <c r="I44" s="645">
        <v>2.0609999999999999</v>
      </c>
      <c r="J44" s="645">
        <v>2.0609999999999999</v>
      </c>
      <c r="K44" s="644">
        <v>1E-3</v>
      </c>
      <c r="M44" s="673">
        <f t="shared" si="5"/>
        <v>2.0609899999999999</v>
      </c>
      <c r="N44" s="673">
        <f t="shared" si="1"/>
        <v>2.0609899999999999</v>
      </c>
      <c r="O44" s="673">
        <f t="shared" si="2"/>
        <v>2.0609899999999999</v>
      </c>
      <c r="P44" s="673">
        <f t="shared" si="3"/>
        <v>2.0609899999999999</v>
      </c>
      <c r="Q44" s="673">
        <f>J44-$J$46-$F$46</f>
        <v>2.0609899999999999</v>
      </c>
    </row>
    <row r="45" spans="1:17" ht="15" customHeight="1" x14ac:dyDescent="0.35">
      <c r="C45" s="667"/>
      <c r="D45" s="863" t="str">
        <f>LK!D43</f>
        <v xml:space="preserve">Resistansi Kabel </v>
      </c>
      <c r="E45" s="864"/>
      <c r="F45" s="672">
        <v>0</v>
      </c>
      <c r="G45" s="672">
        <v>0</v>
      </c>
      <c r="H45" s="672">
        <v>0</v>
      </c>
      <c r="I45" s="672">
        <v>0</v>
      </c>
      <c r="J45" s="672">
        <v>0</v>
      </c>
      <c r="K45" s="336"/>
      <c r="M45" s="617"/>
      <c r="N45" s="617"/>
      <c r="O45" s="617"/>
      <c r="P45" s="617"/>
      <c r="Q45" s="617"/>
    </row>
    <row r="46" spans="1:17" ht="15" customHeight="1" x14ac:dyDescent="0.35">
      <c r="C46" s="667"/>
      <c r="D46" s="863" t="str">
        <f>D45</f>
        <v xml:space="preserve">Resistansi Kabel </v>
      </c>
      <c r="E46" s="864"/>
      <c r="F46" s="410">
        <f>IF(AVERAGE(F45:J45)=0,0.00001,AVERAGE(F45:J45))</f>
        <v>1.0000000000000001E-5</v>
      </c>
      <c r="G46" s="674">
        <f>IF(STDEV(F45:J45)=0,0.00001,STDEV(F45:J45))</f>
        <v>1.0000000000000001E-5</v>
      </c>
      <c r="H46" s="675" t="s">
        <v>134</v>
      </c>
      <c r="I46" s="676" t="s">
        <v>133</v>
      </c>
      <c r="J46" s="677">
        <v>0</v>
      </c>
      <c r="K46" s="678" t="s">
        <v>134</v>
      </c>
      <c r="M46" s="600"/>
      <c r="N46" s="600"/>
      <c r="O46" s="600"/>
      <c r="P46" s="600"/>
      <c r="Q46" s="600"/>
    </row>
    <row r="47" spans="1:17" ht="15.75" customHeight="1" x14ac:dyDescent="0.35">
      <c r="C47" s="679"/>
      <c r="D47" s="862" t="s">
        <v>135</v>
      </c>
      <c r="E47" s="862"/>
      <c r="F47" s="862"/>
      <c r="G47" s="862"/>
      <c r="H47" s="862"/>
      <c r="I47" s="862"/>
      <c r="J47" s="862"/>
      <c r="K47" s="680"/>
      <c r="L47" s="670"/>
      <c r="N47" s="331"/>
    </row>
    <row r="48" spans="1:17" ht="15" customHeight="1" x14ac:dyDescent="0.35">
      <c r="C48" s="681">
        <v>1</v>
      </c>
      <c r="D48" s="865">
        <v>0.01</v>
      </c>
      <c r="E48" s="865"/>
      <c r="F48" s="643">
        <v>8.9999999999999993E-3</v>
      </c>
      <c r="G48" s="643">
        <v>8.9999999999999993E-3</v>
      </c>
      <c r="H48" s="643">
        <v>8.9999999999999993E-3</v>
      </c>
      <c r="I48" s="643">
        <v>8.9999999999999993E-3</v>
      </c>
      <c r="J48" s="643">
        <v>8.9999999999999993E-3</v>
      </c>
      <c r="K48" s="647">
        <v>1E-3</v>
      </c>
      <c r="M48" s="673">
        <f>F48-$J$54-$F$54</f>
        <v>8.9899999999999997E-3</v>
      </c>
      <c r="N48" s="673">
        <f t="shared" ref="N48:Q48" si="6">G48-$J$54-$F$54</f>
        <v>8.9899999999999997E-3</v>
      </c>
      <c r="O48" s="673">
        <f t="shared" si="6"/>
        <v>8.9899999999999997E-3</v>
      </c>
      <c r="P48" s="673">
        <f t="shared" si="6"/>
        <v>8.9899999999999997E-3</v>
      </c>
      <c r="Q48" s="673">
        <f t="shared" si="6"/>
        <v>8.9899999999999997E-3</v>
      </c>
    </row>
    <row r="49" spans="1:17" ht="15" customHeight="1" x14ac:dyDescent="0.35">
      <c r="C49" s="68">
        <v>2</v>
      </c>
      <c r="D49" s="865">
        <v>0.1</v>
      </c>
      <c r="E49" s="865"/>
      <c r="F49" s="643">
        <v>0.14099999999999999</v>
      </c>
      <c r="G49" s="643">
        <v>0.14099999999999999</v>
      </c>
      <c r="H49" s="643">
        <v>0.14099999999999999</v>
      </c>
      <c r="I49" s="643">
        <v>0.14099999999999999</v>
      </c>
      <c r="J49" s="643">
        <v>0.14099999999999999</v>
      </c>
      <c r="K49" s="647">
        <v>1E-3</v>
      </c>
      <c r="M49" s="673">
        <f>F49-$J$54-$F$54</f>
        <v>0.14098999999999998</v>
      </c>
      <c r="N49" s="673">
        <f t="shared" ref="N49:N52" si="7">G49-$J$54-$F$54</f>
        <v>0.14098999999999998</v>
      </c>
      <c r="O49" s="673">
        <f t="shared" ref="O49:O52" si="8">H49-$J$54-$F$54</f>
        <v>0.14098999999999998</v>
      </c>
      <c r="P49" s="673">
        <f t="shared" ref="P49:P52" si="9">I49-$J$54-$F$54</f>
        <v>0.14098999999999998</v>
      </c>
      <c r="Q49" s="673">
        <f t="shared" ref="Q49:Q51" si="10">J49-$J$54-$F$54</f>
        <v>0.14098999999999998</v>
      </c>
    </row>
    <row r="50" spans="1:17" ht="15" customHeight="1" x14ac:dyDescent="0.35">
      <c r="C50" s="68">
        <v>3</v>
      </c>
      <c r="D50" s="865">
        <v>1</v>
      </c>
      <c r="E50" s="865"/>
      <c r="F50" s="643">
        <v>1.04</v>
      </c>
      <c r="G50" s="643">
        <v>1.04</v>
      </c>
      <c r="H50" s="643">
        <v>1.04</v>
      </c>
      <c r="I50" s="643">
        <v>1.04</v>
      </c>
      <c r="J50" s="643">
        <v>1.04</v>
      </c>
      <c r="K50" s="647">
        <v>1E-3</v>
      </c>
      <c r="M50" s="673">
        <f t="shared" ref="M50:M52" si="11">F50-$J$54-$F$54</f>
        <v>1.03999</v>
      </c>
      <c r="N50" s="673">
        <f t="shared" si="7"/>
        <v>1.03999</v>
      </c>
      <c r="O50" s="673">
        <f t="shared" si="8"/>
        <v>1.03999</v>
      </c>
      <c r="P50" s="673">
        <f t="shared" si="9"/>
        <v>1.03999</v>
      </c>
      <c r="Q50" s="673">
        <f t="shared" si="10"/>
        <v>1.03999</v>
      </c>
    </row>
    <row r="51" spans="1:17" x14ac:dyDescent="0.35">
      <c r="C51" s="681">
        <v>4</v>
      </c>
      <c r="D51" s="865">
        <v>1.5</v>
      </c>
      <c r="E51" s="865"/>
      <c r="F51" s="643">
        <v>1.54</v>
      </c>
      <c r="G51" s="643">
        <v>1.54</v>
      </c>
      <c r="H51" s="643">
        <v>1.54</v>
      </c>
      <c r="I51" s="643">
        <v>1.54</v>
      </c>
      <c r="J51" s="643">
        <v>1.54</v>
      </c>
      <c r="K51" s="647">
        <v>1E-3</v>
      </c>
      <c r="M51" s="673">
        <f t="shared" si="11"/>
        <v>1.53999</v>
      </c>
      <c r="N51" s="673">
        <f t="shared" si="7"/>
        <v>1.53999</v>
      </c>
      <c r="O51" s="673">
        <f t="shared" si="8"/>
        <v>1.53999</v>
      </c>
      <c r="P51" s="673">
        <f t="shared" si="9"/>
        <v>1.53999</v>
      </c>
      <c r="Q51" s="673">
        <f t="shared" si="10"/>
        <v>1.53999</v>
      </c>
    </row>
    <row r="52" spans="1:17" ht="15" customHeight="1" x14ac:dyDescent="0.35">
      <c r="C52" s="681">
        <v>5</v>
      </c>
      <c r="D52" s="865">
        <v>2</v>
      </c>
      <c r="E52" s="865"/>
      <c r="F52" s="643">
        <v>2.0419999999999998</v>
      </c>
      <c r="G52" s="643">
        <v>2.0419999999999998</v>
      </c>
      <c r="H52" s="643">
        <v>2.0419999999999998</v>
      </c>
      <c r="I52" s="643">
        <v>2.0419999999999998</v>
      </c>
      <c r="J52" s="643">
        <v>2.0419999999999998</v>
      </c>
      <c r="K52" s="647">
        <v>1E-3</v>
      </c>
      <c r="M52" s="673">
        <f t="shared" si="11"/>
        <v>2.0419899999999997</v>
      </c>
      <c r="N52" s="673">
        <f t="shared" si="7"/>
        <v>2.0419899999999997</v>
      </c>
      <c r="O52" s="673">
        <f t="shared" si="8"/>
        <v>2.0419899999999997</v>
      </c>
      <c r="P52" s="673">
        <f t="shared" si="9"/>
        <v>2.0419899999999997</v>
      </c>
      <c r="Q52" s="673">
        <f>J52-$J$54-$F$54</f>
        <v>2.0419899999999997</v>
      </c>
    </row>
    <row r="53" spans="1:17" ht="15" customHeight="1" x14ac:dyDescent="0.35">
      <c r="C53" s="681"/>
      <c r="D53" s="866" t="str">
        <f>D45</f>
        <v xml:space="preserve">Resistansi Kabel </v>
      </c>
      <c r="E53" s="867"/>
      <c r="F53" s="643">
        <v>0</v>
      </c>
      <c r="G53" s="643">
        <v>0</v>
      </c>
      <c r="H53" s="643">
        <v>0</v>
      </c>
      <c r="I53" s="643">
        <v>0</v>
      </c>
      <c r="J53" s="643">
        <v>0</v>
      </c>
      <c r="K53" s="337"/>
      <c r="M53" s="617"/>
      <c r="N53" s="617"/>
      <c r="O53" s="617"/>
      <c r="P53" s="617"/>
      <c r="Q53" s="617"/>
    </row>
    <row r="54" spans="1:17" ht="15" customHeight="1" x14ac:dyDescent="0.35">
      <c r="C54" s="681"/>
      <c r="D54" s="866" t="str">
        <f>D46</f>
        <v xml:space="preserve">Resistansi Kabel </v>
      </c>
      <c r="E54" s="867"/>
      <c r="F54" s="409">
        <f>IF(AVERAGE(F53:J53)=0,0.00001,AVERAGE(F53:J53))</f>
        <v>1.0000000000000001E-5</v>
      </c>
      <c r="G54" s="682">
        <f>IF(STDEV(F53:J53)=0,0.00001,STDEV(F53:J53))</f>
        <v>1.0000000000000001E-5</v>
      </c>
      <c r="H54" s="683" t="s">
        <v>134</v>
      </c>
      <c r="I54" s="684" t="s">
        <v>133</v>
      </c>
      <c r="J54" s="646">
        <v>0</v>
      </c>
      <c r="K54" s="685" t="s">
        <v>134</v>
      </c>
    </row>
    <row r="55" spans="1:17" ht="15" customHeight="1" x14ac:dyDescent="0.35">
      <c r="C55" s="664"/>
      <c r="D55" s="40"/>
      <c r="E55" s="71"/>
      <c r="F55" s="71"/>
      <c r="G55" s="71"/>
      <c r="H55" s="71"/>
      <c r="I55" s="71"/>
      <c r="J55" s="71"/>
      <c r="K55" s="42"/>
    </row>
    <row r="56" spans="1:17" x14ac:dyDescent="0.35">
      <c r="A56" s="659"/>
      <c r="B56" s="20" t="s">
        <v>136</v>
      </c>
      <c r="C56" s="659" t="s">
        <v>137</v>
      </c>
      <c r="D56" s="654"/>
      <c r="E56" s="659"/>
      <c r="F56" s="662"/>
      <c r="G56" s="663"/>
      <c r="H56" s="654"/>
      <c r="I56" s="665"/>
      <c r="J56" s="659"/>
      <c r="K56" s="78"/>
    </row>
    <row r="57" spans="1:17" ht="15" customHeight="1" x14ac:dyDescent="0.35">
      <c r="C57" s="859" t="s">
        <v>30</v>
      </c>
      <c r="D57" s="825" t="s">
        <v>73</v>
      </c>
      <c r="E57" s="826"/>
      <c r="F57" s="823" t="s">
        <v>122</v>
      </c>
      <c r="G57" s="823"/>
      <c r="H57" s="823"/>
      <c r="I57" s="823"/>
      <c r="J57" s="823"/>
      <c r="K57" s="813" t="s">
        <v>79</v>
      </c>
    </row>
    <row r="58" spans="1:17" ht="15" customHeight="1" x14ac:dyDescent="0.35">
      <c r="C58" s="859"/>
      <c r="D58" s="827"/>
      <c r="E58" s="828"/>
      <c r="F58" s="580" t="s">
        <v>123</v>
      </c>
      <c r="G58" s="580" t="s">
        <v>124</v>
      </c>
      <c r="H58" s="580" t="s">
        <v>125</v>
      </c>
      <c r="I58" s="580" t="s">
        <v>126</v>
      </c>
      <c r="J58" s="580" t="s">
        <v>127</v>
      </c>
      <c r="K58" s="813"/>
    </row>
    <row r="59" spans="1:17" ht="15" customHeight="1" x14ac:dyDescent="0.35">
      <c r="C59" s="686"/>
      <c r="D59" s="853" t="s">
        <v>305</v>
      </c>
      <c r="E59" s="854"/>
      <c r="F59" s="854"/>
      <c r="G59" s="854"/>
      <c r="H59" s="854"/>
      <c r="I59" s="854"/>
      <c r="J59" s="854"/>
      <c r="K59" s="687"/>
    </row>
    <row r="60" spans="1:17" ht="15" customHeight="1" x14ac:dyDescent="0.35">
      <c r="C60" s="667">
        <v>1</v>
      </c>
      <c r="D60" s="855">
        <v>0</v>
      </c>
      <c r="E60" s="855"/>
      <c r="F60" s="641">
        <v>0</v>
      </c>
      <c r="G60" s="641">
        <v>0</v>
      </c>
      <c r="H60" s="641">
        <v>0</v>
      </c>
      <c r="I60" s="641">
        <v>0</v>
      </c>
      <c r="J60" s="641">
        <v>0</v>
      </c>
      <c r="K60" s="642">
        <v>0.1</v>
      </c>
    </row>
    <row r="61" spans="1:17" ht="15" customHeight="1" x14ac:dyDescent="0.35">
      <c r="C61" s="35">
        <v>2</v>
      </c>
      <c r="D61" s="855">
        <v>1</v>
      </c>
      <c r="E61" s="855"/>
      <c r="F61" s="641">
        <v>0.8</v>
      </c>
      <c r="G61" s="641">
        <v>1.1000000000000001</v>
      </c>
      <c r="H61" s="641">
        <v>1.3</v>
      </c>
      <c r="I61" s="641">
        <v>1.1000000000000001</v>
      </c>
      <c r="J61" s="641">
        <v>1</v>
      </c>
      <c r="K61" s="642">
        <v>0.1</v>
      </c>
    </row>
    <row r="62" spans="1:17" ht="15" customHeight="1" x14ac:dyDescent="0.35">
      <c r="C62" s="35">
        <v>3</v>
      </c>
      <c r="D62" s="855">
        <v>50</v>
      </c>
      <c r="E62" s="855"/>
      <c r="F62" s="645">
        <v>50.1</v>
      </c>
      <c r="G62" s="645">
        <v>49.4</v>
      </c>
      <c r="H62" s="645">
        <v>50</v>
      </c>
      <c r="I62" s="645">
        <v>50.1</v>
      </c>
      <c r="J62" s="645">
        <v>50.1</v>
      </c>
      <c r="K62" s="642">
        <v>0.1</v>
      </c>
    </row>
    <row r="63" spans="1:17" x14ac:dyDescent="0.35">
      <c r="C63" s="667">
        <v>4</v>
      </c>
      <c r="D63" s="855">
        <v>100</v>
      </c>
      <c r="E63" s="855"/>
      <c r="F63" s="645">
        <v>99.9</v>
      </c>
      <c r="G63" s="645">
        <v>100</v>
      </c>
      <c r="H63" s="645">
        <v>100.3</v>
      </c>
      <c r="I63" s="645">
        <v>100</v>
      </c>
      <c r="J63" s="645">
        <v>99.6</v>
      </c>
      <c r="K63" s="642">
        <v>0.1</v>
      </c>
    </row>
    <row r="64" spans="1:17" ht="15" customHeight="1" x14ac:dyDescent="0.35">
      <c r="C64" s="667">
        <v>5</v>
      </c>
      <c r="D64" s="855">
        <v>500</v>
      </c>
      <c r="E64" s="855"/>
      <c r="F64" s="645">
        <v>499</v>
      </c>
      <c r="G64" s="645">
        <v>500</v>
      </c>
      <c r="H64" s="645">
        <v>499</v>
      </c>
      <c r="I64" s="645">
        <v>499</v>
      </c>
      <c r="J64" s="645">
        <v>499</v>
      </c>
      <c r="K64" s="648">
        <v>1</v>
      </c>
    </row>
    <row r="65" spans="1:11" ht="15" customHeight="1" x14ac:dyDescent="0.35">
      <c r="C65" s="667">
        <v>6</v>
      </c>
      <c r="D65" s="860">
        <v>1000</v>
      </c>
      <c r="E65" s="861"/>
      <c r="F65" s="645">
        <v>998</v>
      </c>
      <c r="G65" s="645">
        <v>998</v>
      </c>
      <c r="H65" s="645">
        <v>998</v>
      </c>
      <c r="I65" s="645">
        <v>999</v>
      </c>
      <c r="J65" s="645">
        <v>999</v>
      </c>
      <c r="K65" s="648">
        <v>1</v>
      </c>
    </row>
    <row r="66" spans="1:11" ht="15" customHeight="1" x14ac:dyDescent="0.35">
      <c r="C66" s="664"/>
      <c r="D66" s="40"/>
      <c r="E66" s="71"/>
      <c r="F66" s="71"/>
      <c r="G66" s="71"/>
      <c r="H66" s="71"/>
      <c r="I66" s="71"/>
      <c r="J66" s="71"/>
      <c r="K66" s="42"/>
    </row>
    <row r="67" spans="1:11" x14ac:dyDescent="0.35">
      <c r="A67" s="659"/>
      <c r="B67" s="20" t="s">
        <v>139</v>
      </c>
      <c r="C67" s="659" t="s">
        <v>140</v>
      </c>
      <c r="D67" s="654"/>
      <c r="E67" s="659"/>
      <c r="F67" s="662"/>
      <c r="G67" s="663"/>
      <c r="H67" s="654"/>
      <c r="I67" s="665"/>
      <c r="J67" s="659"/>
      <c r="K67" s="78"/>
    </row>
    <row r="68" spans="1:11" ht="15" customHeight="1" x14ac:dyDescent="0.35">
      <c r="C68" s="859" t="s">
        <v>30</v>
      </c>
      <c r="D68" s="825" t="s">
        <v>73</v>
      </c>
      <c r="E68" s="826"/>
      <c r="F68" s="823" t="s">
        <v>122</v>
      </c>
      <c r="G68" s="823"/>
      <c r="H68" s="823"/>
      <c r="I68" s="823"/>
      <c r="J68" s="823"/>
      <c r="K68" s="813" t="s">
        <v>79</v>
      </c>
    </row>
    <row r="69" spans="1:11" ht="15" customHeight="1" x14ac:dyDescent="0.35">
      <c r="C69" s="859"/>
      <c r="D69" s="827"/>
      <c r="E69" s="828"/>
      <c r="F69" s="580" t="s">
        <v>123</v>
      </c>
      <c r="G69" s="580" t="s">
        <v>124</v>
      </c>
      <c r="H69" s="580" t="s">
        <v>125</v>
      </c>
      <c r="I69" s="580" t="s">
        <v>126</v>
      </c>
      <c r="J69" s="580" t="s">
        <v>127</v>
      </c>
      <c r="K69" s="813"/>
    </row>
    <row r="70" spans="1:11" ht="15" customHeight="1" x14ac:dyDescent="0.35">
      <c r="C70" s="686"/>
      <c r="D70" s="853" t="s">
        <v>305</v>
      </c>
      <c r="E70" s="854"/>
      <c r="F70" s="854"/>
      <c r="G70" s="854"/>
      <c r="H70" s="854"/>
      <c r="I70" s="854"/>
      <c r="J70" s="854"/>
      <c r="K70" s="687"/>
    </row>
    <row r="71" spans="1:11" ht="15" customHeight="1" x14ac:dyDescent="0.35">
      <c r="C71" s="686"/>
      <c r="D71" s="853" t="s">
        <v>141</v>
      </c>
      <c r="E71" s="854"/>
      <c r="F71" s="854"/>
      <c r="G71" s="854"/>
      <c r="H71" s="854"/>
      <c r="I71" s="854"/>
      <c r="J71" s="854"/>
      <c r="K71" s="687"/>
    </row>
    <row r="72" spans="1:11" ht="15" customHeight="1" x14ac:dyDescent="0.35">
      <c r="C72" s="667">
        <v>1</v>
      </c>
      <c r="D72" s="858">
        <v>0</v>
      </c>
      <c r="E72" s="858"/>
      <c r="F72" s="641">
        <v>0</v>
      </c>
      <c r="G72" s="641">
        <v>0</v>
      </c>
      <c r="H72" s="641">
        <v>0</v>
      </c>
      <c r="I72" s="641">
        <v>0</v>
      </c>
      <c r="J72" s="641">
        <v>0</v>
      </c>
      <c r="K72" s="642">
        <v>0.1</v>
      </c>
    </row>
    <row r="73" spans="1:11" ht="15" customHeight="1" x14ac:dyDescent="0.35">
      <c r="C73" s="35">
        <v>2</v>
      </c>
      <c r="D73" s="858">
        <v>1</v>
      </c>
      <c r="E73" s="858"/>
      <c r="F73" s="645">
        <v>0.9</v>
      </c>
      <c r="G73" s="645">
        <v>1.2</v>
      </c>
      <c r="H73" s="645">
        <v>1.4</v>
      </c>
      <c r="I73" s="645">
        <v>1.2</v>
      </c>
      <c r="J73" s="641">
        <v>1</v>
      </c>
      <c r="K73" s="642">
        <v>0.1</v>
      </c>
    </row>
    <row r="74" spans="1:11" ht="15" customHeight="1" x14ac:dyDescent="0.35">
      <c r="C74" s="35">
        <v>3</v>
      </c>
      <c r="D74" s="858">
        <v>50</v>
      </c>
      <c r="E74" s="858"/>
      <c r="F74" s="645">
        <v>49.9</v>
      </c>
      <c r="G74" s="645">
        <v>50.2</v>
      </c>
      <c r="H74" s="645">
        <v>50.3</v>
      </c>
      <c r="I74" s="645">
        <v>50.2</v>
      </c>
      <c r="J74" s="641">
        <v>50</v>
      </c>
      <c r="K74" s="642">
        <v>0.1</v>
      </c>
    </row>
    <row r="75" spans="1:11" x14ac:dyDescent="0.35">
      <c r="C75" s="667">
        <v>4</v>
      </c>
      <c r="D75" s="858">
        <v>100</v>
      </c>
      <c r="E75" s="858"/>
      <c r="F75" s="645">
        <v>99.8</v>
      </c>
      <c r="G75" s="645">
        <v>100.2</v>
      </c>
      <c r="H75" s="645">
        <v>99.8</v>
      </c>
      <c r="I75" s="645">
        <v>99.6</v>
      </c>
      <c r="J75" s="645">
        <v>100.1</v>
      </c>
      <c r="K75" s="642">
        <v>0.1</v>
      </c>
    </row>
    <row r="76" spans="1:11" ht="15" customHeight="1" x14ac:dyDescent="0.35">
      <c r="C76" s="667">
        <v>5</v>
      </c>
      <c r="D76" s="858">
        <v>500</v>
      </c>
      <c r="E76" s="858"/>
      <c r="F76" s="645">
        <v>499</v>
      </c>
      <c r="G76" s="645">
        <v>499</v>
      </c>
      <c r="H76" s="645">
        <v>499</v>
      </c>
      <c r="I76" s="645">
        <v>499</v>
      </c>
      <c r="J76" s="645">
        <v>499</v>
      </c>
      <c r="K76" s="648">
        <v>1</v>
      </c>
    </row>
    <row r="77" spans="1:11" ht="15" customHeight="1" x14ac:dyDescent="0.35">
      <c r="C77" s="667">
        <v>6</v>
      </c>
      <c r="D77" s="856">
        <v>1000</v>
      </c>
      <c r="E77" s="857"/>
      <c r="F77" s="645">
        <v>999</v>
      </c>
      <c r="G77" s="645">
        <v>999</v>
      </c>
      <c r="H77" s="645">
        <v>999</v>
      </c>
      <c r="I77" s="645">
        <v>999</v>
      </c>
      <c r="J77" s="645">
        <v>999</v>
      </c>
      <c r="K77" s="648">
        <v>1</v>
      </c>
    </row>
    <row r="78" spans="1:11" ht="15.75" customHeight="1" x14ac:dyDescent="0.35">
      <c r="C78" s="686"/>
      <c r="D78" s="853" t="s">
        <v>142</v>
      </c>
      <c r="E78" s="854"/>
      <c r="F78" s="854"/>
      <c r="G78" s="854"/>
      <c r="H78" s="854"/>
      <c r="I78" s="854"/>
      <c r="J78" s="854"/>
      <c r="K78" s="687"/>
    </row>
    <row r="79" spans="1:11" ht="15" customHeight="1" x14ac:dyDescent="0.35">
      <c r="C79" s="667">
        <v>1</v>
      </c>
      <c r="D79" s="858">
        <v>0</v>
      </c>
      <c r="E79" s="858"/>
      <c r="F79" s="641">
        <v>0</v>
      </c>
      <c r="G79" s="641">
        <v>0</v>
      </c>
      <c r="H79" s="641">
        <v>0</v>
      </c>
      <c r="I79" s="641">
        <v>0</v>
      </c>
      <c r="J79" s="641">
        <v>0</v>
      </c>
      <c r="K79" s="642">
        <v>0.1</v>
      </c>
    </row>
    <row r="80" spans="1:11" ht="15" customHeight="1" x14ac:dyDescent="0.35">
      <c r="C80" s="35">
        <v>2</v>
      </c>
      <c r="D80" s="858">
        <v>1</v>
      </c>
      <c r="E80" s="858"/>
      <c r="F80" s="641">
        <v>1</v>
      </c>
      <c r="G80" s="641">
        <v>0.7</v>
      </c>
      <c r="H80" s="645">
        <v>0.7</v>
      </c>
      <c r="I80" s="645">
        <v>1.4</v>
      </c>
      <c r="J80" s="645">
        <v>1.3</v>
      </c>
      <c r="K80" s="642">
        <v>0.1</v>
      </c>
    </row>
    <row r="81" spans="3:11" ht="15" customHeight="1" x14ac:dyDescent="0.35">
      <c r="C81" s="35">
        <v>3</v>
      </c>
      <c r="D81" s="858">
        <v>50</v>
      </c>
      <c r="E81" s="858"/>
      <c r="F81" s="645">
        <v>50.1</v>
      </c>
      <c r="G81" s="645">
        <v>49.4</v>
      </c>
      <c r="H81" s="645">
        <v>50</v>
      </c>
      <c r="I81" s="645">
        <v>50.1</v>
      </c>
      <c r="J81" s="641">
        <v>50</v>
      </c>
      <c r="K81" s="642">
        <v>0.1</v>
      </c>
    </row>
    <row r="82" spans="3:11" x14ac:dyDescent="0.35">
      <c r="C82" s="667">
        <v>4</v>
      </c>
      <c r="D82" s="858">
        <v>100</v>
      </c>
      <c r="E82" s="858"/>
      <c r="F82" s="645">
        <v>99.8</v>
      </c>
      <c r="G82" s="645">
        <v>100.2</v>
      </c>
      <c r="H82" s="645">
        <v>99.8</v>
      </c>
      <c r="I82" s="645">
        <v>99.6</v>
      </c>
      <c r="J82" s="645">
        <v>100.1</v>
      </c>
      <c r="K82" s="642">
        <v>0.1</v>
      </c>
    </row>
    <row r="83" spans="3:11" ht="15" customHeight="1" x14ac:dyDescent="0.35">
      <c r="C83" s="667">
        <v>5</v>
      </c>
      <c r="D83" s="858">
        <v>500</v>
      </c>
      <c r="E83" s="858"/>
      <c r="F83" s="645">
        <v>499</v>
      </c>
      <c r="G83" s="645">
        <v>499</v>
      </c>
      <c r="H83" s="645">
        <v>499</v>
      </c>
      <c r="I83" s="645">
        <v>499</v>
      </c>
      <c r="J83" s="645">
        <v>499</v>
      </c>
      <c r="K83" s="648">
        <v>1</v>
      </c>
    </row>
    <row r="84" spans="3:11" ht="15" customHeight="1" x14ac:dyDescent="0.35">
      <c r="C84" s="667">
        <v>6</v>
      </c>
      <c r="D84" s="856">
        <v>1000</v>
      </c>
      <c r="E84" s="857"/>
      <c r="F84" s="645">
        <v>999</v>
      </c>
      <c r="G84" s="645">
        <v>999</v>
      </c>
      <c r="H84" s="645">
        <v>999</v>
      </c>
      <c r="I84" s="645">
        <v>999</v>
      </c>
      <c r="J84" s="645">
        <v>999</v>
      </c>
      <c r="K84" s="648">
        <v>1</v>
      </c>
    </row>
    <row r="85" spans="3:11" ht="15.75" customHeight="1" x14ac:dyDescent="0.35">
      <c r="C85" s="686"/>
      <c r="D85" s="853" t="s">
        <v>143</v>
      </c>
      <c r="E85" s="854"/>
      <c r="F85" s="854"/>
      <c r="G85" s="854"/>
      <c r="H85" s="854"/>
      <c r="I85" s="854"/>
      <c r="J85" s="854"/>
      <c r="K85" s="687"/>
    </row>
    <row r="86" spans="3:11" ht="15" customHeight="1" x14ac:dyDescent="0.35">
      <c r="C86" s="667">
        <v>1</v>
      </c>
      <c r="D86" s="858">
        <v>0</v>
      </c>
      <c r="E86" s="858"/>
      <c r="F86" s="641">
        <v>0</v>
      </c>
      <c r="G86" s="641">
        <v>0</v>
      </c>
      <c r="H86" s="641">
        <v>0</v>
      </c>
      <c r="I86" s="641">
        <v>0</v>
      </c>
      <c r="J86" s="641">
        <v>0</v>
      </c>
      <c r="K86" s="642">
        <v>0.1</v>
      </c>
    </row>
    <row r="87" spans="3:11" ht="15" customHeight="1" x14ac:dyDescent="0.35">
      <c r="C87" s="35">
        <v>2</v>
      </c>
      <c r="D87" s="858">
        <v>1</v>
      </c>
      <c r="E87" s="858"/>
      <c r="F87" s="641">
        <v>1</v>
      </c>
      <c r="G87" s="641">
        <v>1.3</v>
      </c>
      <c r="H87" s="645">
        <v>0.9</v>
      </c>
      <c r="I87" s="645">
        <v>0.8</v>
      </c>
      <c r="J87" s="645">
        <v>1.1000000000000001</v>
      </c>
      <c r="K87" s="642">
        <v>0.1</v>
      </c>
    </row>
    <row r="88" spans="3:11" ht="15" customHeight="1" x14ac:dyDescent="0.35">
      <c r="C88" s="35">
        <v>3</v>
      </c>
      <c r="D88" s="858">
        <v>50</v>
      </c>
      <c r="E88" s="858"/>
      <c r="F88" s="641">
        <v>50</v>
      </c>
      <c r="G88" s="645">
        <v>50.2</v>
      </c>
      <c r="H88" s="645">
        <v>50.1</v>
      </c>
      <c r="I88" s="645">
        <v>49.9</v>
      </c>
      <c r="J88" s="641">
        <v>49.8</v>
      </c>
      <c r="K88" s="642">
        <v>0.1</v>
      </c>
    </row>
    <row r="89" spans="3:11" x14ac:dyDescent="0.35">
      <c r="C89" s="667">
        <v>4</v>
      </c>
      <c r="D89" s="858">
        <v>100</v>
      </c>
      <c r="E89" s="858"/>
      <c r="F89" s="645">
        <v>100.1</v>
      </c>
      <c r="G89" s="645">
        <v>100.3</v>
      </c>
      <c r="H89" s="645">
        <v>100.2</v>
      </c>
      <c r="I89" s="645">
        <v>100</v>
      </c>
      <c r="J89" s="645">
        <v>99.5</v>
      </c>
      <c r="K89" s="642">
        <v>0.1</v>
      </c>
    </row>
    <row r="90" spans="3:11" ht="15" customHeight="1" x14ac:dyDescent="0.35">
      <c r="C90" s="35">
        <v>5</v>
      </c>
      <c r="D90" s="858">
        <v>500</v>
      </c>
      <c r="E90" s="858"/>
      <c r="F90" s="645">
        <v>499</v>
      </c>
      <c r="G90" s="645">
        <v>500</v>
      </c>
      <c r="H90" s="645">
        <v>499</v>
      </c>
      <c r="I90" s="645">
        <v>500</v>
      </c>
      <c r="J90" s="645">
        <v>499</v>
      </c>
      <c r="K90" s="648">
        <v>1</v>
      </c>
    </row>
    <row r="91" spans="3:11" ht="15" customHeight="1" x14ac:dyDescent="0.35">
      <c r="C91" s="35">
        <v>6</v>
      </c>
      <c r="D91" s="856">
        <v>1000</v>
      </c>
      <c r="E91" s="857"/>
      <c r="F91" s="645">
        <v>1000</v>
      </c>
      <c r="G91" s="645">
        <v>1000</v>
      </c>
      <c r="H91" s="645">
        <v>999</v>
      </c>
      <c r="I91" s="645">
        <v>999</v>
      </c>
      <c r="J91" s="645">
        <v>1000</v>
      </c>
      <c r="K91" s="648">
        <v>1</v>
      </c>
    </row>
    <row r="92" spans="3:11" ht="15.75" customHeight="1" x14ac:dyDescent="0.35">
      <c r="C92" s="686"/>
      <c r="D92" s="853" t="s">
        <v>144</v>
      </c>
      <c r="E92" s="854"/>
      <c r="F92" s="854"/>
      <c r="G92" s="854"/>
      <c r="H92" s="854"/>
      <c r="I92" s="854"/>
      <c r="J92" s="854"/>
      <c r="K92" s="687"/>
    </row>
    <row r="93" spans="3:11" ht="15" customHeight="1" x14ac:dyDescent="0.35">
      <c r="C93" s="667">
        <v>1</v>
      </c>
      <c r="D93" s="858">
        <v>0</v>
      </c>
      <c r="E93" s="858"/>
      <c r="F93" s="641">
        <v>0</v>
      </c>
      <c r="G93" s="641">
        <v>0</v>
      </c>
      <c r="H93" s="641">
        <v>0</v>
      </c>
      <c r="I93" s="641">
        <v>0</v>
      </c>
      <c r="J93" s="641">
        <v>0</v>
      </c>
      <c r="K93" s="642">
        <v>0.1</v>
      </c>
    </row>
    <row r="94" spans="3:11" ht="15" customHeight="1" x14ac:dyDescent="0.35">
      <c r="C94" s="35">
        <v>2</v>
      </c>
      <c r="D94" s="858">
        <v>1</v>
      </c>
      <c r="E94" s="858"/>
      <c r="F94" s="641">
        <v>1</v>
      </c>
      <c r="G94" s="641">
        <v>1.3</v>
      </c>
      <c r="H94" s="645">
        <v>0.9</v>
      </c>
      <c r="I94" s="645">
        <v>0.8</v>
      </c>
      <c r="J94" s="645">
        <v>1.1000000000000001</v>
      </c>
      <c r="K94" s="642">
        <v>0.1</v>
      </c>
    </row>
    <row r="95" spans="3:11" ht="15" customHeight="1" x14ac:dyDescent="0.35">
      <c r="C95" s="35">
        <v>3</v>
      </c>
      <c r="D95" s="858">
        <v>50</v>
      </c>
      <c r="E95" s="858"/>
      <c r="F95" s="641">
        <v>50</v>
      </c>
      <c r="G95" s="645">
        <v>50.2</v>
      </c>
      <c r="H95" s="645">
        <v>50.1</v>
      </c>
      <c r="I95" s="645">
        <v>49.9</v>
      </c>
      <c r="J95" s="641">
        <v>49.8</v>
      </c>
      <c r="K95" s="642">
        <v>0.1</v>
      </c>
    </row>
    <row r="96" spans="3:11" x14ac:dyDescent="0.35">
      <c r="C96" s="667">
        <v>4</v>
      </c>
      <c r="D96" s="858">
        <v>100</v>
      </c>
      <c r="E96" s="858"/>
      <c r="F96" s="645">
        <v>100.1</v>
      </c>
      <c r="G96" s="645">
        <v>100.3</v>
      </c>
      <c r="H96" s="645">
        <v>100.2</v>
      </c>
      <c r="I96" s="645">
        <v>100</v>
      </c>
      <c r="J96" s="645">
        <v>99.5</v>
      </c>
      <c r="K96" s="642">
        <v>0.1</v>
      </c>
    </row>
    <row r="97" spans="1:11" ht="15" customHeight="1" x14ac:dyDescent="0.35">
      <c r="C97" s="35">
        <v>5</v>
      </c>
      <c r="D97" s="858">
        <v>500</v>
      </c>
      <c r="E97" s="858"/>
      <c r="F97" s="645">
        <v>499</v>
      </c>
      <c r="G97" s="645">
        <v>500</v>
      </c>
      <c r="H97" s="645">
        <v>499</v>
      </c>
      <c r="I97" s="645">
        <v>500</v>
      </c>
      <c r="J97" s="645">
        <v>499</v>
      </c>
      <c r="K97" s="648">
        <v>1</v>
      </c>
    </row>
    <row r="98" spans="1:11" ht="15" customHeight="1" x14ac:dyDescent="0.35">
      <c r="C98" s="35">
        <v>6</v>
      </c>
      <c r="D98" s="856">
        <v>1000</v>
      </c>
      <c r="E98" s="857"/>
      <c r="F98" s="645">
        <v>998</v>
      </c>
      <c r="G98" s="645">
        <v>998</v>
      </c>
      <c r="H98" s="645">
        <v>999</v>
      </c>
      <c r="I98" s="645">
        <v>999</v>
      </c>
      <c r="J98" s="645">
        <v>999</v>
      </c>
      <c r="K98" s="648">
        <v>1</v>
      </c>
    </row>
    <row r="99" spans="1:11" ht="15.75" customHeight="1" x14ac:dyDescent="0.35">
      <c r="C99" s="686"/>
      <c r="D99" s="853" t="s">
        <v>145</v>
      </c>
      <c r="E99" s="854"/>
      <c r="F99" s="854"/>
      <c r="G99" s="854"/>
      <c r="H99" s="854"/>
      <c r="I99" s="854"/>
      <c r="J99" s="854"/>
      <c r="K99" s="687"/>
    </row>
    <row r="100" spans="1:11" ht="15" customHeight="1" x14ac:dyDescent="0.35">
      <c r="C100" s="667">
        <v>1</v>
      </c>
      <c r="D100" s="858">
        <v>0</v>
      </c>
      <c r="E100" s="858"/>
      <c r="F100" s="641">
        <v>0</v>
      </c>
      <c r="G100" s="641">
        <v>0</v>
      </c>
      <c r="H100" s="641">
        <v>0</v>
      </c>
      <c r="I100" s="641">
        <v>0</v>
      </c>
      <c r="J100" s="641">
        <v>0</v>
      </c>
      <c r="K100" s="642">
        <v>0.1</v>
      </c>
    </row>
    <row r="101" spans="1:11" ht="15" customHeight="1" x14ac:dyDescent="0.35">
      <c r="C101" s="35">
        <v>2</v>
      </c>
      <c r="D101" s="858">
        <v>1</v>
      </c>
      <c r="E101" s="858"/>
      <c r="F101" s="641">
        <v>1</v>
      </c>
      <c r="G101" s="641">
        <v>1.3</v>
      </c>
      <c r="H101" s="645">
        <v>0.9</v>
      </c>
      <c r="I101" s="645">
        <v>0.8</v>
      </c>
      <c r="J101" s="645">
        <v>1.1000000000000001</v>
      </c>
      <c r="K101" s="642">
        <v>0.1</v>
      </c>
    </row>
    <row r="102" spans="1:11" ht="15" customHeight="1" x14ac:dyDescent="0.35">
      <c r="C102" s="35">
        <v>3</v>
      </c>
      <c r="D102" s="858">
        <v>50</v>
      </c>
      <c r="E102" s="858"/>
      <c r="F102" s="641">
        <v>50</v>
      </c>
      <c r="G102" s="645">
        <v>50.2</v>
      </c>
      <c r="H102" s="645">
        <v>50.1</v>
      </c>
      <c r="I102" s="645">
        <v>49.9</v>
      </c>
      <c r="J102" s="641">
        <v>49.8</v>
      </c>
      <c r="K102" s="642">
        <v>0.1</v>
      </c>
    </row>
    <row r="103" spans="1:11" x14ac:dyDescent="0.35">
      <c r="C103" s="667">
        <v>4</v>
      </c>
      <c r="D103" s="858">
        <v>100</v>
      </c>
      <c r="E103" s="858"/>
      <c r="F103" s="645">
        <v>100.1</v>
      </c>
      <c r="G103" s="645">
        <v>100.3</v>
      </c>
      <c r="H103" s="645">
        <v>100.2</v>
      </c>
      <c r="I103" s="645">
        <v>100</v>
      </c>
      <c r="J103" s="645">
        <v>99.5</v>
      </c>
      <c r="K103" s="642">
        <v>0.1</v>
      </c>
    </row>
    <row r="104" spans="1:11" ht="15" customHeight="1" x14ac:dyDescent="0.35">
      <c r="C104" s="35">
        <v>5</v>
      </c>
      <c r="D104" s="858">
        <v>500</v>
      </c>
      <c r="E104" s="858"/>
      <c r="F104" s="645">
        <v>499</v>
      </c>
      <c r="G104" s="645">
        <v>500</v>
      </c>
      <c r="H104" s="645">
        <v>499</v>
      </c>
      <c r="I104" s="645">
        <v>500</v>
      </c>
      <c r="J104" s="645">
        <v>499</v>
      </c>
      <c r="K104" s="648">
        <v>1</v>
      </c>
    </row>
    <row r="105" spans="1:11" ht="15" customHeight="1" x14ac:dyDescent="0.35">
      <c r="C105" s="35">
        <v>6</v>
      </c>
      <c r="D105" s="856">
        <v>1000</v>
      </c>
      <c r="E105" s="857"/>
      <c r="F105" s="645">
        <v>999</v>
      </c>
      <c r="G105" s="645">
        <v>999</v>
      </c>
      <c r="H105" s="645">
        <v>998</v>
      </c>
      <c r="I105" s="645">
        <v>999</v>
      </c>
      <c r="J105" s="645">
        <v>999</v>
      </c>
      <c r="K105" s="648">
        <v>1</v>
      </c>
    </row>
    <row r="106" spans="1:11" ht="15" customHeight="1" x14ac:dyDescent="0.35">
      <c r="C106" s="71"/>
      <c r="D106" s="71"/>
      <c r="E106" s="71"/>
      <c r="F106" s="71"/>
      <c r="G106" s="71"/>
      <c r="H106" s="71"/>
      <c r="I106" s="71"/>
      <c r="J106" s="71"/>
      <c r="K106" s="42"/>
    </row>
    <row r="107" spans="1:11" x14ac:dyDescent="0.35">
      <c r="A107" s="659"/>
      <c r="B107" s="20" t="s">
        <v>146</v>
      </c>
      <c r="C107" s="659" t="s">
        <v>147</v>
      </c>
      <c r="D107" s="654"/>
      <c r="E107" s="659"/>
      <c r="F107" s="662"/>
      <c r="G107" s="663"/>
      <c r="H107" s="654"/>
      <c r="I107" s="665"/>
      <c r="J107" s="659"/>
      <c r="K107" s="78"/>
    </row>
    <row r="108" spans="1:11" ht="15" customHeight="1" x14ac:dyDescent="0.35">
      <c r="C108" s="859" t="s">
        <v>30</v>
      </c>
      <c r="D108" s="825" t="s">
        <v>73</v>
      </c>
      <c r="E108" s="826"/>
      <c r="F108" s="823" t="s">
        <v>122</v>
      </c>
      <c r="G108" s="823"/>
      <c r="H108" s="823"/>
      <c r="I108" s="823"/>
      <c r="J108" s="823"/>
      <c r="K108" s="813" t="s">
        <v>79</v>
      </c>
    </row>
    <row r="109" spans="1:11" ht="15" customHeight="1" x14ac:dyDescent="0.35">
      <c r="C109" s="859"/>
      <c r="D109" s="827"/>
      <c r="E109" s="828"/>
      <c r="F109" s="580" t="s">
        <v>123</v>
      </c>
      <c r="G109" s="580" t="s">
        <v>124</v>
      </c>
      <c r="H109" s="580" t="s">
        <v>125</v>
      </c>
      <c r="I109" s="580" t="s">
        <v>126</v>
      </c>
      <c r="J109" s="580" t="s">
        <v>127</v>
      </c>
      <c r="K109" s="813"/>
    </row>
    <row r="110" spans="1:11" ht="15" customHeight="1" x14ac:dyDescent="0.35">
      <c r="C110" s="686"/>
      <c r="D110" s="853" t="s">
        <v>306</v>
      </c>
      <c r="E110" s="854"/>
      <c r="F110" s="854"/>
      <c r="G110" s="854"/>
      <c r="H110" s="854"/>
      <c r="I110" s="854"/>
      <c r="J110" s="854"/>
      <c r="K110" s="687"/>
    </row>
    <row r="111" spans="1:11" ht="15" customHeight="1" x14ac:dyDescent="0.35">
      <c r="C111" s="667">
        <v>1</v>
      </c>
      <c r="D111" s="858">
        <v>0</v>
      </c>
      <c r="E111" s="858"/>
      <c r="F111" s="641">
        <v>0</v>
      </c>
      <c r="G111" s="641">
        <v>0</v>
      </c>
      <c r="H111" s="641">
        <v>0</v>
      </c>
      <c r="I111" s="641">
        <v>0</v>
      </c>
      <c r="J111" s="641">
        <v>0</v>
      </c>
      <c r="K111" s="642">
        <v>0.1</v>
      </c>
    </row>
    <row r="112" spans="1:11" ht="15" customHeight="1" x14ac:dyDescent="0.35">
      <c r="C112" s="35">
        <v>2</v>
      </c>
      <c r="D112" s="858">
        <v>1</v>
      </c>
      <c r="E112" s="858"/>
      <c r="F112" s="645">
        <v>0.4</v>
      </c>
      <c r="G112" s="645">
        <v>0.4</v>
      </c>
      <c r="H112" s="645">
        <v>0.4</v>
      </c>
      <c r="I112" s="645">
        <v>0.4</v>
      </c>
      <c r="J112" s="645">
        <v>0.4</v>
      </c>
      <c r="K112" s="642">
        <v>0.1</v>
      </c>
    </row>
    <row r="113" spans="1:11" ht="15" customHeight="1" x14ac:dyDescent="0.35">
      <c r="C113" s="35">
        <v>3</v>
      </c>
      <c r="D113" s="858">
        <v>50</v>
      </c>
      <c r="E113" s="858"/>
      <c r="F113" s="645">
        <v>48.9</v>
      </c>
      <c r="G113" s="645">
        <v>48.9</v>
      </c>
      <c r="H113" s="645">
        <v>48.9</v>
      </c>
      <c r="I113" s="645">
        <v>48.9</v>
      </c>
      <c r="J113" s="645">
        <v>48.9</v>
      </c>
      <c r="K113" s="642">
        <v>0.1</v>
      </c>
    </row>
    <row r="114" spans="1:11" x14ac:dyDescent="0.35">
      <c r="C114" s="667">
        <v>4</v>
      </c>
      <c r="D114" s="858">
        <v>100</v>
      </c>
      <c r="E114" s="858"/>
      <c r="F114" s="645">
        <v>98.1</v>
      </c>
      <c r="G114" s="645">
        <v>98.1</v>
      </c>
      <c r="H114" s="645">
        <v>98.1</v>
      </c>
      <c r="I114" s="645">
        <v>98.1</v>
      </c>
      <c r="J114" s="645">
        <v>98.1</v>
      </c>
      <c r="K114" s="642">
        <v>0.1</v>
      </c>
    </row>
    <row r="115" spans="1:11" ht="15" customHeight="1" x14ac:dyDescent="0.35">
      <c r="C115" s="667">
        <v>5</v>
      </c>
      <c r="D115" s="858">
        <v>500</v>
      </c>
      <c r="E115" s="858"/>
      <c r="F115" s="645">
        <v>490</v>
      </c>
      <c r="G115" s="645">
        <v>490</v>
      </c>
      <c r="H115" s="645">
        <v>490</v>
      </c>
      <c r="I115" s="645">
        <v>490</v>
      </c>
      <c r="J115" s="645">
        <v>490</v>
      </c>
      <c r="K115" s="648">
        <v>1</v>
      </c>
    </row>
    <row r="116" spans="1:11" ht="15" customHeight="1" x14ac:dyDescent="0.35">
      <c r="C116" s="667">
        <v>6</v>
      </c>
      <c r="D116" s="856">
        <v>1000</v>
      </c>
      <c r="E116" s="857"/>
      <c r="F116" s="645">
        <v>981</v>
      </c>
      <c r="G116" s="645">
        <v>981</v>
      </c>
      <c r="H116" s="645">
        <v>981</v>
      </c>
      <c r="I116" s="645">
        <v>981</v>
      </c>
      <c r="J116" s="645">
        <v>981</v>
      </c>
      <c r="K116" s="648">
        <v>1</v>
      </c>
    </row>
    <row r="117" spans="1:11" ht="15" customHeight="1" x14ac:dyDescent="0.35">
      <c r="C117" s="664"/>
      <c r="D117" s="71"/>
      <c r="E117" s="71"/>
      <c r="F117" s="71"/>
      <c r="G117" s="71"/>
      <c r="H117" s="71"/>
      <c r="I117" s="71"/>
      <c r="J117" s="71"/>
      <c r="K117" s="42"/>
    </row>
    <row r="118" spans="1:11" x14ac:dyDescent="0.35">
      <c r="A118" s="659"/>
      <c r="B118" s="20" t="s">
        <v>149</v>
      </c>
      <c r="C118" s="659" t="s">
        <v>150</v>
      </c>
      <c r="D118" s="654"/>
      <c r="E118" s="659"/>
      <c r="F118" s="662"/>
      <c r="G118" s="663"/>
      <c r="H118" s="654"/>
      <c r="I118" s="665"/>
      <c r="J118" s="659"/>
      <c r="K118" s="78"/>
    </row>
    <row r="119" spans="1:11" ht="15" customHeight="1" x14ac:dyDescent="0.35">
      <c r="C119" s="859" t="s">
        <v>30</v>
      </c>
      <c r="D119" s="825" t="s">
        <v>73</v>
      </c>
      <c r="E119" s="826"/>
      <c r="F119" s="823" t="s">
        <v>122</v>
      </c>
      <c r="G119" s="823"/>
      <c r="H119" s="823"/>
      <c r="I119" s="823"/>
      <c r="J119" s="823"/>
      <c r="K119" s="813" t="s">
        <v>79</v>
      </c>
    </row>
    <row r="120" spans="1:11" ht="15" customHeight="1" x14ac:dyDescent="0.35">
      <c r="C120" s="859"/>
      <c r="D120" s="827"/>
      <c r="E120" s="828"/>
      <c r="F120" s="580" t="s">
        <v>123</v>
      </c>
      <c r="G120" s="580" t="s">
        <v>124</v>
      </c>
      <c r="H120" s="580" t="s">
        <v>125</v>
      </c>
      <c r="I120" s="580" t="s">
        <v>126</v>
      </c>
      <c r="J120" s="580" t="s">
        <v>127</v>
      </c>
      <c r="K120" s="813"/>
    </row>
    <row r="121" spans="1:11" ht="15" customHeight="1" x14ac:dyDescent="0.35">
      <c r="C121" s="686"/>
      <c r="D121" s="853" t="s">
        <v>305</v>
      </c>
      <c r="E121" s="854"/>
      <c r="F121" s="854"/>
      <c r="G121" s="854"/>
      <c r="H121" s="854"/>
      <c r="I121" s="854"/>
      <c r="J121" s="854"/>
      <c r="K121" s="687"/>
    </row>
    <row r="122" spans="1:11" ht="15" customHeight="1" x14ac:dyDescent="0.35">
      <c r="C122" s="686"/>
      <c r="D122" s="853" t="s">
        <v>151</v>
      </c>
      <c r="E122" s="854"/>
      <c r="F122" s="854"/>
      <c r="G122" s="854"/>
      <c r="H122" s="854"/>
      <c r="I122" s="854"/>
      <c r="J122" s="854"/>
      <c r="K122" s="687"/>
    </row>
    <row r="123" spans="1:11" ht="15" customHeight="1" x14ac:dyDescent="0.35">
      <c r="C123" s="667">
        <v>1</v>
      </c>
      <c r="D123" s="858">
        <v>0</v>
      </c>
      <c r="E123" s="858"/>
      <c r="F123" s="641">
        <v>0</v>
      </c>
      <c r="G123" s="641">
        <v>0</v>
      </c>
      <c r="H123" s="641">
        <v>0</v>
      </c>
      <c r="I123" s="641">
        <v>0</v>
      </c>
      <c r="J123" s="641">
        <v>0</v>
      </c>
      <c r="K123" s="642">
        <v>0.1</v>
      </c>
    </row>
    <row r="124" spans="1:11" ht="15" customHeight="1" x14ac:dyDescent="0.35">
      <c r="C124" s="35">
        <v>2</v>
      </c>
      <c r="D124" s="858">
        <v>1</v>
      </c>
      <c r="E124" s="858"/>
      <c r="F124" s="645">
        <v>0.9</v>
      </c>
      <c r="G124" s="645">
        <v>1.3</v>
      </c>
      <c r="H124" s="645">
        <v>1.1000000000000001</v>
      </c>
      <c r="I124" s="645">
        <v>1</v>
      </c>
      <c r="J124" s="645">
        <v>0.7</v>
      </c>
      <c r="K124" s="642">
        <v>0.1</v>
      </c>
    </row>
    <row r="125" spans="1:11" ht="15" customHeight="1" x14ac:dyDescent="0.35">
      <c r="C125" s="35">
        <v>3</v>
      </c>
      <c r="D125" s="858">
        <v>50</v>
      </c>
      <c r="E125" s="858"/>
      <c r="F125" s="641">
        <v>50</v>
      </c>
      <c r="G125" s="645">
        <v>49.6</v>
      </c>
      <c r="H125" s="645">
        <v>49.9</v>
      </c>
      <c r="I125" s="645">
        <v>49.9</v>
      </c>
      <c r="J125" s="645">
        <v>50.1</v>
      </c>
      <c r="K125" s="642">
        <v>0.1</v>
      </c>
    </row>
    <row r="126" spans="1:11" x14ac:dyDescent="0.35">
      <c r="C126" s="667">
        <v>4</v>
      </c>
      <c r="D126" s="858">
        <v>100</v>
      </c>
      <c r="E126" s="858"/>
      <c r="F126" s="645">
        <v>99.8</v>
      </c>
      <c r="G126" s="645">
        <v>100.1</v>
      </c>
      <c r="H126" s="645">
        <v>100.3</v>
      </c>
      <c r="I126" s="645">
        <v>99.9</v>
      </c>
      <c r="J126" s="645">
        <v>99.8</v>
      </c>
      <c r="K126" s="642">
        <v>0.1</v>
      </c>
    </row>
    <row r="127" spans="1:11" ht="15" customHeight="1" x14ac:dyDescent="0.35">
      <c r="C127" s="667">
        <v>5</v>
      </c>
      <c r="D127" s="858">
        <v>500</v>
      </c>
      <c r="E127" s="858"/>
      <c r="F127" s="645">
        <v>499</v>
      </c>
      <c r="G127" s="645">
        <v>499</v>
      </c>
      <c r="H127" s="645">
        <v>499</v>
      </c>
      <c r="I127" s="645">
        <v>498</v>
      </c>
      <c r="J127" s="645">
        <v>498</v>
      </c>
      <c r="K127" s="648">
        <v>1</v>
      </c>
    </row>
    <row r="128" spans="1:11" ht="15" customHeight="1" x14ac:dyDescent="0.35">
      <c r="C128" s="667">
        <v>6</v>
      </c>
      <c r="D128" s="856">
        <v>1000</v>
      </c>
      <c r="E128" s="857"/>
      <c r="F128" s="645">
        <v>998</v>
      </c>
      <c r="G128" s="645">
        <v>999</v>
      </c>
      <c r="H128" s="645">
        <v>999</v>
      </c>
      <c r="I128" s="645">
        <v>998</v>
      </c>
      <c r="J128" s="645">
        <v>998</v>
      </c>
      <c r="K128" s="648">
        <v>1</v>
      </c>
    </row>
    <row r="129" spans="3:11" ht="15.75" customHeight="1" x14ac:dyDescent="0.35">
      <c r="C129" s="686"/>
      <c r="D129" s="853" t="s">
        <v>152</v>
      </c>
      <c r="E129" s="854"/>
      <c r="F129" s="854"/>
      <c r="G129" s="854"/>
      <c r="H129" s="854"/>
      <c r="I129" s="854"/>
      <c r="J129" s="854"/>
      <c r="K129" s="687"/>
    </row>
    <row r="130" spans="3:11" ht="15" customHeight="1" x14ac:dyDescent="0.35">
      <c r="C130" s="667">
        <v>1</v>
      </c>
      <c r="D130" s="858">
        <v>0</v>
      </c>
      <c r="E130" s="858"/>
      <c r="F130" s="641">
        <v>0</v>
      </c>
      <c r="G130" s="641">
        <v>0</v>
      </c>
      <c r="H130" s="641">
        <v>0</v>
      </c>
      <c r="I130" s="641">
        <v>0</v>
      </c>
      <c r="J130" s="641">
        <v>0</v>
      </c>
      <c r="K130" s="642">
        <v>0.1</v>
      </c>
    </row>
    <row r="131" spans="3:11" ht="15" customHeight="1" x14ac:dyDescent="0.35">
      <c r="C131" s="35">
        <v>2</v>
      </c>
      <c r="D131" s="858">
        <v>1</v>
      </c>
      <c r="E131" s="858"/>
      <c r="F131" s="641">
        <v>1</v>
      </c>
      <c r="G131" s="645">
        <v>1.3</v>
      </c>
      <c r="H131" s="645">
        <v>1.8</v>
      </c>
      <c r="I131" s="645">
        <v>2.2999999999999998</v>
      </c>
      <c r="J131" s="645">
        <v>2.6</v>
      </c>
      <c r="K131" s="642">
        <v>0.1</v>
      </c>
    </row>
    <row r="132" spans="3:11" ht="15" customHeight="1" x14ac:dyDescent="0.35">
      <c r="C132" s="35">
        <v>3</v>
      </c>
      <c r="D132" s="858">
        <v>50</v>
      </c>
      <c r="E132" s="858"/>
      <c r="F132" s="645">
        <v>50.6</v>
      </c>
      <c r="G132" s="645">
        <v>50.7</v>
      </c>
      <c r="H132" s="645">
        <v>50</v>
      </c>
      <c r="I132" s="645">
        <v>49.6</v>
      </c>
      <c r="J132" s="645">
        <v>48.9</v>
      </c>
      <c r="K132" s="642">
        <v>0.1</v>
      </c>
    </row>
    <row r="133" spans="3:11" x14ac:dyDescent="0.35">
      <c r="C133" s="667">
        <v>4</v>
      </c>
      <c r="D133" s="858">
        <v>100</v>
      </c>
      <c r="E133" s="858"/>
      <c r="F133" s="645">
        <v>99.7</v>
      </c>
      <c r="G133" s="645">
        <v>100.7</v>
      </c>
      <c r="H133" s="645">
        <v>100.1</v>
      </c>
      <c r="I133" s="645">
        <v>99.5</v>
      </c>
      <c r="J133" s="645">
        <v>99.9</v>
      </c>
      <c r="K133" s="642">
        <v>0.1</v>
      </c>
    </row>
    <row r="134" spans="3:11" ht="15" customHeight="1" x14ac:dyDescent="0.35">
      <c r="C134" s="667">
        <v>5</v>
      </c>
      <c r="D134" s="858">
        <v>500</v>
      </c>
      <c r="E134" s="858"/>
      <c r="F134" s="645">
        <v>500</v>
      </c>
      <c r="G134" s="645">
        <v>501</v>
      </c>
      <c r="H134" s="645">
        <v>498</v>
      </c>
      <c r="I134" s="645">
        <v>499</v>
      </c>
      <c r="J134" s="645">
        <v>500</v>
      </c>
      <c r="K134" s="648">
        <v>1</v>
      </c>
    </row>
    <row r="135" spans="3:11" ht="15" customHeight="1" x14ac:dyDescent="0.35">
      <c r="C135" s="667">
        <v>6</v>
      </c>
      <c r="D135" s="856">
        <v>1000</v>
      </c>
      <c r="E135" s="857"/>
      <c r="F135" s="645">
        <v>1000</v>
      </c>
      <c r="G135" s="645">
        <v>998</v>
      </c>
      <c r="H135" s="645">
        <v>1000</v>
      </c>
      <c r="I135" s="645">
        <v>999</v>
      </c>
      <c r="J135" s="645">
        <v>998</v>
      </c>
      <c r="K135" s="648">
        <v>1</v>
      </c>
    </row>
    <row r="136" spans="3:11" ht="15.75" customHeight="1" x14ac:dyDescent="0.35">
      <c r="C136" s="686"/>
      <c r="D136" s="853" t="s">
        <v>153</v>
      </c>
      <c r="E136" s="854"/>
      <c r="F136" s="854"/>
      <c r="G136" s="854"/>
      <c r="H136" s="854"/>
      <c r="I136" s="854"/>
      <c r="J136" s="854"/>
      <c r="K136" s="687"/>
    </row>
    <row r="137" spans="3:11" ht="15" customHeight="1" x14ac:dyDescent="0.35">
      <c r="C137" s="667">
        <v>1</v>
      </c>
      <c r="D137" s="855">
        <v>0</v>
      </c>
      <c r="E137" s="855"/>
      <c r="F137" s="641">
        <v>0</v>
      </c>
      <c r="G137" s="641">
        <v>0</v>
      </c>
      <c r="H137" s="641">
        <v>0</v>
      </c>
      <c r="I137" s="641">
        <v>0</v>
      </c>
      <c r="J137" s="641">
        <v>0</v>
      </c>
      <c r="K137" s="642">
        <v>0.1</v>
      </c>
    </row>
    <row r="138" spans="3:11" ht="15" customHeight="1" x14ac:dyDescent="0.35">
      <c r="C138" s="35">
        <v>2</v>
      </c>
      <c r="D138" s="849">
        <v>1</v>
      </c>
      <c r="E138" s="849"/>
      <c r="F138" s="645">
        <v>0.8</v>
      </c>
      <c r="G138" s="645">
        <v>0.9</v>
      </c>
      <c r="H138" s="645">
        <v>1.1000000000000001</v>
      </c>
      <c r="I138" s="645">
        <v>1.2</v>
      </c>
      <c r="J138" s="645">
        <v>1.3</v>
      </c>
      <c r="K138" s="642">
        <v>0.1</v>
      </c>
    </row>
    <row r="139" spans="3:11" ht="15" customHeight="1" x14ac:dyDescent="0.35">
      <c r="C139" s="35">
        <v>3</v>
      </c>
      <c r="D139" s="849">
        <v>50</v>
      </c>
      <c r="E139" s="849"/>
      <c r="F139" s="645">
        <v>49.9</v>
      </c>
      <c r="G139" s="645">
        <v>49.9</v>
      </c>
      <c r="H139" s="645">
        <v>50</v>
      </c>
      <c r="I139" s="645">
        <v>50.1</v>
      </c>
      <c r="J139" s="645">
        <v>50.3</v>
      </c>
      <c r="K139" s="642">
        <v>0.1</v>
      </c>
    </row>
    <row r="140" spans="3:11" x14ac:dyDescent="0.35">
      <c r="C140" s="667">
        <v>4</v>
      </c>
      <c r="D140" s="849">
        <v>100</v>
      </c>
      <c r="E140" s="849"/>
      <c r="F140" s="645">
        <v>99.6</v>
      </c>
      <c r="G140" s="645">
        <v>99.9</v>
      </c>
      <c r="H140" s="645">
        <v>100</v>
      </c>
      <c r="I140" s="645">
        <v>100.1</v>
      </c>
      <c r="J140" s="645">
        <v>100.3</v>
      </c>
      <c r="K140" s="642">
        <v>0.1</v>
      </c>
    </row>
    <row r="141" spans="3:11" ht="15" customHeight="1" x14ac:dyDescent="0.35">
      <c r="C141" s="35">
        <v>5</v>
      </c>
      <c r="D141" s="849">
        <v>500</v>
      </c>
      <c r="E141" s="849"/>
      <c r="F141" s="645">
        <v>499</v>
      </c>
      <c r="G141" s="645">
        <v>499</v>
      </c>
      <c r="H141" s="645">
        <v>499</v>
      </c>
      <c r="I141" s="645">
        <v>498</v>
      </c>
      <c r="J141" s="645">
        <v>498</v>
      </c>
      <c r="K141" s="648">
        <v>1</v>
      </c>
    </row>
    <row r="142" spans="3:11" ht="15" customHeight="1" x14ac:dyDescent="0.35">
      <c r="C142" s="35">
        <v>6</v>
      </c>
      <c r="D142" s="850">
        <v>1000</v>
      </c>
      <c r="E142" s="851"/>
      <c r="F142" s="645">
        <v>999</v>
      </c>
      <c r="G142" s="645">
        <v>999</v>
      </c>
      <c r="H142" s="645">
        <v>998</v>
      </c>
      <c r="I142" s="645">
        <v>999</v>
      </c>
      <c r="J142" s="645">
        <v>999</v>
      </c>
      <c r="K142" s="648">
        <v>1</v>
      </c>
    </row>
    <row r="143" spans="3:11" ht="15.75" customHeight="1" x14ac:dyDescent="0.35">
      <c r="C143" s="686"/>
      <c r="D143" s="853" t="s">
        <v>154</v>
      </c>
      <c r="E143" s="854"/>
      <c r="F143" s="854"/>
      <c r="G143" s="854"/>
      <c r="H143" s="854"/>
      <c r="I143" s="854"/>
      <c r="J143" s="854"/>
      <c r="K143" s="687"/>
    </row>
    <row r="144" spans="3:11" ht="15" customHeight="1" x14ac:dyDescent="0.35">
      <c r="C144" s="667">
        <v>1</v>
      </c>
      <c r="D144" s="855">
        <v>0</v>
      </c>
      <c r="E144" s="855"/>
      <c r="F144" s="641">
        <v>0</v>
      </c>
      <c r="G144" s="641">
        <v>0</v>
      </c>
      <c r="H144" s="641">
        <v>0</v>
      </c>
      <c r="I144" s="641">
        <v>0</v>
      </c>
      <c r="J144" s="641">
        <v>0</v>
      </c>
      <c r="K144" s="642">
        <v>0.1</v>
      </c>
    </row>
    <row r="145" spans="1:11" ht="15" customHeight="1" x14ac:dyDescent="0.35">
      <c r="C145" s="35">
        <v>2</v>
      </c>
      <c r="D145" s="849">
        <v>1</v>
      </c>
      <c r="E145" s="849"/>
      <c r="F145" s="645">
        <v>0.7</v>
      </c>
      <c r="G145" s="645">
        <v>0.8</v>
      </c>
      <c r="H145" s="641">
        <v>1</v>
      </c>
      <c r="I145" s="645">
        <v>1.1000000000000001</v>
      </c>
      <c r="J145" s="645">
        <v>1.3</v>
      </c>
      <c r="K145" s="642">
        <v>0.1</v>
      </c>
    </row>
    <row r="146" spans="1:11" ht="15" customHeight="1" x14ac:dyDescent="0.35">
      <c r="C146" s="35">
        <v>3</v>
      </c>
      <c r="D146" s="849">
        <v>50</v>
      </c>
      <c r="E146" s="849"/>
      <c r="F146" s="645">
        <v>49.6</v>
      </c>
      <c r="G146" s="645">
        <v>49.9</v>
      </c>
      <c r="H146" s="645">
        <v>50.1</v>
      </c>
      <c r="I146" s="645">
        <v>50.3</v>
      </c>
      <c r="J146" s="645">
        <v>50.2</v>
      </c>
      <c r="K146" s="642">
        <v>0.1</v>
      </c>
    </row>
    <row r="147" spans="1:11" x14ac:dyDescent="0.35">
      <c r="C147" s="667">
        <v>4</v>
      </c>
      <c r="D147" s="849">
        <v>100</v>
      </c>
      <c r="E147" s="849"/>
      <c r="F147" s="645">
        <v>99.6</v>
      </c>
      <c r="G147" s="645">
        <v>99.9</v>
      </c>
      <c r="H147" s="645">
        <v>100</v>
      </c>
      <c r="I147" s="645">
        <v>100.1</v>
      </c>
      <c r="J147" s="645">
        <v>100.3</v>
      </c>
      <c r="K147" s="642">
        <v>0.1</v>
      </c>
    </row>
    <row r="148" spans="1:11" ht="15" customHeight="1" x14ac:dyDescent="0.35">
      <c r="C148" s="35">
        <v>5</v>
      </c>
      <c r="D148" s="849">
        <v>500</v>
      </c>
      <c r="E148" s="849"/>
      <c r="F148" s="645">
        <v>499</v>
      </c>
      <c r="G148" s="645">
        <v>499</v>
      </c>
      <c r="H148" s="645">
        <v>499</v>
      </c>
      <c r="I148" s="645">
        <v>499</v>
      </c>
      <c r="J148" s="645">
        <v>499</v>
      </c>
      <c r="K148" s="648">
        <v>1</v>
      </c>
    </row>
    <row r="149" spans="1:11" ht="15" customHeight="1" x14ac:dyDescent="0.35">
      <c r="C149" s="35">
        <v>6</v>
      </c>
      <c r="D149" s="850">
        <v>1000</v>
      </c>
      <c r="E149" s="851"/>
      <c r="F149" s="645">
        <v>999</v>
      </c>
      <c r="G149" s="645">
        <v>999</v>
      </c>
      <c r="H149" s="645">
        <v>998</v>
      </c>
      <c r="I149" s="645">
        <v>998</v>
      </c>
      <c r="J149" s="645">
        <v>999</v>
      </c>
      <c r="K149" s="648">
        <v>1</v>
      </c>
    </row>
    <row r="150" spans="1:11" ht="15.75" customHeight="1" x14ac:dyDescent="0.35">
      <c r="C150" s="686"/>
      <c r="D150" s="853" t="s">
        <v>155</v>
      </c>
      <c r="E150" s="854"/>
      <c r="F150" s="854"/>
      <c r="G150" s="854"/>
      <c r="H150" s="854"/>
      <c r="I150" s="854"/>
      <c r="J150" s="854"/>
      <c r="K150" s="687"/>
    </row>
    <row r="151" spans="1:11" ht="15" customHeight="1" x14ac:dyDescent="0.35">
      <c r="C151" s="667">
        <v>1</v>
      </c>
      <c r="D151" s="855">
        <v>0</v>
      </c>
      <c r="E151" s="855"/>
      <c r="F151" s="641">
        <v>0</v>
      </c>
      <c r="G151" s="641">
        <v>0</v>
      </c>
      <c r="H151" s="641">
        <v>0</v>
      </c>
      <c r="I151" s="641">
        <v>0</v>
      </c>
      <c r="J151" s="641">
        <v>0</v>
      </c>
      <c r="K151" s="642">
        <v>0.1</v>
      </c>
    </row>
    <row r="152" spans="1:11" ht="15" customHeight="1" x14ac:dyDescent="0.35">
      <c r="C152" s="35">
        <v>2</v>
      </c>
      <c r="D152" s="849">
        <v>1</v>
      </c>
      <c r="E152" s="849"/>
      <c r="F152" s="645">
        <v>0.8</v>
      </c>
      <c r="G152" s="645">
        <v>1.2</v>
      </c>
      <c r="H152" s="645">
        <v>1.3</v>
      </c>
      <c r="I152" s="645">
        <v>1.1000000000000001</v>
      </c>
      <c r="J152" s="641">
        <v>1</v>
      </c>
      <c r="K152" s="642">
        <v>0.1</v>
      </c>
    </row>
    <row r="153" spans="1:11" ht="15" customHeight="1" x14ac:dyDescent="0.35">
      <c r="C153" s="35">
        <v>3</v>
      </c>
      <c r="D153" s="849">
        <v>50</v>
      </c>
      <c r="E153" s="849"/>
      <c r="F153" s="641">
        <v>50</v>
      </c>
      <c r="G153" s="645">
        <v>50.2</v>
      </c>
      <c r="H153" s="645">
        <v>50.3</v>
      </c>
      <c r="I153" s="641">
        <v>50</v>
      </c>
      <c r="J153" s="645">
        <v>49.7</v>
      </c>
      <c r="K153" s="642">
        <v>0.1</v>
      </c>
    </row>
    <row r="154" spans="1:11" x14ac:dyDescent="0.35">
      <c r="C154" s="667">
        <v>4</v>
      </c>
      <c r="D154" s="849">
        <v>100</v>
      </c>
      <c r="E154" s="849"/>
      <c r="F154" s="645">
        <v>99.7</v>
      </c>
      <c r="G154" s="645">
        <v>100</v>
      </c>
      <c r="H154" s="645">
        <v>100.3</v>
      </c>
      <c r="I154" s="645">
        <v>100.2</v>
      </c>
      <c r="J154" s="645">
        <v>99.9</v>
      </c>
      <c r="K154" s="642">
        <v>0.1</v>
      </c>
    </row>
    <row r="155" spans="1:11" ht="15" customHeight="1" x14ac:dyDescent="0.35">
      <c r="C155" s="35">
        <v>5</v>
      </c>
      <c r="D155" s="849">
        <v>500</v>
      </c>
      <c r="E155" s="849"/>
      <c r="F155" s="645">
        <v>499</v>
      </c>
      <c r="G155" s="645">
        <v>499</v>
      </c>
      <c r="H155" s="645">
        <v>499</v>
      </c>
      <c r="I155" s="645">
        <v>499</v>
      </c>
      <c r="J155" s="645">
        <v>499</v>
      </c>
      <c r="K155" s="648">
        <v>1</v>
      </c>
    </row>
    <row r="156" spans="1:11" ht="15" customHeight="1" x14ac:dyDescent="0.35">
      <c r="C156" s="35">
        <v>6</v>
      </c>
      <c r="D156" s="850">
        <v>1000</v>
      </c>
      <c r="E156" s="851"/>
      <c r="F156" s="645">
        <v>999</v>
      </c>
      <c r="G156" s="645">
        <v>999</v>
      </c>
      <c r="H156" s="645">
        <v>998</v>
      </c>
      <c r="I156" s="645">
        <v>999</v>
      </c>
      <c r="J156" s="645">
        <v>999</v>
      </c>
      <c r="K156" s="648">
        <v>1</v>
      </c>
    </row>
    <row r="158" spans="1:11" x14ac:dyDescent="0.35">
      <c r="A158" s="653" t="s">
        <v>156</v>
      </c>
      <c r="B158" s="653" t="s">
        <v>157</v>
      </c>
      <c r="C158" s="653"/>
      <c r="D158" s="654"/>
    </row>
    <row r="159" spans="1:11" x14ac:dyDescent="0.35">
      <c r="A159" s="653"/>
      <c r="B159" s="659" t="s">
        <v>307</v>
      </c>
      <c r="C159" s="653"/>
      <c r="D159" s="654"/>
    </row>
    <row r="160" spans="1:11" x14ac:dyDescent="0.35">
      <c r="A160" s="653"/>
      <c r="B160" s="659" t="s">
        <v>182</v>
      </c>
      <c r="C160" s="653"/>
      <c r="D160" s="654"/>
    </row>
    <row r="161" spans="1:15" x14ac:dyDescent="0.35">
      <c r="A161" s="653"/>
      <c r="B161" s="659" t="str">
        <f>'Sert Resistor'!B69</f>
        <v>Ketidakpastian Kalibrasi Earth Resistance dilaporkan pada tingkat kepercayaan 95 % dengan faktor cakupan k = 2</v>
      </c>
      <c r="C161" s="653"/>
      <c r="D161" s="654"/>
    </row>
    <row r="162" spans="1:15" x14ac:dyDescent="0.35">
      <c r="A162" s="653"/>
      <c r="B162" s="659" t="s">
        <v>183</v>
      </c>
      <c r="C162" s="653"/>
      <c r="D162" s="654"/>
    </row>
    <row r="163" spans="1:15" x14ac:dyDescent="0.35">
      <c r="A163" s="653"/>
      <c r="B163" s="659" t="s">
        <v>184</v>
      </c>
      <c r="C163" s="653"/>
      <c r="D163" s="654"/>
    </row>
    <row r="164" spans="1:15" x14ac:dyDescent="0.35">
      <c r="A164" s="653"/>
      <c r="B164" s="659" t="s">
        <v>185</v>
      </c>
      <c r="C164" s="653"/>
      <c r="D164" s="654"/>
    </row>
    <row r="165" spans="1:15" x14ac:dyDescent="0.35">
      <c r="A165" s="659"/>
      <c r="B165" s="659" t="str">
        <f>'Sert Resistor'!R68</f>
        <v>Hasil Kalibrasi Earth Resistance tertelusur ke Satuan Internasional ( SI ) melalui UKAS</v>
      </c>
      <c r="C165" s="688"/>
      <c r="D165" s="654"/>
    </row>
    <row r="166" spans="1:15" x14ac:dyDescent="0.35">
      <c r="A166" s="659"/>
      <c r="B166" s="659" t="s">
        <v>308</v>
      </c>
      <c r="C166" s="688"/>
      <c r="D166" s="654"/>
    </row>
    <row r="167" spans="1:15" x14ac:dyDescent="0.35">
      <c r="A167" s="659"/>
      <c r="B167" s="659" t="s">
        <v>186</v>
      </c>
      <c r="C167" s="688"/>
      <c r="D167" s="654"/>
    </row>
    <row r="168" spans="1:15" x14ac:dyDescent="0.35">
      <c r="A168" s="659"/>
      <c r="B168" s="18" t="s">
        <v>187</v>
      </c>
      <c r="C168" s="688"/>
      <c r="D168" s="654"/>
    </row>
    <row r="169" spans="1:15" x14ac:dyDescent="0.35">
      <c r="A169" s="659"/>
      <c r="B169" s="18" t="s">
        <v>188</v>
      </c>
      <c r="C169" s="688"/>
      <c r="D169" s="654"/>
    </row>
    <row r="170" spans="1:15" x14ac:dyDescent="0.35">
      <c r="B170" s="18"/>
      <c r="C170" s="18"/>
      <c r="O170" s="688"/>
    </row>
    <row r="171" spans="1:15" x14ac:dyDescent="0.35">
      <c r="A171" s="653" t="s">
        <v>158</v>
      </c>
      <c r="B171" s="653" t="s">
        <v>159</v>
      </c>
      <c r="C171" s="653"/>
      <c r="O171" s="689"/>
    </row>
    <row r="172" spans="1:15" x14ac:dyDescent="0.35">
      <c r="B172" s="649" t="s">
        <v>160</v>
      </c>
      <c r="C172" s="18"/>
      <c r="O172" s="18"/>
    </row>
    <row r="173" spans="1:15" hidden="1" x14ac:dyDescent="0.35">
      <c r="B173" s="848" t="s">
        <v>92</v>
      </c>
      <c r="C173" s="848"/>
      <c r="D173" s="848"/>
      <c r="E173" s="848"/>
      <c r="F173" s="848"/>
      <c r="G173" s="848"/>
      <c r="H173" s="848"/>
      <c r="I173" s="848"/>
      <c r="J173" s="848"/>
    </row>
    <row r="174" spans="1:15" x14ac:dyDescent="0.35">
      <c r="B174" s="852" t="s">
        <v>224</v>
      </c>
      <c r="C174" s="852"/>
      <c r="D174" s="852"/>
      <c r="E174" s="852"/>
      <c r="F174" s="852"/>
      <c r="G174" s="852"/>
      <c r="H174" s="852"/>
      <c r="I174" s="852"/>
      <c r="J174" s="852"/>
      <c r="O174" s="18"/>
    </row>
    <row r="175" spans="1:15" x14ac:dyDescent="0.35">
      <c r="B175" s="852" t="s">
        <v>45</v>
      </c>
      <c r="C175" s="852"/>
      <c r="D175" s="852"/>
      <c r="E175" s="852"/>
      <c r="F175" s="852"/>
      <c r="G175" s="852"/>
      <c r="H175" s="852"/>
      <c r="I175" s="852"/>
      <c r="J175" s="852"/>
    </row>
    <row r="176" spans="1:15" x14ac:dyDescent="0.35">
      <c r="B176" s="18"/>
      <c r="C176" s="18"/>
    </row>
    <row r="177" spans="1:6" x14ac:dyDescent="0.35">
      <c r="A177" s="690" t="s">
        <v>167</v>
      </c>
      <c r="B177" s="690" t="s">
        <v>168</v>
      </c>
      <c r="C177" s="690"/>
    </row>
    <row r="178" spans="1:6" x14ac:dyDescent="0.35">
      <c r="B178" s="92" t="s">
        <v>290</v>
      </c>
      <c r="C178" s="92"/>
      <c r="D178" s="92"/>
      <c r="E178" s="92"/>
      <c r="F178" s="92"/>
    </row>
    <row r="179" spans="1:6" x14ac:dyDescent="0.35">
      <c r="B179" s="18"/>
      <c r="C179" s="18"/>
    </row>
    <row r="180" spans="1:6" x14ac:dyDescent="0.35">
      <c r="A180" s="690" t="s">
        <v>169</v>
      </c>
      <c r="B180" s="691" t="s">
        <v>170</v>
      </c>
      <c r="C180" s="691"/>
    </row>
    <row r="181" spans="1:6" x14ac:dyDescent="0.35">
      <c r="B181" s="20" t="s">
        <v>191</v>
      </c>
      <c r="C181" s="20"/>
    </row>
  </sheetData>
  <mergeCells count="152">
    <mergeCell ref="A1:K1"/>
    <mergeCell ref="A2:F2"/>
    <mergeCell ref="A5:C5"/>
    <mergeCell ref="A6:C6"/>
    <mergeCell ref="A7:C7"/>
    <mergeCell ref="A8:C8"/>
    <mergeCell ref="B15:C15"/>
    <mergeCell ref="B16:C16"/>
    <mergeCell ref="B19:C19"/>
    <mergeCell ref="B20:C20"/>
    <mergeCell ref="S8:U8"/>
    <mergeCell ref="A9:C9"/>
    <mergeCell ref="A10:C10"/>
    <mergeCell ref="A11:C11"/>
    <mergeCell ref="A12:C12"/>
    <mergeCell ref="F25:J25"/>
    <mergeCell ref="K25:K26"/>
    <mergeCell ref="D27:J27"/>
    <mergeCell ref="D28:E28"/>
    <mergeCell ref="D29:E29"/>
    <mergeCell ref="D30:E30"/>
    <mergeCell ref="D31:E31"/>
    <mergeCell ref="D32:E32"/>
    <mergeCell ref="D33:E33"/>
    <mergeCell ref="C25:C26"/>
    <mergeCell ref="D25:E26"/>
    <mergeCell ref="C37:C38"/>
    <mergeCell ref="D37:E38"/>
    <mergeCell ref="F37:J37"/>
    <mergeCell ref="K37:K38"/>
    <mergeCell ref="D39:J39"/>
    <mergeCell ref="D35:E35"/>
    <mergeCell ref="D40:E40"/>
    <mergeCell ref="D41:E41"/>
    <mergeCell ref="D42:E42"/>
    <mergeCell ref="D43:E43"/>
    <mergeCell ref="D44:E44"/>
    <mergeCell ref="D47:J47"/>
    <mergeCell ref="D46:E46"/>
    <mergeCell ref="D45:E45"/>
    <mergeCell ref="D48:E48"/>
    <mergeCell ref="D49:E49"/>
    <mergeCell ref="D50:E50"/>
    <mergeCell ref="D51:E51"/>
    <mergeCell ref="D52:E52"/>
    <mergeCell ref="C57:C58"/>
    <mergeCell ref="D57:E58"/>
    <mergeCell ref="D54:E54"/>
    <mergeCell ref="D53:E53"/>
    <mergeCell ref="C68:C69"/>
    <mergeCell ref="D68:E69"/>
    <mergeCell ref="F68:J68"/>
    <mergeCell ref="F57:J57"/>
    <mergeCell ref="K57:K58"/>
    <mergeCell ref="D59:J59"/>
    <mergeCell ref="D60:E60"/>
    <mergeCell ref="D61:E61"/>
    <mergeCell ref="D62:E62"/>
    <mergeCell ref="K68:K69"/>
    <mergeCell ref="D70:J70"/>
    <mergeCell ref="D71:J71"/>
    <mergeCell ref="D72:E72"/>
    <mergeCell ref="D73:E73"/>
    <mergeCell ref="D74:E74"/>
    <mergeCell ref="D63:E63"/>
    <mergeCell ref="D64:E64"/>
    <mergeCell ref="D65:E65"/>
    <mergeCell ref="D81:E81"/>
    <mergeCell ref="D82:E82"/>
    <mergeCell ref="D83:E83"/>
    <mergeCell ref="D84:E84"/>
    <mergeCell ref="D85:J85"/>
    <mergeCell ref="D86:E86"/>
    <mergeCell ref="D75:E75"/>
    <mergeCell ref="D76:E76"/>
    <mergeCell ref="D77:E77"/>
    <mergeCell ref="D78:J78"/>
    <mergeCell ref="D79:E79"/>
    <mergeCell ref="D80:E80"/>
    <mergeCell ref="D93:E93"/>
    <mergeCell ref="D94:E94"/>
    <mergeCell ref="D95:E95"/>
    <mergeCell ref="D96:E96"/>
    <mergeCell ref="D97:E97"/>
    <mergeCell ref="D98:E98"/>
    <mergeCell ref="D87:E87"/>
    <mergeCell ref="D88:E88"/>
    <mergeCell ref="D89:E89"/>
    <mergeCell ref="D90:E90"/>
    <mergeCell ref="D91:E91"/>
    <mergeCell ref="D92:J92"/>
    <mergeCell ref="D105:E105"/>
    <mergeCell ref="C108:C109"/>
    <mergeCell ref="D108:E109"/>
    <mergeCell ref="F108:J108"/>
    <mergeCell ref="K108:K109"/>
    <mergeCell ref="D110:J110"/>
    <mergeCell ref="D99:J99"/>
    <mergeCell ref="D100:E100"/>
    <mergeCell ref="D101:E101"/>
    <mergeCell ref="D102:E102"/>
    <mergeCell ref="D103:E103"/>
    <mergeCell ref="D104:E104"/>
    <mergeCell ref="C119:C120"/>
    <mergeCell ref="D119:E120"/>
    <mergeCell ref="F119:J119"/>
    <mergeCell ref="K119:K120"/>
    <mergeCell ref="D121:J121"/>
    <mergeCell ref="D122:J122"/>
    <mergeCell ref="D111:E111"/>
    <mergeCell ref="D112:E112"/>
    <mergeCell ref="D113:E113"/>
    <mergeCell ref="D114:E114"/>
    <mergeCell ref="D115:E115"/>
    <mergeCell ref="D116:E116"/>
    <mergeCell ref="D129:J129"/>
    <mergeCell ref="D130:E130"/>
    <mergeCell ref="D131:E131"/>
    <mergeCell ref="D132:E132"/>
    <mergeCell ref="D133:E133"/>
    <mergeCell ref="D134:E134"/>
    <mergeCell ref="D123:E123"/>
    <mergeCell ref="D124:E124"/>
    <mergeCell ref="D125:E125"/>
    <mergeCell ref="D126:E126"/>
    <mergeCell ref="D127:E127"/>
    <mergeCell ref="D128:E128"/>
    <mergeCell ref="D141:E141"/>
    <mergeCell ref="D142:E142"/>
    <mergeCell ref="D143:J143"/>
    <mergeCell ref="D144:E144"/>
    <mergeCell ref="D145:E145"/>
    <mergeCell ref="D146:E146"/>
    <mergeCell ref="D135:E135"/>
    <mergeCell ref="D136:J136"/>
    <mergeCell ref="D137:E137"/>
    <mergeCell ref="D138:E138"/>
    <mergeCell ref="D139:E139"/>
    <mergeCell ref="D140:E140"/>
    <mergeCell ref="B173:J173"/>
    <mergeCell ref="D153:E153"/>
    <mergeCell ref="D154:E154"/>
    <mergeCell ref="D155:E155"/>
    <mergeCell ref="D156:E156"/>
    <mergeCell ref="B174:J174"/>
    <mergeCell ref="B175:J175"/>
    <mergeCell ref="D147:E147"/>
    <mergeCell ref="D148:E148"/>
    <mergeCell ref="D149:E149"/>
    <mergeCell ref="D150:J150"/>
    <mergeCell ref="D151:E151"/>
    <mergeCell ref="D152:E152"/>
  </mergeCells>
  <phoneticPr fontId="26" type="noConversion"/>
  <dataValidations count="1">
    <dataValidation type="list" allowBlank="1" showInputMessage="1" showErrorMessage="1" sqref="G21:G22 G67 G36 G24 G56 G107 G118" xr:uid="{C258C296-3C51-42AB-8947-9F7468BE75AB}">
      <formula1>$P$243:$P$244</formula1>
    </dataValidation>
  </dataValidations>
  <pageMargins left="0.45" right="0.39" top="0.5" bottom="0.5" header="0.3" footer="0.3"/>
  <pageSetup paperSize="9" scale="82" orientation="portrait" r:id="rId1"/>
  <headerFooter>
    <oddHeader xml:space="preserve">&amp;R&amp;8ID.MK.093-19/Rev.0
</oddHeader>
    <oddFooter>&amp;C&amp;8&amp;K09+000Software 04-08-22</oddFooter>
  </headerFooter>
  <rowBreaks count="2" manualBreakCount="2">
    <brk id="35" max="10" man="1"/>
    <brk id="98" max="10" man="1"/>
  </rowBreaks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8E4647C4-1BD4-45AC-8C5A-5C3BCC2DEF0F}">
          <x14:formula1>
            <xm:f>'Sert Resistor'!$B$62:$B$67</xm:f>
          </x14:formula1>
          <xm:sqref>B174:J174</xm:sqref>
        </x14:dataValidation>
        <x14:dataValidation type="list" allowBlank="1" showInputMessage="1" showErrorMessage="1" xr:uid="{EAB5EF8A-2D14-4D51-8E59-819FBF233EC8}">
          <x14:formula1>
            <xm:f>'Sert Thermohygro'!$A$393:$A$412</xm:f>
          </x14:formula1>
          <xm:sqref>B175:J175</xm:sqref>
        </x14:dataValidation>
        <x14:dataValidation type="list" allowBlank="1" showInputMessage="1" showErrorMessage="1" xr:uid="{3B23FD76-E9B7-4B38-B8C6-81A888180F78}">
          <x14:formula1>
            <xm:f>'Kata-kata'!$B$7:$B$8</xm:f>
          </x14:formula1>
          <xm:sqref>D25:E26 D37:E38 D57:E58 D68:E69 D108:E109 D119:E120</xm:sqref>
        </x14:dataValidation>
        <x14:dataValidation type="list" allowBlank="1" showInputMessage="1" showErrorMessage="1" xr:uid="{1D444607-6A14-4CA4-983F-568679D048B7}">
          <x14:formula1>
            <xm:f>'Kata-kata'!$B$9:$B$10</xm:f>
          </x14:formula1>
          <xm:sqref>F25:J25 F37:J37 F57:J57 F68:J68 F108:J108 F119:J119</xm:sqref>
        </x14:dataValidation>
        <x14:dataValidation type="list" allowBlank="1" showInputMessage="1" showErrorMessage="1" xr:uid="{D4E51353-A0B2-40C7-A4F5-696751B55E58}">
          <x14:formula1>
            <xm:f>'Kata-kata'!$G$7:$G$8</xm:f>
          </x14:formula1>
          <xm:sqref>E19:E20</xm:sqref>
        </x14:dataValidation>
        <x14:dataValidation type="list" allowBlank="1" showInputMessage="1" showErrorMessage="1" xr:uid="{0AFFA095-030F-4146-9D2D-1CEF4DDE98E4}">
          <x14:formula1>
            <xm:f>'Sert Insulation'!$B$62:$B$67</xm:f>
          </x14:formula1>
          <xm:sqref>B173</xm:sqref>
        </x14:dataValidation>
        <x14:dataValidation type="list" allowBlank="1" showInputMessage="1" showErrorMessage="1" xr:uid="{0C71560A-569E-4974-807D-FE06F5D4E333}">
          <x14:formula1>
            <xm:f>'Kata-kata'!$B$14:$B$38</xm:f>
          </x14:formula1>
          <xm:sqref>B178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DDCE-320E-41FC-8B68-E35B00A7FB71}">
  <dimension ref="A1:BJ465"/>
  <sheetViews>
    <sheetView view="pageBreakPreview" topLeftCell="A149" zoomScale="60" zoomScaleNormal="84" zoomScalePageLayoutView="77" workbookViewId="0">
      <selection activeCell="N168" sqref="N168"/>
    </sheetView>
  </sheetViews>
  <sheetFormatPr defaultRowHeight="14.5" x14ac:dyDescent="0.35"/>
  <cols>
    <col min="1" max="1" width="5.81640625" customWidth="1"/>
    <col min="2" max="2" width="40.453125" customWidth="1"/>
    <col min="11" max="11" width="13.26953125" customWidth="1"/>
    <col min="12" max="12" width="12.453125" customWidth="1"/>
    <col min="13" max="13" width="3" customWidth="1"/>
    <col min="14" max="14" width="39" customWidth="1"/>
    <col min="15" max="15" width="10.1796875" customWidth="1"/>
    <col min="16" max="16" width="10.7265625" customWidth="1"/>
    <col min="18" max="18" width="10.54296875" customWidth="1"/>
    <col min="23" max="23" width="13.26953125" customWidth="1"/>
    <col min="24" max="24" width="12.453125" customWidth="1"/>
    <col min="26" max="26" width="44.81640625" customWidth="1"/>
    <col min="28" max="28" width="10.7265625" customWidth="1"/>
    <col min="30" max="30" width="10.54296875" customWidth="1"/>
    <col min="35" max="35" width="12.453125" customWidth="1"/>
    <col min="36" max="36" width="10.453125" customWidth="1"/>
    <col min="38" max="38" width="45.54296875" customWidth="1"/>
    <col min="40" max="41" width="11.7265625" customWidth="1"/>
    <col min="42" max="42" width="10.453125" customWidth="1"/>
    <col min="43" max="43" width="8.54296875" customWidth="1"/>
    <col min="44" max="44" width="8.7265625" customWidth="1"/>
    <col min="45" max="45" width="8" customWidth="1"/>
    <col min="46" max="46" width="8.453125" customWidth="1"/>
    <col min="47" max="47" width="11.7265625" customWidth="1"/>
    <col min="48" max="48" width="9.54296875" customWidth="1"/>
    <col min="50" max="50" width="45.7265625" customWidth="1"/>
    <col min="52" max="52" width="10.54296875" customWidth="1"/>
    <col min="54" max="54" width="10.1796875" customWidth="1"/>
    <col min="55" max="55" width="7" customWidth="1"/>
    <col min="56" max="56" width="7.26953125" customWidth="1"/>
    <col min="57" max="57" width="8" customWidth="1"/>
    <col min="59" max="60" width="14.54296875" customWidth="1"/>
  </cols>
  <sheetData>
    <row r="1" spans="1:25" ht="18" x14ac:dyDescent="0.4">
      <c r="A1" s="874" t="s">
        <v>192</v>
      </c>
      <c r="B1" s="874"/>
      <c r="C1" s="874"/>
      <c r="D1" s="874"/>
      <c r="E1" s="874"/>
      <c r="F1" s="874"/>
      <c r="G1" s="874"/>
      <c r="H1" s="874"/>
      <c r="I1" s="874"/>
      <c r="J1" s="874"/>
      <c r="K1" s="874"/>
      <c r="L1" s="874"/>
      <c r="M1" s="463"/>
      <c r="N1" s="463"/>
      <c r="O1" s="463"/>
      <c r="P1" s="463"/>
      <c r="Q1" s="463"/>
      <c r="R1" s="463"/>
      <c r="S1" s="463"/>
      <c r="T1" s="463"/>
      <c r="U1" s="463"/>
      <c r="V1" s="463"/>
      <c r="W1" s="463"/>
      <c r="X1" s="463"/>
      <c r="Y1" s="463"/>
    </row>
    <row r="2" spans="1:25" ht="18" hidden="1" x14ac:dyDescent="0.4">
      <c r="A2" s="483"/>
      <c r="B2" s="483"/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63"/>
      <c r="N2" s="463"/>
      <c r="O2" s="463"/>
      <c r="P2" s="463"/>
      <c r="Q2" s="463"/>
      <c r="R2" s="463"/>
      <c r="S2" s="463"/>
      <c r="T2" s="463"/>
      <c r="U2" s="463"/>
      <c r="V2" s="463"/>
      <c r="W2" s="463"/>
      <c r="X2" s="463"/>
      <c r="Y2" s="463"/>
    </row>
    <row r="3" spans="1:25" ht="18" x14ac:dyDescent="0.4">
      <c r="A3" s="483"/>
      <c r="B3" s="483"/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63"/>
      <c r="N3" s="463"/>
      <c r="O3" s="463"/>
      <c r="P3" s="463"/>
      <c r="Q3" s="463"/>
      <c r="R3" s="463"/>
      <c r="S3" s="463"/>
      <c r="T3" s="463"/>
      <c r="U3" s="463"/>
      <c r="V3" s="463"/>
      <c r="W3" s="463"/>
      <c r="X3" s="463"/>
      <c r="Y3" s="463"/>
    </row>
    <row r="4" spans="1:25" ht="15.5" x14ac:dyDescent="0.35">
      <c r="A4" s="464" t="str">
        <f>ID!B24</f>
        <v>1.</v>
      </c>
      <c r="B4" s="465" t="str">
        <f>ID!C24</f>
        <v>Kalibrasi Dual Lead Voltage</v>
      </c>
      <c r="C4" s="402"/>
      <c r="D4" s="402"/>
      <c r="E4" s="402"/>
      <c r="F4" s="402"/>
      <c r="G4" s="402"/>
      <c r="H4" s="402"/>
      <c r="I4" s="402"/>
      <c r="J4" s="402"/>
      <c r="K4" s="402"/>
      <c r="L4" s="402"/>
      <c r="M4" s="464"/>
      <c r="N4" s="465"/>
      <c r="O4" s="402"/>
      <c r="P4" s="402"/>
      <c r="Q4" s="402"/>
      <c r="R4" s="402"/>
      <c r="S4" s="402"/>
      <c r="T4" s="402"/>
      <c r="U4" s="402"/>
      <c r="V4" s="402"/>
      <c r="W4" s="402"/>
      <c r="X4" s="402"/>
      <c r="Y4" s="402"/>
    </row>
    <row r="5" spans="1:25" x14ac:dyDescent="0.35">
      <c r="A5" s="402"/>
      <c r="B5" s="396" t="s">
        <v>193</v>
      </c>
      <c r="C5" s="77">
        <f>ID!D28</f>
        <v>50</v>
      </c>
      <c r="D5" s="397" t="s">
        <v>179</v>
      </c>
      <c r="M5" s="402"/>
      <c r="N5" s="396"/>
      <c r="O5" s="77"/>
      <c r="P5" s="397"/>
      <c r="Y5" s="402"/>
    </row>
    <row r="6" spans="1:25" x14ac:dyDescent="0.35">
      <c r="A6" s="402"/>
      <c r="B6" s="372" t="s">
        <v>194</v>
      </c>
      <c r="C6" s="373" t="s">
        <v>72</v>
      </c>
      <c r="D6" s="373" t="s">
        <v>195</v>
      </c>
      <c r="E6" s="372" t="s">
        <v>196</v>
      </c>
      <c r="F6" s="372" t="s">
        <v>197</v>
      </c>
      <c r="G6" s="372" t="s">
        <v>198</v>
      </c>
      <c r="H6" s="372" t="s">
        <v>199</v>
      </c>
      <c r="I6" s="372" t="s">
        <v>200</v>
      </c>
      <c r="J6" s="372" t="s">
        <v>201</v>
      </c>
      <c r="K6" s="372" t="s">
        <v>202</v>
      </c>
      <c r="L6" s="373" t="s">
        <v>203</v>
      </c>
      <c r="M6" s="402"/>
      <c r="N6" s="372"/>
      <c r="O6" s="373"/>
      <c r="P6" s="373"/>
      <c r="Q6" s="372"/>
      <c r="R6" s="372"/>
      <c r="S6" s="372"/>
      <c r="T6" s="372"/>
      <c r="U6" s="372"/>
      <c r="V6" s="372"/>
      <c r="W6" s="372"/>
      <c r="X6" s="373"/>
      <c r="Y6" s="402"/>
    </row>
    <row r="7" spans="1:25" x14ac:dyDescent="0.35">
      <c r="A7" s="402"/>
      <c r="B7" s="374" t="s">
        <v>204</v>
      </c>
      <c r="C7" s="19" t="str">
        <f>D5</f>
        <v>Volt</v>
      </c>
      <c r="D7" s="375" t="s">
        <v>205</v>
      </c>
      <c r="E7" s="376">
        <f>'Sert Time Electronics'!J123</f>
        <v>1.0000000000000001E-5</v>
      </c>
      <c r="F7" s="377">
        <f>SQRT(5)</f>
        <v>2.2360679774997898</v>
      </c>
      <c r="G7" s="375">
        <f>5-1</f>
        <v>4</v>
      </c>
      <c r="H7" s="377">
        <f>E7/F7</f>
        <v>4.4721359549995799E-6</v>
      </c>
      <c r="I7" s="375">
        <v>1</v>
      </c>
      <c r="J7" s="377">
        <f>H7*I7</f>
        <v>4.4721359549995799E-6</v>
      </c>
      <c r="K7" s="378">
        <f>J7^2</f>
        <v>2.0000000000000005E-11</v>
      </c>
      <c r="L7" s="379">
        <f>K7^2/G7</f>
        <v>1.0000000000000005E-22</v>
      </c>
      <c r="M7" s="402"/>
      <c r="N7" s="374"/>
      <c r="O7" s="19"/>
      <c r="P7" s="375"/>
      <c r="Q7" s="376"/>
      <c r="R7" s="377"/>
      <c r="S7" s="375"/>
      <c r="T7" s="377"/>
      <c r="U7" s="375"/>
      <c r="V7" s="377"/>
      <c r="W7" s="378"/>
      <c r="X7" s="379"/>
      <c r="Y7" s="402"/>
    </row>
    <row r="8" spans="1:25" x14ac:dyDescent="0.35">
      <c r="A8" s="402"/>
      <c r="B8" s="380" t="s">
        <v>206</v>
      </c>
      <c r="C8" s="19" t="str">
        <f>C7</f>
        <v>Volt</v>
      </c>
      <c r="D8" s="375" t="s">
        <v>205</v>
      </c>
      <c r="E8" s="381">
        <f ca="1">'Sert Time Electronics'!M123</f>
        <v>6.7452501082246026E-4</v>
      </c>
      <c r="F8" s="377">
        <v>2</v>
      </c>
      <c r="G8" s="375">
        <f>0.5*(100/10)^2</f>
        <v>50</v>
      </c>
      <c r="H8" s="377">
        <f ca="1">E8/F8</f>
        <v>3.3726250541123013E-4</v>
      </c>
      <c r="I8" s="375">
        <v>1</v>
      </c>
      <c r="J8" s="377">
        <f ca="1">H8*I8</f>
        <v>3.3726250541123013E-4</v>
      </c>
      <c r="K8" s="378">
        <f ca="1">J8^2</f>
        <v>1.1374599755626003E-7</v>
      </c>
      <c r="L8" s="379">
        <f ca="1">K8^2/G8</f>
        <v>2.5876303920137426E-16</v>
      </c>
      <c r="M8" s="402"/>
      <c r="N8" s="380"/>
      <c r="O8" s="19"/>
      <c r="P8" s="375"/>
      <c r="Q8" s="381"/>
      <c r="R8" s="377"/>
      <c r="S8" s="375"/>
      <c r="T8" s="377"/>
      <c r="U8" s="375"/>
      <c r="V8" s="377"/>
      <c r="W8" s="378"/>
      <c r="X8" s="379"/>
      <c r="Y8" s="402"/>
    </row>
    <row r="9" spans="1:25" x14ac:dyDescent="0.35">
      <c r="A9" s="402"/>
      <c r="B9" s="380" t="s">
        <v>207</v>
      </c>
      <c r="C9" s="19" t="str">
        <f>C8</f>
        <v>Volt</v>
      </c>
      <c r="D9" s="375" t="s">
        <v>208</v>
      </c>
      <c r="E9" s="382">
        <f>'Sert Time Electronics'!K123</f>
        <v>0.05</v>
      </c>
      <c r="F9" s="377">
        <f>SQRT(3)</f>
        <v>1.7320508075688772</v>
      </c>
      <c r="G9" s="375">
        <v>50</v>
      </c>
      <c r="H9" s="377">
        <f>E9/F9</f>
        <v>2.8867513459481291E-2</v>
      </c>
      <c r="I9" s="375">
        <v>1</v>
      </c>
      <c r="J9" s="377">
        <f>H9*I9</f>
        <v>2.8867513459481291E-2</v>
      </c>
      <c r="K9" s="378">
        <f>J9^2</f>
        <v>8.333333333333335E-4</v>
      </c>
      <c r="L9" s="379">
        <f>K9^2/G9</f>
        <v>1.3888888888888894E-8</v>
      </c>
      <c r="M9" s="402"/>
      <c r="N9" s="380"/>
      <c r="O9" s="19"/>
      <c r="P9" s="375"/>
      <c r="Q9" s="382"/>
      <c r="R9" s="377"/>
      <c r="S9" s="375"/>
      <c r="T9" s="377"/>
      <c r="U9" s="375"/>
      <c r="V9" s="377"/>
      <c r="W9" s="378"/>
      <c r="X9" s="379"/>
      <c r="Y9" s="402"/>
    </row>
    <row r="10" spans="1:25" x14ac:dyDescent="0.35">
      <c r="A10" s="402"/>
      <c r="B10" s="383" t="s">
        <v>209</v>
      </c>
      <c r="C10" s="19" t="str">
        <f>C9</f>
        <v>Volt</v>
      </c>
      <c r="D10" s="375" t="s">
        <v>208</v>
      </c>
      <c r="E10" s="381">
        <f ca="1">'Sert Time Electronics'!L123</f>
        <v>2.2484167027415338E-4</v>
      </c>
      <c r="F10" s="377">
        <f>SQRT(3)</f>
        <v>1.7320508075688772</v>
      </c>
      <c r="G10" s="375">
        <v>50</v>
      </c>
      <c r="H10" s="377">
        <f ca="1">E10/F10</f>
        <v>1.2981239885782755E-4</v>
      </c>
      <c r="I10" s="375">
        <v>1</v>
      </c>
      <c r="J10" s="377">
        <f ca="1">H10*I10</f>
        <v>1.2981239885782755E-4</v>
      </c>
      <c r="K10" s="378">
        <f ca="1">J10^2</f>
        <v>1.6851258897223709E-8</v>
      </c>
      <c r="L10" s="379">
        <f ca="1">K10^2/G10</f>
        <v>5.679298528425224E-18</v>
      </c>
      <c r="M10" s="402"/>
      <c r="N10" s="383"/>
      <c r="O10" s="19"/>
      <c r="P10" s="375"/>
      <c r="Q10" s="381"/>
      <c r="R10" s="377"/>
      <c r="S10" s="375"/>
      <c r="T10" s="377"/>
      <c r="U10" s="375"/>
      <c r="V10" s="377"/>
      <c r="W10" s="378"/>
      <c r="X10" s="379"/>
      <c r="Y10" s="402"/>
    </row>
    <row r="11" spans="1:25" x14ac:dyDescent="0.35">
      <c r="A11" s="402"/>
      <c r="B11" s="374" t="s">
        <v>210</v>
      </c>
      <c r="C11" s="384"/>
      <c r="D11" s="384"/>
      <c r="E11" s="384"/>
      <c r="F11" s="384"/>
      <c r="G11" s="384"/>
      <c r="H11" s="384"/>
      <c r="I11" s="384"/>
      <c r="J11" s="384"/>
      <c r="K11" s="434">
        <f ca="1">SUM(K7:K10)</f>
        <v>8.334639505897869E-4</v>
      </c>
      <c r="L11" s="379">
        <f ca="1">SUM(L7:L10)</f>
        <v>1.3888889153331331E-8</v>
      </c>
      <c r="M11" s="402"/>
      <c r="N11" s="374"/>
      <c r="O11" s="384"/>
      <c r="P11" s="384"/>
      <c r="Q11" s="384"/>
      <c r="R11" s="384"/>
      <c r="S11" s="384"/>
      <c r="T11" s="384"/>
      <c r="U11" s="384"/>
      <c r="V11" s="384"/>
      <c r="W11" s="434"/>
      <c r="X11" s="379"/>
      <c r="Y11" s="402"/>
    </row>
    <row r="12" spans="1:25" ht="15" x14ac:dyDescent="0.4">
      <c r="A12" s="402"/>
      <c r="B12" s="374" t="s">
        <v>211</v>
      </c>
      <c r="C12" s="384"/>
      <c r="D12" s="384"/>
      <c r="E12" s="384"/>
      <c r="F12" s="384"/>
      <c r="G12" s="384"/>
      <c r="H12" s="385" t="s">
        <v>212</v>
      </c>
      <c r="I12" s="386"/>
      <c r="J12" s="384"/>
      <c r="K12" s="387">
        <f ca="1">SQRT(K11)</f>
        <v>2.8869775728082595E-2</v>
      </c>
      <c r="L12" s="388"/>
      <c r="M12" s="402"/>
      <c r="N12" s="374"/>
      <c r="O12" s="384"/>
      <c r="P12" s="384"/>
      <c r="Q12" s="384"/>
      <c r="R12" s="384"/>
      <c r="S12" s="384"/>
      <c r="T12" s="385"/>
      <c r="U12" s="386"/>
      <c r="V12" s="384"/>
      <c r="W12" s="387"/>
      <c r="X12" s="388"/>
      <c r="Y12" s="402"/>
    </row>
    <row r="13" spans="1:25" ht="16.5" x14ac:dyDescent="0.4">
      <c r="A13" s="402"/>
      <c r="B13" s="374" t="s">
        <v>213</v>
      </c>
      <c r="C13" s="384"/>
      <c r="D13" s="384"/>
      <c r="E13" s="384"/>
      <c r="F13" s="384"/>
      <c r="G13" s="384"/>
      <c r="H13" s="389" t="s">
        <v>214</v>
      </c>
      <c r="I13" s="390"/>
      <c r="J13" s="384"/>
      <c r="K13" s="375">
        <f ca="1">K12^4/L11</f>
        <v>50.015674346865673</v>
      </c>
      <c r="L13" s="388"/>
      <c r="M13" s="402"/>
      <c r="N13" s="374"/>
      <c r="O13" s="384"/>
      <c r="P13" s="384"/>
      <c r="Q13" s="384"/>
      <c r="R13" s="384"/>
      <c r="S13" s="384"/>
      <c r="T13" s="389"/>
      <c r="U13" s="390"/>
      <c r="V13" s="384"/>
      <c r="W13" s="375"/>
      <c r="X13" s="388"/>
      <c r="Y13" s="402"/>
    </row>
    <row r="14" spans="1:25" x14ac:dyDescent="0.35">
      <c r="A14" s="402"/>
      <c r="B14" s="374" t="s">
        <v>215</v>
      </c>
      <c r="C14" s="384"/>
      <c r="D14" s="384"/>
      <c r="E14" s="384"/>
      <c r="F14" s="384"/>
      <c r="G14" s="384"/>
      <c r="H14" s="391" t="s">
        <v>216</v>
      </c>
      <c r="I14" s="392"/>
      <c r="J14" s="384"/>
      <c r="K14" s="377">
        <f ca="1">1.95996+(2.37356/K13)+(2.818745/K13^2)+(2.546662/K13^3)+(1.761829/K13^4)+(0.245458/K13^5)+(1.000764/K13^6)</f>
        <v>2.0085637510184324</v>
      </c>
      <c r="L14" s="393">
        <f ca="1">TINV(0.05,K13)</f>
        <v>2.0085591121007611</v>
      </c>
      <c r="M14" s="402"/>
      <c r="N14" s="374"/>
      <c r="O14" s="384"/>
      <c r="P14" s="384"/>
      <c r="Q14" s="384"/>
      <c r="R14" s="384"/>
      <c r="S14" s="384"/>
      <c r="T14" s="391"/>
      <c r="U14" s="392"/>
      <c r="V14" s="384"/>
      <c r="W14" s="377"/>
      <c r="X14" s="393"/>
      <c r="Y14" s="402"/>
    </row>
    <row r="15" spans="1:25" ht="15.5" x14ac:dyDescent="0.35">
      <c r="A15" s="402"/>
      <c r="B15" s="374" t="s">
        <v>217</v>
      </c>
      <c r="C15" s="384"/>
      <c r="D15" s="384"/>
      <c r="E15" s="384"/>
      <c r="F15" s="384"/>
      <c r="G15" s="384"/>
      <c r="H15" s="394" t="s">
        <v>218</v>
      </c>
      <c r="I15" s="395"/>
      <c r="J15" s="384"/>
      <c r="K15" s="398">
        <f ca="1">K14*K12</f>
        <v>5.7986785027458472E-2</v>
      </c>
      <c r="L15" s="19" t="str">
        <f>D5</f>
        <v>Volt</v>
      </c>
      <c r="M15" s="402"/>
      <c r="N15" s="374"/>
      <c r="O15" s="384"/>
      <c r="P15" s="384"/>
      <c r="Q15" s="384"/>
      <c r="R15" s="384"/>
      <c r="S15" s="384"/>
      <c r="T15" s="394"/>
      <c r="U15" s="395"/>
      <c r="V15" s="384"/>
      <c r="W15" s="398"/>
      <c r="X15" s="19"/>
      <c r="Y15" s="402"/>
    </row>
    <row r="16" spans="1:25" x14ac:dyDescent="0.35">
      <c r="A16" s="402"/>
      <c r="B16" s="396"/>
      <c r="C16" s="396"/>
      <c r="D16" s="396"/>
      <c r="E16" s="396"/>
      <c r="F16" s="396"/>
      <c r="G16" s="396"/>
      <c r="H16" s="396"/>
      <c r="I16" s="396"/>
      <c r="J16" s="396"/>
      <c r="K16" s="388">
        <f ca="1">(K15/C5)*100</f>
        <v>0.11597357005491696</v>
      </c>
      <c r="L16" s="19" t="s">
        <v>219</v>
      </c>
      <c r="M16" s="402"/>
      <c r="N16" s="396"/>
      <c r="O16" s="396"/>
      <c r="P16" s="396"/>
      <c r="Q16" s="396"/>
      <c r="R16" s="396"/>
      <c r="S16" s="396"/>
      <c r="T16" s="396"/>
      <c r="U16" s="396"/>
      <c r="V16" s="396"/>
      <c r="W16" s="388"/>
      <c r="X16" s="19"/>
      <c r="Y16" s="402"/>
    </row>
    <row r="17" spans="1:25" x14ac:dyDescent="0.35">
      <c r="A17" s="402"/>
      <c r="B17" s="396" t="s">
        <v>193</v>
      </c>
      <c r="C17" s="77">
        <f>'Sert Time Electronics'!D124</f>
        <v>100</v>
      </c>
      <c r="D17" s="397" t="s">
        <v>179</v>
      </c>
      <c r="M17" s="402"/>
      <c r="N17" s="396"/>
      <c r="O17" s="77"/>
      <c r="P17" s="397"/>
      <c r="Y17" s="402"/>
    </row>
    <row r="18" spans="1:25" x14ac:dyDescent="0.35">
      <c r="A18" s="402"/>
      <c r="B18" s="372" t="s">
        <v>194</v>
      </c>
      <c r="C18" s="373" t="s">
        <v>72</v>
      </c>
      <c r="D18" s="373" t="s">
        <v>195</v>
      </c>
      <c r="E18" s="372" t="s">
        <v>196</v>
      </c>
      <c r="F18" s="372" t="s">
        <v>197</v>
      </c>
      <c r="G18" s="372" t="s">
        <v>198</v>
      </c>
      <c r="H18" s="372" t="s">
        <v>199</v>
      </c>
      <c r="I18" s="372" t="s">
        <v>200</v>
      </c>
      <c r="J18" s="372" t="s">
        <v>201</v>
      </c>
      <c r="K18" s="372" t="s">
        <v>202</v>
      </c>
      <c r="L18" s="373" t="s">
        <v>203</v>
      </c>
      <c r="M18" s="402"/>
      <c r="N18" s="372"/>
      <c r="O18" s="373"/>
      <c r="P18" s="373"/>
      <c r="Q18" s="372"/>
      <c r="R18" s="372"/>
      <c r="S18" s="372"/>
      <c r="T18" s="372"/>
      <c r="U18" s="372"/>
      <c r="V18" s="372"/>
      <c r="W18" s="372"/>
      <c r="X18" s="373"/>
      <c r="Y18" s="402"/>
    </row>
    <row r="19" spans="1:25" x14ac:dyDescent="0.35">
      <c r="A19" s="402"/>
      <c r="B19" s="374" t="s">
        <v>204</v>
      </c>
      <c r="C19" s="19" t="str">
        <f>D17</f>
        <v>Volt</v>
      </c>
      <c r="D19" s="375" t="s">
        <v>205</v>
      </c>
      <c r="E19" s="376">
        <f>'Sert Time Electronics'!J124</f>
        <v>1.0000000000000001E-5</v>
      </c>
      <c r="F19" s="377">
        <f>SQRT(5)</f>
        <v>2.2360679774997898</v>
      </c>
      <c r="G19" s="375">
        <f>5-1</f>
        <v>4</v>
      </c>
      <c r="H19" s="377">
        <f>E19/F19</f>
        <v>4.4721359549995799E-6</v>
      </c>
      <c r="I19" s="375">
        <v>1</v>
      </c>
      <c r="J19" s="377">
        <f>H19*I19</f>
        <v>4.4721359549995799E-6</v>
      </c>
      <c r="K19" s="378">
        <f>J19^2</f>
        <v>2.0000000000000005E-11</v>
      </c>
      <c r="L19" s="379">
        <f>K19^2/G19</f>
        <v>1.0000000000000005E-22</v>
      </c>
      <c r="M19" s="402"/>
      <c r="N19" s="374"/>
      <c r="O19" s="19"/>
      <c r="P19" s="375"/>
      <c r="Q19" s="376"/>
      <c r="R19" s="377"/>
      <c r="S19" s="375"/>
      <c r="T19" s="377"/>
      <c r="U19" s="375"/>
      <c r="V19" s="377"/>
      <c r="W19" s="378"/>
      <c r="X19" s="379"/>
      <c r="Y19" s="402"/>
    </row>
    <row r="20" spans="1:25" x14ac:dyDescent="0.35">
      <c r="A20" s="402"/>
      <c r="B20" s="380" t="s">
        <v>206</v>
      </c>
      <c r="C20" s="19" t="str">
        <f>C19</f>
        <v>Volt</v>
      </c>
      <c r="D20" s="375" t="s">
        <v>205</v>
      </c>
      <c r="E20" s="381">
        <f ca="1">'Sert Time Electronics'!M124</f>
        <v>1.2535279197775587E-3</v>
      </c>
      <c r="F20" s="377">
        <v>2</v>
      </c>
      <c r="G20" s="375">
        <f>0.5*(100/10)^2</f>
        <v>50</v>
      </c>
      <c r="H20" s="377">
        <f ca="1">E20/F20</f>
        <v>6.2676395988877937E-4</v>
      </c>
      <c r="I20" s="375">
        <v>1</v>
      </c>
      <c r="J20" s="377">
        <f ca="1">H20*I20</f>
        <v>6.2676395988877937E-4</v>
      </c>
      <c r="K20" s="378">
        <f ca="1">J20^2</f>
        <v>3.9283306141546346E-7</v>
      </c>
      <c r="L20" s="379">
        <f ca="1">K20^2/G20</f>
        <v>3.0863562828209061E-15</v>
      </c>
      <c r="M20" s="402"/>
      <c r="N20" s="380"/>
      <c r="O20" s="19"/>
      <c r="P20" s="375"/>
      <c r="Q20" s="381"/>
      <c r="R20" s="377"/>
      <c r="S20" s="375"/>
      <c r="T20" s="377"/>
      <c r="U20" s="375"/>
      <c r="V20" s="377"/>
      <c r="W20" s="378"/>
      <c r="X20" s="379"/>
      <c r="Y20" s="402"/>
    </row>
    <row r="21" spans="1:25" x14ac:dyDescent="0.35">
      <c r="A21" s="402"/>
      <c r="B21" s="380" t="s">
        <v>207</v>
      </c>
      <c r="C21" s="19" t="str">
        <f>C20</f>
        <v>Volt</v>
      </c>
      <c r="D21" s="375" t="s">
        <v>208</v>
      </c>
      <c r="E21" s="382">
        <f>'Sert Time Electronics'!K124</f>
        <v>0.05</v>
      </c>
      <c r="F21" s="377">
        <f>SQRT(3)</f>
        <v>1.7320508075688772</v>
      </c>
      <c r="G21" s="375">
        <v>50</v>
      </c>
      <c r="H21" s="377">
        <f>E21/F21</f>
        <v>2.8867513459481291E-2</v>
      </c>
      <c r="I21" s="375">
        <v>1</v>
      </c>
      <c r="J21" s="377">
        <f>H21*I21</f>
        <v>2.8867513459481291E-2</v>
      </c>
      <c r="K21" s="378">
        <f>J21^2</f>
        <v>8.333333333333335E-4</v>
      </c>
      <c r="L21" s="379">
        <f>K21^2/G21</f>
        <v>1.3888888888888894E-8</v>
      </c>
      <c r="M21" s="402"/>
      <c r="N21" s="380"/>
      <c r="O21" s="19"/>
      <c r="P21" s="375"/>
      <c r="Q21" s="382"/>
      <c r="R21" s="377"/>
      <c r="S21" s="375"/>
      <c r="T21" s="377"/>
      <c r="U21" s="375"/>
      <c r="V21" s="377"/>
      <c r="W21" s="378"/>
      <c r="X21" s="379"/>
      <c r="Y21" s="402"/>
    </row>
    <row r="22" spans="1:25" x14ac:dyDescent="0.35">
      <c r="A22" s="402"/>
      <c r="B22" s="383" t="s">
        <v>209</v>
      </c>
      <c r="C22" s="19" t="str">
        <f>C21</f>
        <v>Volt</v>
      </c>
      <c r="D22" s="375" t="s">
        <v>208</v>
      </c>
      <c r="E22" s="381">
        <f ca="1">'Sert Time Electronics'!L124</f>
        <v>4.1784263992585295E-4</v>
      </c>
      <c r="F22" s="377">
        <f>SQRT(3)</f>
        <v>1.7320508075688772</v>
      </c>
      <c r="G22" s="375">
        <v>50</v>
      </c>
      <c r="H22" s="377">
        <f ca="1">E22/F22</f>
        <v>2.4124156064009509E-4</v>
      </c>
      <c r="I22" s="375">
        <v>1</v>
      </c>
      <c r="J22" s="377">
        <f ca="1">H22*I22</f>
        <v>2.4124156064009509E-4</v>
      </c>
      <c r="K22" s="378">
        <f ca="1">J22^2</f>
        <v>5.8197490580068675E-8</v>
      </c>
      <c r="L22" s="379">
        <f ca="1">K22^2/G22</f>
        <v>6.7738958196343639E-17</v>
      </c>
      <c r="M22" s="402"/>
      <c r="N22" s="383"/>
      <c r="O22" s="19"/>
      <c r="P22" s="375"/>
      <c r="Q22" s="381"/>
      <c r="R22" s="377"/>
      <c r="S22" s="375"/>
      <c r="T22" s="377"/>
      <c r="U22" s="375"/>
      <c r="V22" s="377"/>
      <c r="W22" s="378"/>
      <c r="X22" s="379"/>
      <c r="Y22" s="402"/>
    </row>
    <row r="23" spans="1:25" x14ac:dyDescent="0.35">
      <c r="A23" s="402"/>
      <c r="B23" s="374" t="s">
        <v>210</v>
      </c>
      <c r="C23" s="384"/>
      <c r="D23" s="384"/>
      <c r="E23" s="384"/>
      <c r="F23" s="384"/>
      <c r="G23" s="384"/>
      <c r="H23" s="384"/>
      <c r="I23" s="384"/>
      <c r="J23" s="384"/>
      <c r="K23" s="434">
        <f ca="1">SUM(K19:K22)</f>
        <v>8.3378438388532897E-4</v>
      </c>
      <c r="L23" s="379">
        <f ca="1">SUM(L19:L22)</f>
        <v>1.3888892042984235E-8</v>
      </c>
      <c r="M23" s="402"/>
      <c r="N23" s="374"/>
      <c r="O23" s="384"/>
      <c r="P23" s="384"/>
      <c r="Q23" s="384"/>
      <c r="R23" s="384"/>
      <c r="S23" s="384"/>
      <c r="T23" s="384"/>
      <c r="U23" s="384"/>
      <c r="V23" s="384"/>
      <c r="W23" s="434"/>
      <c r="X23" s="379"/>
      <c r="Y23" s="402"/>
    </row>
    <row r="24" spans="1:25" ht="15" x14ac:dyDescent="0.4">
      <c r="A24" s="402"/>
      <c r="B24" s="374" t="s">
        <v>211</v>
      </c>
      <c r="C24" s="384"/>
      <c r="D24" s="384"/>
      <c r="E24" s="384"/>
      <c r="F24" s="384"/>
      <c r="G24" s="384"/>
      <c r="H24" s="385" t="s">
        <v>212</v>
      </c>
      <c r="I24" s="386"/>
      <c r="J24" s="384"/>
      <c r="K24" s="387">
        <f ca="1">SQRT(K23)</f>
        <v>2.8875324827356125E-2</v>
      </c>
      <c r="L24" s="388"/>
      <c r="M24" s="402"/>
      <c r="N24" s="374"/>
      <c r="O24" s="384"/>
      <c r="P24" s="384"/>
      <c r="Q24" s="384"/>
      <c r="R24" s="384"/>
      <c r="S24" s="384"/>
      <c r="T24" s="385"/>
      <c r="U24" s="386"/>
      <c r="V24" s="384"/>
      <c r="W24" s="387"/>
      <c r="X24" s="388"/>
      <c r="Y24" s="402"/>
    </row>
    <row r="25" spans="1:25" ht="16.5" x14ac:dyDescent="0.4">
      <c r="A25" s="402"/>
      <c r="B25" s="374" t="s">
        <v>213</v>
      </c>
      <c r="C25" s="384"/>
      <c r="D25" s="384"/>
      <c r="E25" s="384"/>
      <c r="F25" s="384"/>
      <c r="G25" s="384"/>
      <c r="H25" s="389" t="s">
        <v>214</v>
      </c>
      <c r="I25" s="390"/>
      <c r="J25" s="384"/>
      <c r="K25" s="375">
        <f ca="1">K24^4/L23</f>
        <v>50.05412934735898</v>
      </c>
      <c r="L25" s="388"/>
      <c r="M25" s="402"/>
      <c r="N25" s="374"/>
      <c r="O25" s="384"/>
      <c r="P25" s="384"/>
      <c r="Q25" s="384"/>
      <c r="R25" s="384"/>
      <c r="S25" s="384"/>
      <c r="T25" s="389"/>
      <c r="U25" s="390"/>
      <c r="V25" s="384"/>
      <c r="W25" s="375"/>
      <c r="X25" s="388"/>
      <c r="Y25" s="402"/>
    </row>
    <row r="26" spans="1:25" x14ac:dyDescent="0.35">
      <c r="A26" s="402"/>
      <c r="B26" s="374" t="s">
        <v>215</v>
      </c>
      <c r="C26" s="384"/>
      <c r="D26" s="384"/>
      <c r="E26" s="384"/>
      <c r="F26" s="384"/>
      <c r="G26" s="384"/>
      <c r="H26" s="391" t="s">
        <v>216</v>
      </c>
      <c r="I26" s="392"/>
      <c r="J26" s="384"/>
      <c r="K26" s="377">
        <f ca="1">1.95996+(2.37356/K25)+(2.818745/K25^2)+(2.546662/K25^3)+(1.761829/K25^4)+(0.245458/K25^5)+(1.000764/K25^6)</f>
        <v>2.0085255133951656</v>
      </c>
      <c r="L26" s="393">
        <f ca="1">TINV(0.05,K25)</f>
        <v>2.0085591121007611</v>
      </c>
      <c r="M26" s="402"/>
      <c r="N26" s="374"/>
      <c r="O26" s="384"/>
      <c r="P26" s="384"/>
      <c r="Q26" s="384"/>
      <c r="R26" s="384"/>
      <c r="S26" s="384"/>
      <c r="T26" s="391"/>
      <c r="U26" s="392"/>
      <c r="V26" s="384"/>
      <c r="W26" s="377"/>
      <c r="X26" s="393"/>
      <c r="Y26" s="402"/>
    </row>
    <row r="27" spans="1:25" ht="15.5" x14ac:dyDescent="0.35">
      <c r="A27" s="402"/>
      <c r="B27" s="374" t="s">
        <v>217</v>
      </c>
      <c r="C27" s="384"/>
      <c r="D27" s="384"/>
      <c r="E27" s="384"/>
      <c r="F27" s="384"/>
      <c r="G27" s="384"/>
      <c r="H27" s="394" t="s">
        <v>218</v>
      </c>
      <c r="I27" s="395"/>
      <c r="J27" s="384"/>
      <c r="K27" s="398">
        <f ca="1">K26*K24</f>
        <v>5.7996826623317635E-2</v>
      </c>
      <c r="L27" s="19" t="str">
        <f>D17</f>
        <v>Volt</v>
      </c>
      <c r="M27" s="402"/>
      <c r="N27" s="374"/>
      <c r="O27" s="384"/>
      <c r="P27" s="384"/>
      <c r="Q27" s="384"/>
      <c r="R27" s="384"/>
      <c r="S27" s="384"/>
      <c r="T27" s="394"/>
      <c r="U27" s="395"/>
      <c r="V27" s="384"/>
      <c r="W27" s="398"/>
      <c r="X27" s="19"/>
      <c r="Y27" s="402"/>
    </row>
    <row r="28" spans="1:25" x14ac:dyDescent="0.35">
      <c r="A28" s="402"/>
      <c r="B28" s="396"/>
      <c r="C28" s="396"/>
      <c r="D28" s="396"/>
      <c r="E28" s="396"/>
      <c r="F28" s="396"/>
      <c r="G28" s="396"/>
      <c r="H28" s="396"/>
      <c r="I28" s="396"/>
      <c r="J28" s="396"/>
      <c r="K28" s="388">
        <f ca="1">(K27/C17)*100</f>
        <v>5.7996826623317642E-2</v>
      </c>
      <c r="L28" s="19" t="s">
        <v>219</v>
      </c>
      <c r="M28" s="402"/>
      <c r="N28" s="396"/>
      <c r="O28" s="396"/>
      <c r="P28" s="396"/>
      <c r="Q28" s="396"/>
      <c r="R28" s="396"/>
      <c r="S28" s="396"/>
      <c r="T28" s="396"/>
      <c r="U28" s="396"/>
      <c r="V28" s="396"/>
      <c r="W28" s="388"/>
      <c r="X28" s="19"/>
      <c r="Y28" s="402"/>
    </row>
    <row r="29" spans="1:25" x14ac:dyDescent="0.35">
      <c r="A29" s="402"/>
      <c r="B29" s="396" t="s">
        <v>193</v>
      </c>
      <c r="C29" s="77">
        <f>'Sert Time Electronics'!D125</f>
        <v>120</v>
      </c>
      <c r="D29" s="397" t="s">
        <v>179</v>
      </c>
      <c r="M29" s="402"/>
      <c r="N29" s="396"/>
      <c r="O29" s="77"/>
      <c r="P29" s="397"/>
      <c r="Y29" s="402"/>
    </row>
    <row r="30" spans="1:25" x14ac:dyDescent="0.35">
      <c r="A30" s="402"/>
      <c r="B30" s="372" t="s">
        <v>194</v>
      </c>
      <c r="C30" s="373" t="s">
        <v>72</v>
      </c>
      <c r="D30" s="373" t="s">
        <v>195</v>
      </c>
      <c r="E30" s="372" t="s">
        <v>196</v>
      </c>
      <c r="F30" s="372" t="s">
        <v>197</v>
      </c>
      <c r="G30" s="372" t="s">
        <v>198</v>
      </c>
      <c r="H30" s="372" t="s">
        <v>199</v>
      </c>
      <c r="I30" s="372" t="s">
        <v>200</v>
      </c>
      <c r="J30" s="372" t="s">
        <v>201</v>
      </c>
      <c r="K30" s="372" t="s">
        <v>202</v>
      </c>
      <c r="L30" s="373" t="s">
        <v>203</v>
      </c>
      <c r="M30" s="402"/>
      <c r="N30" s="372"/>
      <c r="O30" s="373"/>
      <c r="P30" s="373"/>
      <c r="Q30" s="372"/>
      <c r="R30" s="372"/>
      <c r="S30" s="372"/>
      <c r="T30" s="372"/>
      <c r="U30" s="372"/>
      <c r="V30" s="372"/>
      <c r="W30" s="372"/>
      <c r="X30" s="373"/>
      <c r="Y30" s="402"/>
    </row>
    <row r="31" spans="1:25" x14ac:dyDescent="0.35">
      <c r="A31" s="402"/>
      <c r="B31" s="374" t="s">
        <v>204</v>
      </c>
      <c r="C31" s="19" t="str">
        <f>D29</f>
        <v>Volt</v>
      </c>
      <c r="D31" s="375" t="s">
        <v>205</v>
      </c>
      <c r="E31" s="376">
        <f>'Sert Time Electronics'!J125</f>
        <v>1.0000000000000001E-5</v>
      </c>
      <c r="F31" s="377">
        <f>SQRT(5)</f>
        <v>2.2360679774997898</v>
      </c>
      <c r="G31" s="375">
        <f>5-1</f>
        <v>4</v>
      </c>
      <c r="H31" s="377">
        <f>E31/F31</f>
        <v>4.4721359549995799E-6</v>
      </c>
      <c r="I31" s="375">
        <v>1</v>
      </c>
      <c r="J31" s="377">
        <f>H31*I31</f>
        <v>4.4721359549995799E-6</v>
      </c>
      <c r="K31" s="378">
        <f>J31^2</f>
        <v>2.0000000000000005E-11</v>
      </c>
      <c r="L31" s="379">
        <f>K31^2/G31</f>
        <v>1.0000000000000005E-22</v>
      </c>
      <c r="M31" s="402"/>
      <c r="N31" s="374"/>
      <c r="O31" s="19"/>
      <c r="P31" s="375"/>
      <c r="Q31" s="376"/>
      <c r="R31" s="377"/>
      <c r="S31" s="375"/>
      <c r="T31" s="377"/>
      <c r="U31" s="375"/>
      <c r="V31" s="377"/>
      <c r="W31" s="378"/>
      <c r="X31" s="379"/>
      <c r="Y31" s="402"/>
    </row>
    <row r="32" spans="1:25" x14ac:dyDescent="0.35">
      <c r="A32" s="402"/>
      <c r="B32" s="380" t="s">
        <v>206</v>
      </c>
      <c r="C32" s="19" t="str">
        <f>C31</f>
        <v>Volt</v>
      </c>
      <c r="D32" s="375" t="s">
        <v>205</v>
      </c>
      <c r="E32" s="381">
        <f ca="1">'Sert Time Electronics'!M125</f>
        <v>1.4851290833595983E-3</v>
      </c>
      <c r="F32" s="377">
        <v>2</v>
      </c>
      <c r="G32" s="375">
        <f>0.5*(100/10)^2</f>
        <v>50</v>
      </c>
      <c r="H32" s="377">
        <f ca="1">E32/F32</f>
        <v>7.4256454167979913E-4</v>
      </c>
      <c r="I32" s="375">
        <v>1</v>
      </c>
      <c r="J32" s="377">
        <f ca="1">H32*I32</f>
        <v>7.4256454167979913E-4</v>
      </c>
      <c r="K32" s="378">
        <f ca="1">J32^2</f>
        <v>5.514020985601302E-7</v>
      </c>
      <c r="L32" s="379">
        <f ca="1">K32^2/G32</f>
        <v>6.0808854859303109E-15</v>
      </c>
      <c r="M32" s="402"/>
      <c r="N32" s="380"/>
      <c r="O32" s="19"/>
      <c r="P32" s="375"/>
      <c r="Q32" s="381"/>
      <c r="R32" s="377"/>
      <c r="S32" s="375"/>
      <c r="T32" s="377"/>
      <c r="U32" s="375"/>
      <c r="V32" s="377"/>
      <c r="W32" s="378"/>
      <c r="X32" s="379"/>
      <c r="Y32" s="402"/>
    </row>
    <row r="33" spans="1:25" x14ac:dyDescent="0.35">
      <c r="A33" s="402"/>
      <c r="B33" s="380" t="s">
        <v>207</v>
      </c>
      <c r="C33" s="19" t="str">
        <f>C32</f>
        <v>Volt</v>
      </c>
      <c r="D33" s="375" t="s">
        <v>208</v>
      </c>
      <c r="E33" s="382">
        <f>'Sert Time Electronics'!K125</f>
        <v>0.05</v>
      </c>
      <c r="F33" s="377">
        <f>SQRT(3)</f>
        <v>1.7320508075688772</v>
      </c>
      <c r="G33" s="375">
        <v>50</v>
      </c>
      <c r="H33" s="377">
        <f>E33/F33</f>
        <v>2.8867513459481291E-2</v>
      </c>
      <c r="I33" s="375">
        <v>1</v>
      </c>
      <c r="J33" s="377">
        <f>H33*I33</f>
        <v>2.8867513459481291E-2</v>
      </c>
      <c r="K33" s="378">
        <f>J33^2</f>
        <v>8.333333333333335E-4</v>
      </c>
      <c r="L33" s="379">
        <f>K33^2/G33</f>
        <v>1.3888888888888894E-8</v>
      </c>
      <c r="M33" s="402"/>
      <c r="N33" s="380"/>
      <c r="O33" s="19"/>
      <c r="P33" s="375"/>
      <c r="Q33" s="382"/>
      <c r="R33" s="377"/>
      <c r="S33" s="375"/>
      <c r="T33" s="377"/>
      <c r="U33" s="375"/>
      <c r="V33" s="377"/>
      <c r="W33" s="378"/>
      <c r="X33" s="379"/>
      <c r="Y33" s="402"/>
    </row>
    <row r="34" spans="1:25" x14ac:dyDescent="0.35">
      <c r="A34" s="402"/>
      <c r="B34" s="383" t="s">
        <v>209</v>
      </c>
      <c r="C34" s="19" t="str">
        <f>C33</f>
        <v>Volt</v>
      </c>
      <c r="D34" s="375" t="s">
        <v>208</v>
      </c>
      <c r="E34" s="381">
        <f ca="1">'Sert Time Electronics'!L125</f>
        <v>4.9504302778653276E-4</v>
      </c>
      <c r="F34" s="377">
        <f>SQRT(3)</f>
        <v>1.7320508075688772</v>
      </c>
      <c r="G34" s="375">
        <v>50</v>
      </c>
      <c r="H34" s="377">
        <f ca="1">E34/F34</f>
        <v>2.858132253530021E-4</v>
      </c>
      <c r="I34" s="375">
        <v>1</v>
      </c>
      <c r="J34" s="377">
        <f ca="1">H34*I34</f>
        <v>2.858132253530021E-4</v>
      </c>
      <c r="K34" s="378">
        <f ca="1">J34^2</f>
        <v>8.1689199786685958E-8</v>
      </c>
      <c r="L34" s="379">
        <f ca="1">K34^2/G34</f>
        <v>1.3346250723578186E-16</v>
      </c>
      <c r="M34" s="402"/>
      <c r="N34" s="383"/>
      <c r="O34" s="19"/>
      <c r="P34" s="375"/>
      <c r="Q34" s="381"/>
      <c r="R34" s="377"/>
      <c r="S34" s="375"/>
      <c r="T34" s="377"/>
      <c r="U34" s="375"/>
      <c r="V34" s="377"/>
      <c r="W34" s="378"/>
      <c r="X34" s="379"/>
      <c r="Y34" s="402"/>
    </row>
    <row r="35" spans="1:25" x14ac:dyDescent="0.35">
      <c r="A35" s="402"/>
      <c r="B35" s="374" t="s">
        <v>210</v>
      </c>
      <c r="C35" s="384"/>
      <c r="D35" s="384"/>
      <c r="E35" s="384"/>
      <c r="F35" s="384"/>
      <c r="G35" s="384"/>
      <c r="H35" s="384"/>
      <c r="I35" s="384"/>
      <c r="J35" s="384"/>
      <c r="K35" s="434">
        <f ca="1">SUM(K31:K34)</f>
        <v>8.3396644463168033E-4</v>
      </c>
      <c r="L35" s="379">
        <f ca="1">SUM(L31:L34)</f>
        <v>1.3888895103236985E-8</v>
      </c>
      <c r="M35" s="402"/>
      <c r="N35" s="374"/>
      <c r="O35" s="384"/>
      <c r="P35" s="384"/>
      <c r="Q35" s="384"/>
      <c r="R35" s="384"/>
      <c r="S35" s="384"/>
      <c r="T35" s="384"/>
      <c r="U35" s="384"/>
      <c r="V35" s="384"/>
      <c r="W35" s="434"/>
      <c r="X35" s="379"/>
      <c r="Y35" s="402"/>
    </row>
    <row r="36" spans="1:25" ht="15" x14ac:dyDescent="0.4">
      <c r="A36" s="402"/>
      <c r="B36" s="374" t="s">
        <v>211</v>
      </c>
      <c r="C36" s="384"/>
      <c r="D36" s="384"/>
      <c r="E36" s="384"/>
      <c r="F36" s="384"/>
      <c r="G36" s="384"/>
      <c r="H36" s="385" t="s">
        <v>212</v>
      </c>
      <c r="I36" s="386"/>
      <c r="J36" s="384"/>
      <c r="K36" s="387">
        <f ca="1">SQRT(K35)</f>
        <v>2.887847718685458E-2</v>
      </c>
      <c r="L36" s="388"/>
      <c r="M36" s="402"/>
      <c r="N36" s="374"/>
      <c r="O36" s="384"/>
      <c r="P36" s="384"/>
      <c r="Q36" s="384"/>
      <c r="R36" s="384"/>
      <c r="S36" s="384"/>
      <c r="T36" s="385"/>
      <c r="U36" s="386"/>
      <c r="V36" s="384"/>
      <c r="W36" s="387"/>
      <c r="X36" s="388"/>
      <c r="Y36" s="402"/>
    </row>
    <row r="37" spans="1:25" ht="16.5" x14ac:dyDescent="0.4">
      <c r="A37" s="402"/>
      <c r="B37" s="374" t="s">
        <v>213</v>
      </c>
      <c r="C37" s="384"/>
      <c r="D37" s="384"/>
      <c r="E37" s="384"/>
      <c r="F37" s="384"/>
      <c r="G37" s="384"/>
      <c r="H37" s="389" t="s">
        <v>214</v>
      </c>
      <c r="I37" s="390"/>
      <c r="J37" s="384"/>
      <c r="K37" s="375">
        <f ca="1">K36^4/L35</f>
        <v>50.075979809906585</v>
      </c>
      <c r="L37" s="388"/>
      <c r="M37" s="402"/>
      <c r="N37" s="374"/>
      <c r="O37" s="384"/>
      <c r="P37" s="384"/>
      <c r="Q37" s="384"/>
      <c r="R37" s="384"/>
      <c r="S37" s="384"/>
      <c r="T37" s="389"/>
      <c r="U37" s="390"/>
      <c r="V37" s="384"/>
      <c r="W37" s="375"/>
      <c r="X37" s="388"/>
      <c r="Y37" s="402"/>
    </row>
    <row r="38" spans="1:25" x14ac:dyDescent="0.35">
      <c r="A38" s="402"/>
      <c r="B38" s="374" t="s">
        <v>215</v>
      </c>
      <c r="C38" s="384"/>
      <c r="D38" s="384"/>
      <c r="E38" s="384"/>
      <c r="F38" s="384"/>
      <c r="G38" s="384"/>
      <c r="H38" s="391" t="s">
        <v>216</v>
      </c>
      <c r="I38" s="392"/>
      <c r="J38" s="384"/>
      <c r="K38" s="377">
        <f ca="1">1.95996+(2.37356/K37)+(2.818745/K37^2)+(2.546662/K37^3)+(1.761829/K37^4)+(0.245458/K37^5)+(1.000764/K37^6)</f>
        <v>2.0085038132381285</v>
      </c>
      <c r="L38" s="393">
        <f ca="1">TINV(0.05,K37)</f>
        <v>2.0085591121007611</v>
      </c>
      <c r="M38" s="402"/>
      <c r="N38" s="374"/>
      <c r="O38" s="384"/>
      <c r="P38" s="384"/>
      <c r="Q38" s="384"/>
      <c r="R38" s="384"/>
      <c r="S38" s="384"/>
      <c r="T38" s="391"/>
      <c r="U38" s="392"/>
      <c r="V38" s="384"/>
      <c r="W38" s="377"/>
      <c r="X38" s="393"/>
      <c r="Y38" s="402"/>
    </row>
    <row r="39" spans="1:25" ht="15.5" x14ac:dyDescent="0.35">
      <c r="A39" s="402"/>
      <c r="B39" s="374" t="s">
        <v>217</v>
      </c>
      <c r="C39" s="384"/>
      <c r="D39" s="384"/>
      <c r="E39" s="384"/>
      <c r="F39" s="384"/>
      <c r="G39" s="384"/>
      <c r="H39" s="394" t="s">
        <v>218</v>
      </c>
      <c r="I39" s="395"/>
      <c r="J39" s="384"/>
      <c r="K39" s="398">
        <f ca="1">K38*K36</f>
        <v>5.8002531550307726E-2</v>
      </c>
      <c r="L39" s="19" t="str">
        <f>D29</f>
        <v>Volt</v>
      </c>
      <c r="M39" s="402"/>
      <c r="N39" s="374"/>
      <c r="O39" s="384"/>
      <c r="P39" s="384"/>
      <c r="Q39" s="384"/>
      <c r="R39" s="384"/>
      <c r="S39" s="384"/>
      <c r="T39" s="394"/>
      <c r="U39" s="395"/>
      <c r="V39" s="384"/>
      <c r="W39" s="398"/>
      <c r="X39" s="19"/>
      <c r="Y39" s="402"/>
    </row>
    <row r="40" spans="1:25" x14ac:dyDescent="0.35">
      <c r="A40" s="402"/>
      <c r="B40" s="396"/>
      <c r="C40" s="396"/>
      <c r="D40" s="396"/>
      <c r="E40" s="396"/>
      <c r="F40" s="396"/>
      <c r="G40" s="396"/>
      <c r="H40" s="396"/>
      <c r="I40" s="396"/>
      <c r="J40" s="396"/>
      <c r="K40" s="388">
        <f ca="1">(K39/C29)*100</f>
        <v>4.8335442958589769E-2</v>
      </c>
      <c r="L40" s="19" t="s">
        <v>219</v>
      </c>
      <c r="M40" s="402"/>
      <c r="N40" s="396"/>
      <c r="O40" s="396"/>
      <c r="P40" s="396"/>
      <c r="Q40" s="396"/>
      <c r="R40" s="396"/>
      <c r="S40" s="396"/>
      <c r="T40" s="396"/>
      <c r="U40" s="396"/>
      <c r="V40" s="396"/>
      <c r="W40" s="388"/>
      <c r="X40" s="19"/>
      <c r="Y40" s="402"/>
    </row>
    <row r="41" spans="1:25" x14ac:dyDescent="0.35">
      <c r="A41" s="402"/>
      <c r="B41" s="396" t="s">
        <v>193</v>
      </c>
      <c r="C41" s="77">
        <f>ID!D31</f>
        <v>200</v>
      </c>
      <c r="D41" s="397" t="s">
        <v>179</v>
      </c>
      <c r="M41" s="402"/>
      <c r="N41" s="396"/>
      <c r="O41" s="77"/>
      <c r="P41" s="397"/>
      <c r="Y41" s="402"/>
    </row>
    <row r="42" spans="1:25" x14ac:dyDescent="0.35">
      <c r="A42" s="402"/>
      <c r="B42" s="372" t="s">
        <v>194</v>
      </c>
      <c r="C42" s="373" t="s">
        <v>72</v>
      </c>
      <c r="D42" s="373" t="s">
        <v>195</v>
      </c>
      <c r="E42" s="372" t="s">
        <v>196</v>
      </c>
      <c r="F42" s="372" t="s">
        <v>197</v>
      </c>
      <c r="G42" s="372" t="s">
        <v>198</v>
      </c>
      <c r="H42" s="372" t="s">
        <v>199</v>
      </c>
      <c r="I42" s="372" t="s">
        <v>200</v>
      </c>
      <c r="J42" s="372" t="s">
        <v>201</v>
      </c>
      <c r="K42" s="372" t="s">
        <v>202</v>
      </c>
      <c r="L42" s="373" t="s">
        <v>203</v>
      </c>
      <c r="M42" s="402"/>
      <c r="N42" s="372"/>
      <c r="O42" s="373"/>
      <c r="P42" s="373"/>
      <c r="Q42" s="372"/>
      <c r="R42" s="372"/>
      <c r="S42" s="372"/>
      <c r="T42" s="372"/>
      <c r="U42" s="372"/>
      <c r="V42" s="372"/>
      <c r="W42" s="372"/>
      <c r="X42" s="373"/>
      <c r="Y42" s="402"/>
    </row>
    <row r="43" spans="1:25" x14ac:dyDescent="0.35">
      <c r="A43" s="402"/>
      <c r="B43" s="374" t="s">
        <v>204</v>
      </c>
      <c r="C43" s="19" t="str">
        <f>D41</f>
        <v>Volt</v>
      </c>
      <c r="D43" s="375" t="s">
        <v>205</v>
      </c>
      <c r="E43" s="376">
        <f>'Sert Time Electronics'!J126</f>
        <v>1.0000000000000001E-5</v>
      </c>
      <c r="F43" s="377">
        <f>SQRT(5)</f>
        <v>2.2360679774997898</v>
      </c>
      <c r="G43" s="375">
        <f>5-1</f>
        <v>4</v>
      </c>
      <c r="H43" s="377">
        <f>E43/F43</f>
        <v>4.4721359549995799E-6</v>
      </c>
      <c r="I43" s="375">
        <v>1</v>
      </c>
      <c r="J43" s="377">
        <f>H43*I43</f>
        <v>4.4721359549995799E-6</v>
      </c>
      <c r="K43" s="378">
        <f>J43^2</f>
        <v>2.0000000000000005E-11</v>
      </c>
      <c r="L43" s="379">
        <f>K43^2/G43</f>
        <v>1.0000000000000005E-22</v>
      </c>
      <c r="M43" s="402"/>
      <c r="N43" s="374"/>
      <c r="O43" s="19"/>
      <c r="P43" s="375"/>
      <c r="Q43" s="376"/>
      <c r="R43" s="377"/>
      <c r="S43" s="375"/>
      <c r="T43" s="377"/>
      <c r="U43" s="375"/>
      <c r="V43" s="377"/>
      <c r="W43" s="378"/>
      <c r="X43" s="379"/>
      <c r="Y43" s="402"/>
    </row>
    <row r="44" spans="1:25" x14ac:dyDescent="0.35">
      <c r="A44" s="402"/>
      <c r="B44" s="380" t="s">
        <v>206</v>
      </c>
      <c r="C44" s="19" t="str">
        <f>C43</f>
        <v>Volt</v>
      </c>
      <c r="D44" s="375" t="s">
        <v>205</v>
      </c>
      <c r="E44" s="381">
        <f ca="1">'Sert Time Electronics'!M126</f>
        <v>2.4257473351475423E-3</v>
      </c>
      <c r="F44" s="377">
        <v>2</v>
      </c>
      <c r="G44" s="375">
        <f>0.5*(100/10)^2</f>
        <v>50</v>
      </c>
      <c r="H44" s="377">
        <f ca="1">E44/F44</f>
        <v>1.2128736675737712E-3</v>
      </c>
      <c r="I44" s="375">
        <v>1</v>
      </c>
      <c r="J44" s="377">
        <f ca="1">H44*I44</f>
        <v>1.2128736675737712E-3</v>
      </c>
      <c r="K44" s="378">
        <f ca="1">J44^2</f>
        <v>1.4710625334938508E-6</v>
      </c>
      <c r="L44" s="379">
        <f ca="1">K44^2/G44</f>
        <v>4.3280499548986944E-14</v>
      </c>
      <c r="M44" s="402"/>
      <c r="N44" s="380"/>
      <c r="O44" s="19"/>
      <c r="P44" s="375"/>
      <c r="Q44" s="381"/>
      <c r="R44" s="377"/>
      <c r="S44" s="375"/>
      <c r="T44" s="377"/>
      <c r="U44" s="375"/>
      <c r="V44" s="377"/>
      <c r="W44" s="378"/>
      <c r="X44" s="379"/>
      <c r="Y44" s="402"/>
    </row>
    <row r="45" spans="1:25" x14ac:dyDescent="0.35">
      <c r="A45" s="402"/>
      <c r="B45" s="380" t="s">
        <v>207</v>
      </c>
      <c r="C45" s="19" t="str">
        <f>C44</f>
        <v>Volt</v>
      </c>
      <c r="D45" s="375" t="s">
        <v>208</v>
      </c>
      <c r="E45" s="382">
        <f>'Sert Time Electronics'!K126</f>
        <v>0.05</v>
      </c>
      <c r="F45" s="377">
        <f>SQRT(3)</f>
        <v>1.7320508075688772</v>
      </c>
      <c r="G45" s="375">
        <v>50</v>
      </c>
      <c r="H45" s="377">
        <f>E45/F45</f>
        <v>2.8867513459481291E-2</v>
      </c>
      <c r="I45" s="375">
        <v>1</v>
      </c>
      <c r="J45" s="377">
        <f>H45*I45</f>
        <v>2.8867513459481291E-2</v>
      </c>
      <c r="K45" s="378">
        <f>J45^2</f>
        <v>8.333333333333335E-4</v>
      </c>
      <c r="L45" s="379">
        <f>K45^2/G45</f>
        <v>1.3888888888888894E-8</v>
      </c>
      <c r="M45" s="402"/>
      <c r="N45" s="380"/>
      <c r="O45" s="19"/>
      <c r="P45" s="375"/>
      <c r="Q45" s="382"/>
      <c r="R45" s="377"/>
      <c r="S45" s="375"/>
      <c r="T45" s="377"/>
      <c r="U45" s="375"/>
      <c r="V45" s="377"/>
      <c r="W45" s="378"/>
      <c r="X45" s="379"/>
      <c r="Y45" s="402"/>
    </row>
    <row r="46" spans="1:25" x14ac:dyDescent="0.35">
      <c r="A46" s="402"/>
      <c r="B46" s="383" t="s">
        <v>209</v>
      </c>
      <c r="C46" s="19" t="str">
        <f>C45</f>
        <v>Volt</v>
      </c>
      <c r="D46" s="375" t="s">
        <v>208</v>
      </c>
      <c r="E46" s="381">
        <f ca="1">'Sert Time Electronics'!L126</f>
        <v>8.0858244504918128E-4</v>
      </c>
      <c r="F46" s="377">
        <f>SQRT(3)</f>
        <v>1.7320508075688772</v>
      </c>
      <c r="G46" s="375">
        <v>50</v>
      </c>
      <c r="H46" s="377">
        <f ca="1">E46/F46</f>
        <v>4.6683529231115063E-4</v>
      </c>
      <c r="I46" s="375">
        <v>1</v>
      </c>
      <c r="J46" s="377">
        <f ca="1">H46*I46</f>
        <v>4.6683529231115063E-4</v>
      </c>
      <c r="K46" s="378">
        <f ca="1">J46^2</f>
        <v>2.1793519014723746E-7</v>
      </c>
      <c r="L46" s="379">
        <f ca="1">K46^2/G46</f>
        <v>9.4991494209025104E-16</v>
      </c>
      <c r="M46" s="402"/>
      <c r="N46" s="383"/>
      <c r="O46" s="19"/>
      <c r="P46" s="375"/>
      <c r="Q46" s="381"/>
      <c r="R46" s="377"/>
      <c r="S46" s="375"/>
      <c r="T46" s="377"/>
      <c r="U46" s="375"/>
      <c r="V46" s="377"/>
      <c r="W46" s="378"/>
      <c r="X46" s="379"/>
      <c r="Y46" s="402"/>
    </row>
    <row r="47" spans="1:25" x14ac:dyDescent="0.35">
      <c r="A47" s="402"/>
      <c r="B47" s="374" t="s">
        <v>210</v>
      </c>
      <c r="C47" s="384"/>
      <c r="D47" s="384"/>
      <c r="E47" s="384"/>
      <c r="F47" s="384"/>
      <c r="G47" s="384"/>
      <c r="H47" s="384"/>
      <c r="I47" s="384"/>
      <c r="J47" s="384"/>
      <c r="K47" s="434">
        <f ca="1">SUM(K43:K46)</f>
        <v>8.3502235105697466E-4</v>
      </c>
      <c r="L47" s="379">
        <f ca="1">SUM(L43:L46)</f>
        <v>1.3888933119303485E-8</v>
      </c>
      <c r="M47" s="402"/>
      <c r="N47" s="374"/>
      <c r="O47" s="384"/>
      <c r="P47" s="384"/>
      <c r="Q47" s="384"/>
      <c r="R47" s="384"/>
      <c r="S47" s="384"/>
      <c r="T47" s="384"/>
      <c r="U47" s="384"/>
      <c r="V47" s="384"/>
      <c r="W47" s="434"/>
      <c r="X47" s="379"/>
      <c r="Y47" s="402"/>
    </row>
    <row r="48" spans="1:25" ht="15" x14ac:dyDescent="0.4">
      <c r="A48" s="402"/>
      <c r="B48" s="374" t="s">
        <v>211</v>
      </c>
      <c r="C48" s="384"/>
      <c r="D48" s="384"/>
      <c r="E48" s="384"/>
      <c r="F48" s="384"/>
      <c r="G48" s="384"/>
      <c r="H48" s="385" t="s">
        <v>212</v>
      </c>
      <c r="I48" s="386"/>
      <c r="J48" s="384"/>
      <c r="K48" s="387">
        <f ca="1">SQRT(K47)</f>
        <v>2.8896753296122641E-2</v>
      </c>
      <c r="L48" s="388"/>
      <c r="M48" s="402"/>
      <c r="N48" s="374"/>
      <c r="O48" s="384"/>
      <c r="P48" s="384"/>
      <c r="Q48" s="384"/>
      <c r="R48" s="384"/>
      <c r="S48" s="384"/>
      <c r="T48" s="385"/>
      <c r="U48" s="386"/>
      <c r="V48" s="384"/>
      <c r="W48" s="387"/>
      <c r="X48" s="388"/>
      <c r="Y48" s="402"/>
    </row>
    <row r="49" spans="1:25" ht="16.5" x14ac:dyDescent="0.4">
      <c r="A49" s="402"/>
      <c r="B49" s="374" t="s">
        <v>213</v>
      </c>
      <c r="C49" s="384"/>
      <c r="D49" s="384"/>
      <c r="E49" s="384"/>
      <c r="F49" s="384"/>
      <c r="G49" s="384"/>
      <c r="H49" s="389" t="s">
        <v>214</v>
      </c>
      <c r="I49" s="390"/>
      <c r="J49" s="384"/>
      <c r="K49" s="375">
        <f ca="1">K48^4/L47</f>
        <v>50.202727651962704</v>
      </c>
      <c r="L49" s="388"/>
      <c r="M49" s="402"/>
      <c r="N49" s="374"/>
      <c r="O49" s="384"/>
      <c r="P49" s="384"/>
      <c r="Q49" s="384"/>
      <c r="R49" s="384"/>
      <c r="S49" s="384"/>
      <c r="T49" s="389"/>
      <c r="U49" s="390"/>
      <c r="V49" s="384"/>
      <c r="W49" s="375"/>
      <c r="X49" s="388"/>
      <c r="Y49" s="402"/>
    </row>
    <row r="50" spans="1:25" x14ac:dyDescent="0.35">
      <c r="A50" s="402"/>
      <c r="B50" s="374" t="s">
        <v>215</v>
      </c>
      <c r="C50" s="384"/>
      <c r="D50" s="384"/>
      <c r="E50" s="384"/>
      <c r="F50" s="384"/>
      <c r="G50" s="384"/>
      <c r="H50" s="391" t="s">
        <v>216</v>
      </c>
      <c r="I50" s="392"/>
      <c r="J50" s="384"/>
      <c r="K50" s="377">
        <f ca="1">1.95996+(2.37356/K49)+(2.818745/K49^2)+(2.546662/K49^3)+(1.761829/K49^4)+(0.245458/K49^5)+(1.000764/K49^6)</f>
        <v>2.0083783187319133</v>
      </c>
      <c r="L50" s="393">
        <f ca="1">TINV(0.05,K49)</f>
        <v>2.0085591121007611</v>
      </c>
      <c r="M50" s="402"/>
      <c r="N50" s="374"/>
      <c r="O50" s="384"/>
      <c r="P50" s="384"/>
      <c r="Q50" s="384"/>
      <c r="R50" s="384"/>
      <c r="S50" s="384"/>
      <c r="T50" s="391"/>
      <c r="U50" s="392"/>
      <c r="V50" s="384"/>
      <c r="W50" s="377"/>
      <c r="X50" s="393"/>
      <c r="Y50" s="402"/>
    </row>
    <row r="51" spans="1:25" ht="15.5" x14ac:dyDescent="0.35">
      <c r="A51" s="402"/>
      <c r="B51" s="374" t="s">
        <v>217</v>
      </c>
      <c r="C51" s="384"/>
      <c r="D51" s="384"/>
      <c r="E51" s="384"/>
      <c r="F51" s="384"/>
      <c r="G51" s="384"/>
      <c r="H51" s="394" t="s">
        <v>218</v>
      </c>
      <c r="I51" s="395"/>
      <c r="J51" s="384"/>
      <c r="K51" s="398">
        <f ca="1">K50*K48</f>
        <v>5.8035612801677662E-2</v>
      </c>
      <c r="L51" s="19" t="str">
        <f>D41</f>
        <v>Volt</v>
      </c>
      <c r="M51" s="402"/>
      <c r="N51" s="374"/>
      <c r="O51" s="384"/>
      <c r="P51" s="384"/>
      <c r="Q51" s="384"/>
      <c r="R51" s="384"/>
      <c r="S51" s="384"/>
      <c r="T51" s="394"/>
      <c r="U51" s="395"/>
      <c r="V51" s="384"/>
      <c r="W51" s="398"/>
      <c r="X51" s="19"/>
      <c r="Y51" s="402"/>
    </row>
    <row r="52" spans="1:25" x14ac:dyDescent="0.35">
      <c r="A52" s="402"/>
      <c r="B52" s="396"/>
      <c r="C52" s="396"/>
      <c r="D52" s="396"/>
      <c r="E52" s="396"/>
      <c r="F52" s="396"/>
      <c r="G52" s="396"/>
      <c r="H52" s="396"/>
      <c r="I52" s="396"/>
      <c r="J52" s="396"/>
      <c r="K52" s="388">
        <f ca="1">(K51/C41)*100</f>
        <v>2.9017806400838831E-2</v>
      </c>
      <c r="L52" s="19" t="s">
        <v>219</v>
      </c>
      <c r="M52" s="402"/>
      <c r="N52" s="396"/>
      <c r="O52" s="396"/>
      <c r="P52" s="396"/>
      <c r="Q52" s="396"/>
      <c r="R52" s="396"/>
      <c r="S52" s="396"/>
      <c r="T52" s="396"/>
      <c r="U52" s="396"/>
      <c r="V52" s="396"/>
      <c r="W52" s="388"/>
      <c r="X52" s="19"/>
      <c r="Y52" s="402"/>
    </row>
    <row r="53" spans="1:25" x14ac:dyDescent="0.35">
      <c r="A53" s="402"/>
      <c r="B53" s="396" t="s">
        <v>193</v>
      </c>
      <c r="C53" s="77">
        <f>ID!D32</f>
        <v>220</v>
      </c>
      <c r="D53" s="397" t="s">
        <v>179</v>
      </c>
      <c r="M53" s="402"/>
      <c r="N53" s="396"/>
      <c r="O53" s="396"/>
      <c r="P53" s="396"/>
      <c r="Q53" s="396"/>
      <c r="R53" s="396"/>
      <c r="S53" s="396"/>
      <c r="T53" s="396"/>
      <c r="U53" s="396"/>
      <c r="V53" s="396"/>
      <c r="W53" s="469"/>
      <c r="X53" s="77"/>
      <c r="Y53" s="402"/>
    </row>
    <row r="54" spans="1:25" x14ac:dyDescent="0.35">
      <c r="A54" s="402"/>
      <c r="B54" s="372" t="s">
        <v>194</v>
      </c>
      <c r="C54" s="373" t="s">
        <v>72</v>
      </c>
      <c r="D54" s="373" t="s">
        <v>195</v>
      </c>
      <c r="E54" s="372" t="s">
        <v>196</v>
      </c>
      <c r="F54" s="372" t="s">
        <v>197</v>
      </c>
      <c r="G54" s="372" t="s">
        <v>198</v>
      </c>
      <c r="H54" s="372" t="s">
        <v>199</v>
      </c>
      <c r="I54" s="372" t="s">
        <v>200</v>
      </c>
      <c r="J54" s="372" t="s">
        <v>201</v>
      </c>
      <c r="K54" s="372" t="s">
        <v>202</v>
      </c>
      <c r="L54" s="373" t="s">
        <v>203</v>
      </c>
      <c r="M54" s="402"/>
      <c r="N54" s="396"/>
      <c r="O54" s="396"/>
      <c r="P54" s="396"/>
      <c r="Q54" s="396"/>
      <c r="R54" s="396"/>
      <c r="S54" s="396"/>
      <c r="T54" s="396"/>
      <c r="U54" s="396"/>
      <c r="V54" s="396"/>
      <c r="W54" s="469"/>
      <c r="X54" s="77"/>
      <c r="Y54" s="402"/>
    </row>
    <row r="55" spans="1:25" x14ac:dyDescent="0.35">
      <c r="A55" s="402"/>
      <c r="B55" s="374" t="s">
        <v>204</v>
      </c>
      <c r="C55" s="19" t="str">
        <f>D53</f>
        <v>Volt</v>
      </c>
      <c r="D55" s="375" t="s">
        <v>205</v>
      </c>
      <c r="E55" s="376">
        <f>'Sert Time Electronics'!J127</f>
        <v>1.0000000000000001E-5</v>
      </c>
      <c r="F55" s="377">
        <f>SQRT(5)</f>
        <v>2.2360679774997898</v>
      </c>
      <c r="G55" s="375">
        <f>5-1</f>
        <v>4</v>
      </c>
      <c r="H55" s="377">
        <f>E55/F55</f>
        <v>4.4721359549995799E-6</v>
      </c>
      <c r="I55" s="375">
        <v>1</v>
      </c>
      <c r="J55" s="377">
        <f>H55*I55</f>
        <v>4.4721359549995799E-6</v>
      </c>
      <c r="K55" s="378">
        <f>J55^2</f>
        <v>2.0000000000000005E-11</v>
      </c>
      <c r="L55" s="379">
        <f>K55^2/G55</f>
        <v>1.0000000000000005E-22</v>
      </c>
      <c r="M55" s="402"/>
      <c r="N55" s="396"/>
      <c r="O55" s="396"/>
      <c r="P55" s="396"/>
      <c r="Q55" s="396"/>
      <c r="R55" s="396"/>
      <c r="S55" s="396"/>
      <c r="T55" s="396"/>
      <c r="U55" s="396"/>
      <c r="V55" s="396"/>
      <c r="W55" s="469"/>
      <c r="X55" s="77"/>
      <c r="Y55" s="402"/>
    </row>
    <row r="56" spans="1:25" x14ac:dyDescent="0.35">
      <c r="A56" s="402"/>
      <c r="B56" s="380" t="s">
        <v>206</v>
      </c>
      <c r="C56" s="19" t="str">
        <f>C55</f>
        <v>Volt</v>
      </c>
      <c r="D56" s="375" t="s">
        <v>205</v>
      </c>
      <c r="E56" s="381">
        <f ca="1">'Sert Time Electronics'!M127</f>
        <v>2.9427620530797158E-3</v>
      </c>
      <c r="F56" s="377">
        <v>2</v>
      </c>
      <c r="G56" s="375">
        <f>0.5*(100/10)^2</f>
        <v>50</v>
      </c>
      <c r="H56" s="377">
        <f ca="1">E56/F56</f>
        <v>1.4713810265398579E-3</v>
      </c>
      <c r="I56" s="375">
        <v>1</v>
      </c>
      <c r="J56" s="377">
        <f ca="1">H56*I56</f>
        <v>1.4713810265398579E-3</v>
      </c>
      <c r="K56" s="378">
        <f ca="1">J56^2</f>
        <v>2.164962125261486E-6</v>
      </c>
      <c r="L56" s="379">
        <f ca="1">K56^2/G56</f>
        <v>9.3741220076334606E-14</v>
      </c>
      <c r="M56" s="402"/>
      <c r="N56" s="396"/>
      <c r="O56" s="396"/>
      <c r="P56" s="396"/>
      <c r="Q56" s="396"/>
      <c r="R56" s="396"/>
      <c r="S56" s="396"/>
      <c r="T56" s="396"/>
      <c r="U56" s="396"/>
      <c r="V56" s="396"/>
      <c r="W56" s="469"/>
      <c r="X56" s="77"/>
      <c r="Y56" s="402"/>
    </row>
    <row r="57" spans="1:25" x14ac:dyDescent="0.35">
      <c r="A57" s="402"/>
      <c r="B57" s="380" t="s">
        <v>207</v>
      </c>
      <c r="C57" s="19" t="str">
        <f>C56</f>
        <v>Volt</v>
      </c>
      <c r="D57" s="375" t="s">
        <v>208</v>
      </c>
      <c r="E57" s="382">
        <f>'Sert Time Electronics'!K127</f>
        <v>0.05</v>
      </c>
      <c r="F57" s="377">
        <f>SQRT(3)</f>
        <v>1.7320508075688772</v>
      </c>
      <c r="G57" s="375">
        <v>50</v>
      </c>
      <c r="H57" s="377">
        <f>E57/F57</f>
        <v>2.8867513459481291E-2</v>
      </c>
      <c r="I57" s="375">
        <v>1</v>
      </c>
      <c r="J57" s="377">
        <f>H57*I57</f>
        <v>2.8867513459481291E-2</v>
      </c>
      <c r="K57" s="378">
        <f>J57^2</f>
        <v>8.333333333333335E-4</v>
      </c>
      <c r="L57" s="379">
        <f>K57^2/G57</f>
        <v>1.3888888888888894E-8</v>
      </c>
      <c r="M57" s="402"/>
      <c r="N57" s="396"/>
      <c r="O57" s="396"/>
      <c r="P57" s="396"/>
      <c r="Q57" s="396"/>
      <c r="R57" s="396"/>
      <c r="S57" s="396"/>
      <c r="T57" s="396"/>
      <c r="U57" s="396"/>
      <c r="V57" s="396"/>
      <c r="W57" s="469"/>
      <c r="X57" s="77"/>
      <c r="Y57" s="402"/>
    </row>
    <row r="58" spans="1:25" x14ac:dyDescent="0.35">
      <c r="A58" s="402"/>
      <c r="B58" s="383" t="s">
        <v>209</v>
      </c>
      <c r="C58" s="19" t="str">
        <f>C57</f>
        <v>Volt</v>
      </c>
      <c r="D58" s="375" t="s">
        <v>208</v>
      </c>
      <c r="E58" s="381">
        <f ca="1">'Sert Time Electronics'!L127</f>
        <v>9.8092068435990569E-4</v>
      </c>
      <c r="F58" s="377">
        <f>SQRT(3)</f>
        <v>1.7320508075688772</v>
      </c>
      <c r="G58" s="375">
        <v>50</v>
      </c>
      <c r="H58" s="377">
        <f ca="1">E58/F58</f>
        <v>5.6633482116886353E-4</v>
      </c>
      <c r="I58" s="375">
        <v>1</v>
      </c>
      <c r="J58" s="377">
        <f ca="1">H58*I58</f>
        <v>5.6633482116886353E-4</v>
      </c>
      <c r="K58" s="378">
        <f ca="1">J58^2</f>
        <v>3.2073512966836862E-7</v>
      </c>
      <c r="L58" s="379">
        <f ca="1">K58^2/G58</f>
        <v>2.0574204680677047E-15</v>
      </c>
      <c r="M58" s="402"/>
      <c r="N58" s="396"/>
      <c r="O58" s="396"/>
      <c r="P58" s="396"/>
      <c r="Q58" s="396"/>
      <c r="R58" s="396"/>
      <c r="S58" s="396"/>
      <c r="T58" s="396"/>
      <c r="U58" s="396"/>
      <c r="V58" s="396"/>
      <c r="W58" s="469"/>
      <c r="X58" s="77"/>
      <c r="Y58" s="402"/>
    </row>
    <row r="59" spans="1:25" x14ac:dyDescent="0.35">
      <c r="A59" s="402"/>
      <c r="B59" s="374" t="s">
        <v>210</v>
      </c>
      <c r="C59" s="384"/>
      <c r="D59" s="384"/>
      <c r="E59" s="384"/>
      <c r="F59" s="384"/>
      <c r="G59" s="384"/>
      <c r="H59" s="384"/>
      <c r="I59" s="384"/>
      <c r="J59" s="384"/>
      <c r="K59" s="434">
        <f ca="1">SUM(K55:K58)</f>
        <v>8.358190505882633E-4</v>
      </c>
      <c r="L59" s="379">
        <f ca="1">SUM(L55:L58)</f>
        <v>1.3888984687529539E-8</v>
      </c>
      <c r="M59" s="402"/>
      <c r="N59" s="396"/>
      <c r="O59" s="396"/>
      <c r="P59" s="396"/>
      <c r="Q59" s="396"/>
      <c r="R59" s="396"/>
      <c r="S59" s="396"/>
      <c r="T59" s="396"/>
      <c r="U59" s="396"/>
      <c r="V59" s="396"/>
      <c r="W59" s="469"/>
      <c r="X59" s="77"/>
      <c r="Y59" s="402"/>
    </row>
    <row r="60" spans="1:25" ht="15" x14ac:dyDescent="0.4">
      <c r="A60" s="402"/>
      <c r="B60" s="374" t="s">
        <v>211</v>
      </c>
      <c r="C60" s="384"/>
      <c r="D60" s="384"/>
      <c r="E60" s="384"/>
      <c r="F60" s="384"/>
      <c r="G60" s="384"/>
      <c r="H60" s="385" t="s">
        <v>212</v>
      </c>
      <c r="I60" s="386"/>
      <c r="J60" s="384"/>
      <c r="K60" s="387">
        <f ca="1">SQRT(K59)</f>
        <v>2.8910535287127826E-2</v>
      </c>
      <c r="L60" s="388"/>
      <c r="M60" s="402"/>
      <c r="N60" s="396"/>
      <c r="O60" s="396"/>
      <c r="P60" s="396"/>
      <c r="Q60" s="396"/>
      <c r="R60" s="396"/>
      <c r="S60" s="396"/>
      <c r="T60" s="396"/>
      <c r="U60" s="396"/>
      <c r="V60" s="396"/>
      <c r="W60" s="469"/>
      <c r="X60" s="77"/>
      <c r="Y60" s="402"/>
    </row>
    <row r="61" spans="1:25" ht="16.5" x14ac:dyDescent="0.4">
      <c r="A61" s="402"/>
      <c r="B61" s="374" t="s">
        <v>213</v>
      </c>
      <c r="C61" s="384"/>
      <c r="D61" s="384"/>
      <c r="E61" s="384"/>
      <c r="F61" s="384"/>
      <c r="G61" s="384"/>
      <c r="H61" s="389" t="s">
        <v>214</v>
      </c>
      <c r="I61" s="390"/>
      <c r="J61" s="384"/>
      <c r="K61" s="375">
        <f ca="1">K60^4/L59</f>
        <v>50.298384010280444</v>
      </c>
      <c r="L61" s="388"/>
      <c r="M61" s="402"/>
      <c r="N61" s="396"/>
      <c r="O61" s="396"/>
      <c r="P61" s="396"/>
      <c r="Q61" s="396"/>
      <c r="R61" s="396"/>
      <c r="S61" s="396"/>
      <c r="T61" s="396"/>
      <c r="U61" s="396"/>
      <c r="V61" s="396"/>
      <c r="W61" s="469"/>
      <c r="X61" s="77"/>
      <c r="Y61" s="402"/>
    </row>
    <row r="62" spans="1:25" x14ac:dyDescent="0.35">
      <c r="A62" s="402"/>
      <c r="B62" s="374" t="s">
        <v>215</v>
      </c>
      <c r="C62" s="384"/>
      <c r="D62" s="384"/>
      <c r="E62" s="384"/>
      <c r="F62" s="384"/>
      <c r="G62" s="384"/>
      <c r="H62" s="391" t="s">
        <v>216</v>
      </c>
      <c r="I62" s="392"/>
      <c r="J62" s="384"/>
      <c r="K62" s="377">
        <f ca="1">1.95996+(2.37356/K61)+(2.818745/K61^2)+(2.546662/K61^3)+(1.761829/K61^4)+(0.245458/K61^5)+(1.000764/K61^6)</f>
        <v>2.0082840369966419</v>
      </c>
      <c r="L62" s="393">
        <f ca="1">TINV(0.05,K61)</f>
        <v>2.0085591121007611</v>
      </c>
      <c r="M62" s="402"/>
      <c r="N62" s="396"/>
      <c r="O62" s="396"/>
      <c r="P62" s="396"/>
      <c r="Q62" s="396"/>
      <c r="R62" s="396"/>
      <c r="S62" s="396"/>
      <c r="T62" s="396"/>
      <c r="U62" s="396"/>
      <c r="V62" s="396"/>
      <c r="W62" s="469"/>
      <c r="X62" s="77"/>
      <c r="Y62" s="402"/>
    </row>
    <row r="63" spans="1:25" ht="15.5" x14ac:dyDescent="0.35">
      <c r="A63" s="402"/>
      <c r="B63" s="374" t="s">
        <v>217</v>
      </c>
      <c r="C63" s="384"/>
      <c r="D63" s="384"/>
      <c r="E63" s="384"/>
      <c r="F63" s="384"/>
      <c r="G63" s="384"/>
      <c r="H63" s="394" t="s">
        <v>218</v>
      </c>
      <c r="I63" s="395"/>
      <c r="J63" s="384"/>
      <c r="K63" s="398">
        <f ca="1">K62*K60</f>
        <v>5.8060566518166941E-2</v>
      </c>
      <c r="L63" s="19" t="str">
        <f>D53</f>
        <v>Volt</v>
      </c>
      <c r="M63" s="402"/>
      <c r="N63" s="396"/>
      <c r="O63" s="396"/>
      <c r="P63" s="396"/>
      <c r="Q63" s="396"/>
      <c r="R63" s="396"/>
      <c r="S63" s="396"/>
      <c r="T63" s="396"/>
      <c r="U63" s="396"/>
      <c r="V63" s="396"/>
      <c r="W63" s="469"/>
      <c r="X63" s="77"/>
      <c r="Y63" s="402"/>
    </row>
    <row r="64" spans="1:25" x14ac:dyDescent="0.35">
      <c r="A64" s="402"/>
      <c r="B64" s="396"/>
      <c r="C64" s="396"/>
      <c r="D64" s="396"/>
      <c r="E64" s="396"/>
      <c r="F64" s="396"/>
      <c r="G64" s="396"/>
      <c r="H64" s="396"/>
      <c r="I64" s="396"/>
      <c r="J64" s="396"/>
      <c r="K64" s="388">
        <f ca="1">(K63/C53)*100</f>
        <v>2.6391166599166793E-2</v>
      </c>
      <c r="L64" s="19" t="s">
        <v>219</v>
      </c>
      <c r="M64" s="402"/>
      <c r="N64" s="396"/>
      <c r="O64" s="396"/>
      <c r="P64" s="396"/>
      <c r="Q64" s="396"/>
      <c r="R64" s="396"/>
      <c r="S64" s="396"/>
      <c r="T64" s="396"/>
      <c r="U64" s="396"/>
      <c r="V64" s="396"/>
      <c r="W64" s="469"/>
      <c r="X64" s="77"/>
      <c r="Y64" s="402"/>
    </row>
    <row r="65" spans="1:25" x14ac:dyDescent="0.35">
      <c r="A65" s="402"/>
      <c r="B65" s="396" t="s">
        <v>193</v>
      </c>
      <c r="C65" s="77">
        <f>ID!D33</f>
        <v>250</v>
      </c>
      <c r="D65" s="397" t="s">
        <v>179</v>
      </c>
      <c r="M65" s="402"/>
      <c r="N65" s="396"/>
      <c r="O65" s="396"/>
      <c r="P65" s="396"/>
      <c r="Q65" s="396"/>
      <c r="R65" s="396"/>
      <c r="S65" s="396"/>
      <c r="T65" s="396"/>
      <c r="U65" s="396"/>
      <c r="V65" s="396"/>
      <c r="W65" s="469"/>
      <c r="X65" s="77"/>
      <c r="Y65" s="402"/>
    </row>
    <row r="66" spans="1:25" x14ac:dyDescent="0.35">
      <c r="A66" s="402"/>
      <c r="B66" s="372" t="s">
        <v>194</v>
      </c>
      <c r="C66" s="373" t="s">
        <v>72</v>
      </c>
      <c r="D66" s="373" t="s">
        <v>195</v>
      </c>
      <c r="E66" s="372" t="s">
        <v>196</v>
      </c>
      <c r="F66" s="372" t="s">
        <v>197</v>
      </c>
      <c r="G66" s="372" t="s">
        <v>198</v>
      </c>
      <c r="H66" s="372" t="s">
        <v>199</v>
      </c>
      <c r="I66" s="372" t="s">
        <v>200</v>
      </c>
      <c r="J66" s="372" t="s">
        <v>201</v>
      </c>
      <c r="K66" s="372" t="s">
        <v>202</v>
      </c>
      <c r="L66" s="373" t="s">
        <v>203</v>
      </c>
      <c r="M66" s="402"/>
      <c r="N66" s="396"/>
      <c r="O66" s="396"/>
      <c r="P66" s="396"/>
      <c r="Q66" s="396"/>
      <c r="R66" s="396"/>
      <c r="S66" s="396"/>
      <c r="T66" s="396"/>
      <c r="U66" s="396"/>
      <c r="V66" s="396"/>
      <c r="W66" s="469"/>
      <c r="X66" s="77"/>
      <c r="Y66" s="402"/>
    </row>
    <row r="67" spans="1:25" x14ac:dyDescent="0.35">
      <c r="A67" s="402"/>
      <c r="B67" s="374" t="s">
        <v>204</v>
      </c>
      <c r="C67" s="19" t="str">
        <f>D65</f>
        <v>Volt</v>
      </c>
      <c r="D67" s="375" t="s">
        <v>205</v>
      </c>
      <c r="E67" s="376">
        <f>'Sert Time Electronics'!J128</f>
        <v>1.0000000000000001E-5</v>
      </c>
      <c r="F67" s="377">
        <f>SQRT(5)</f>
        <v>2.2360679774997898</v>
      </c>
      <c r="G67" s="375">
        <f>5-1</f>
        <v>4</v>
      </c>
      <c r="H67" s="377">
        <f>E67/F67</f>
        <v>4.4721359549995799E-6</v>
      </c>
      <c r="I67" s="375">
        <v>1</v>
      </c>
      <c r="J67" s="377">
        <f>H67*I67</f>
        <v>4.4721359549995799E-6</v>
      </c>
      <c r="K67" s="378">
        <f>J67^2</f>
        <v>2.0000000000000005E-11</v>
      </c>
      <c r="L67" s="379">
        <f>K67^2/G67</f>
        <v>1.0000000000000005E-22</v>
      </c>
      <c r="M67" s="402"/>
      <c r="N67" s="396"/>
      <c r="O67" s="396"/>
      <c r="P67" s="396"/>
      <c r="Q67" s="396"/>
      <c r="R67" s="396"/>
      <c r="S67" s="396"/>
      <c r="T67" s="396"/>
      <c r="U67" s="396"/>
      <c r="V67" s="396"/>
      <c r="W67" s="469"/>
      <c r="X67" s="77"/>
      <c r="Y67" s="402"/>
    </row>
    <row r="68" spans="1:25" x14ac:dyDescent="0.35">
      <c r="A68" s="402"/>
      <c r="B68" s="380" t="s">
        <v>206</v>
      </c>
      <c r="C68" s="19" t="str">
        <f>C67</f>
        <v>Volt</v>
      </c>
      <c r="D68" s="375" t="s">
        <v>205</v>
      </c>
      <c r="E68" s="381">
        <f ca="1">'Sert Time Electronics'!M128</f>
        <v>3.7182841299779751E-3</v>
      </c>
      <c r="F68" s="377">
        <v>2</v>
      </c>
      <c r="G68" s="375">
        <f>0.5*(100/10)^2</f>
        <v>50</v>
      </c>
      <c r="H68" s="377">
        <f ca="1">E68/F68</f>
        <v>1.8591420649889875E-3</v>
      </c>
      <c r="I68" s="375">
        <v>1</v>
      </c>
      <c r="J68" s="377">
        <f ca="1">H68*I68</f>
        <v>1.8591420649889875E-3</v>
      </c>
      <c r="K68" s="378">
        <f ca="1">J68^2</f>
        <v>3.4564092178115168E-6</v>
      </c>
      <c r="L68" s="379">
        <f ca="1">K68^2/G68</f>
        <v>2.3893529361944839E-13</v>
      </c>
      <c r="M68" s="402"/>
      <c r="N68" s="396"/>
      <c r="O68" s="396"/>
      <c r="P68" s="396"/>
      <c r="Q68" s="396"/>
      <c r="R68" s="396"/>
      <c r="S68" s="396"/>
      <c r="T68" s="396"/>
      <c r="U68" s="396"/>
      <c r="V68" s="396"/>
      <c r="W68" s="469"/>
      <c r="X68" s="77"/>
      <c r="Y68" s="402"/>
    </row>
    <row r="69" spans="1:25" x14ac:dyDescent="0.35">
      <c r="A69" s="402"/>
      <c r="B69" s="380" t="s">
        <v>207</v>
      </c>
      <c r="C69" s="19" t="str">
        <f>C68</f>
        <v>Volt</v>
      </c>
      <c r="D69" s="375" t="s">
        <v>208</v>
      </c>
      <c r="E69" s="382">
        <f>'Sert Time Electronics'!K128</f>
        <v>0.05</v>
      </c>
      <c r="F69" s="377">
        <f>SQRT(3)</f>
        <v>1.7320508075688772</v>
      </c>
      <c r="G69" s="375">
        <v>50</v>
      </c>
      <c r="H69" s="377">
        <f>E69/F69</f>
        <v>2.8867513459481291E-2</v>
      </c>
      <c r="I69" s="375">
        <v>1</v>
      </c>
      <c r="J69" s="377">
        <f>H69*I69</f>
        <v>2.8867513459481291E-2</v>
      </c>
      <c r="K69" s="378">
        <f>J69^2</f>
        <v>8.333333333333335E-4</v>
      </c>
      <c r="L69" s="379">
        <f>K69^2/G69</f>
        <v>1.3888888888888894E-8</v>
      </c>
      <c r="M69" s="402"/>
      <c r="N69" s="396"/>
      <c r="O69" s="396"/>
      <c r="P69" s="396"/>
      <c r="Q69" s="396"/>
      <c r="R69" s="396"/>
      <c r="S69" s="396"/>
      <c r="T69" s="396"/>
      <c r="U69" s="396"/>
      <c r="V69" s="396"/>
      <c r="W69" s="469"/>
      <c r="X69" s="77"/>
      <c r="Y69" s="402"/>
    </row>
    <row r="70" spans="1:25" x14ac:dyDescent="0.35">
      <c r="A70" s="402"/>
      <c r="B70" s="383" t="s">
        <v>209</v>
      </c>
      <c r="C70" s="19" t="str">
        <f>C69</f>
        <v>Volt</v>
      </c>
      <c r="D70" s="375" t="s">
        <v>208</v>
      </c>
      <c r="E70" s="493">
        <f ca="1">'Sert Time Electronics'!L128</f>
        <v>1.239428043325992E-3</v>
      </c>
      <c r="F70" s="377">
        <f>SQRT(3)</f>
        <v>1.7320508075688772</v>
      </c>
      <c r="G70" s="375">
        <v>50</v>
      </c>
      <c r="H70" s="377">
        <f ca="1">E70/F70</f>
        <v>7.1558411445543266E-4</v>
      </c>
      <c r="I70" s="375">
        <v>1</v>
      </c>
      <c r="J70" s="377">
        <f ca="1">H70*I70</f>
        <v>7.1558411445543266E-4</v>
      </c>
      <c r="K70" s="378">
        <f ca="1">J70^2</f>
        <v>5.1206062486096572E-7</v>
      </c>
      <c r="L70" s="379">
        <f ca="1">K70^2/G70</f>
        <v>5.2441216706600527E-15</v>
      </c>
      <c r="M70" s="402"/>
      <c r="N70" s="396"/>
      <c r="O70" s="396"/>
      <c r="P70" s="396"/>
      <c r="Q70" s="396"/>
      <c r="R70" s="396"/>
      <c r="S70" s="396"/>
      <c r="T70" s="396"/>
      <c r="U70" s="396"/>
      <c r="V70" s="396"/>
      <c r="W70" s="469"/>
      <c r="X70" s="77"/>
      <c r="Y70" s="402"/>
    </row>
    <row r="71" spans="1:25" x14ac:dyDescent="0.35">
      <c r="A71" s="402"/>
      <c r="B71" s="374" t="s">
        <v>210</v>
      </c>
      <c r="C71" s="384"/>
      <c r="D71" s="384"/>
      <c r="E71" s="384"/>
      <c r="F71" s="384"/>
      <c r="G71" s="384"/>
      <c r="H71" s="384"/>
      <c r="I71" s="384"/>
      <c r="J71" s="384"/>
      <c r="K71" s="434">
        <f ca="1">SUM(K67:K70)</f>
        <v>8.3730182317600602E-4</v>
      </c>
      <c r="L71" s="379">
        <f ca="1">SUM(L67:L70)</f>
        <v>1.3889133068304282E-8</v>
      </c>
      <c r="M71" s="402"/>
      <c r="N71" s="396"/>
      <c r="O71" s="396"/>
      <c r="P71" s="396"/>
      <c r="Q71" s="396"/>
      <c r="R71" s="396"/>
      <c r="S71" s="396"/>
      <c r="T71" s="396"/>
      <c r="U71" s="396"/>
      <c r="V71" s="396"/>
      <c r="W71" s="469"/>
      <c r="X71" s="77"/>
      <c r="Y71" s="402"/>
    </row>
    <row r="72" spans="1:25" ht="15" x14ac:dyDescent="0.4">
      <c r="A72" s="402"/>
      <c r="B72" s="374" t="s">
        <v>211</v>
      </c>
      <c r="C72" s="384"/>
      <c r="D72" s="384"/>
      <c r="E72" s="384"/>
      <c r="F72" s="384"/>
      <c r="G72" s="384"/>
      <c r="H72" s="385" t="s">
        <v>212</v>
      </c>
      <c r="I72" s="386"/>
      <c r="J72" s="384"/>
      <c r="K72" s="387">
        <f ca="1">SQRT(K71)</f>
        <v>2.8936168080380062E-2</v>
      </c>
      <c r="L72" s="388"/>
      <c r="M72" s="402"/>
      <c r="N72" s="396"/>
      <c r="O72" s="396"/>
      <c r="P72" s="396"/>
      <c r="Q72" s="396"/>
      <c r="R72" s="396"/>
      <c r="S72" s="396"/>
      <c r="T72" s="396"/>
      <c r="U72" s="396"/>
      <c r="V72" s="396"/>
      <c r="W72" s="469"/>
      <c r="X72" s="77"/>
      <c r="Y72" s="402"/>
    </row>
    <row r="73" spans="1:25" ht="16.5" x14ac:dyDescent="0.4">
      <c r="A73" s="402"/>
      <c r="B73" s="374" t="s">
        <v>213</v>
      </c>
      <c r="C73" s="384"/>
      <c r="D73" s="384"/>
      <c r="E73" s="384"/>
      <c r="F73" s="384"/>
      <c r="G73" s="384"/>
      <c r="H73" s="389" t="s">
        <v>214</v>
      </c>
      <c r="I73" s="390"/>
      <c r="J73" s="384"/>
      <c r="K73" s="375">
        <f ca="1">K72^4/L71</f>
        <v>50.476465280165776</v>
      </c>
      <c r="L73" s="388"/>
      <c r="M73" s="402"/>
      <c r="N73" s="396"/>
      <c r="O73" s="396"/>
      <c r="P73" s="396"/>
      <c r="Q73" s="396"/>
      <c r="R73" s="396"/>
      <c r="S73" s="396"/>
      <c r="T73" s="396"/>
      <c r="U73" s="396"/>
      <c r="V73" s="396"/>
      <c r="W73" s="469"/>
      <c r="X73" s="77"/>
      <c r="Y73" s="402"/>
    </row>
    <row r="74" spans="1:25" x14ac:dyDescent="0.35">
      <c r="A74" s="402"/>
      <c r="B74" s="374" t="s">
        <v>215</v>
      </c>
      <c r="C74" s="384"/>
      <c r="D74" s="384"/>
      <c r="E74" s="384"/>
      <c r="F74" s="384"/>
      <c r="G74" s="384"/>
      <c r="H74" s="391" t="s">
        <v>216</v>
      </c>
      <c r="I74" s="392"/>
      <c r="J74" s="384"/>
      <c r="K74" s="377">
        <f ca="1">1.95996+(2.37356/K73)+(2.818745/K73^2)+(2.546662/K73^3)+(1.761829/K73^4)+(0.245458/K73^5)+(1.000764/K73^6)</f>
        <v>2.0081094892405287</v>
      </c>
      <c r="L74" s="393">
        <f ca="1">TINV(0.05,K73)</f>
        <v>2.0085591121007611</v>
      </c>
      <c r="M74" s="402"/>
      <c r="N74" s="396"/>
      <c r="O74" s="396"/>
      <c r="P74" s="396"/>
      <c r="Q74" s="396"/>
      <c r="R74" s="396"/>
      <c r="S74" s="396"/>
      <c r="T74" s="396"/>
      <c r="U74" s="396"/>
      <c r="V74" s="396"/>
      <c r="W74" s="469"/>
      <c r="X74" s="77"/>
      <c r="Y74" s="402"/>
    </row>
    <row r="75" spans="1:25" ht="15.5" x14ac:dyDescent="0.35">
      <c r="A75" s="402"/>
      <c r="B75" s="374" t="s">
        <v>217</v>
      </c>
      <c r="C75" s="384"/>
      <c r="D75" s="384"/>
      <c r="E75" s="384"/>
      <c r="F75" s="384"/>
      <c r="G75" s="384"/>
      <c r="H75" s="394" t="s">
        <v>218</v>
      </c>
      <c r="I75" s="395"/>
      <c r="J75" s="384"/>
      <c r="K75" s="398">
        <f ca="1">K74*K72</f>
        <v>5.8106993704470096E-2</v>
      </c>
      <c r="L75" s="19" t="str">
        <f>D65</f>
        <v>Volt</v>
      </c>
      <c r="M75" s="402"/>
      <c r="N75" s="396"/>
      <c r="O75" s="396"/>
      <c r="P75" s="396"/>
      <c r="Q75" s="396"/>
      <c r="R75" s="396"/>
      <c r="S75" s="396"/>
      <c r="T75" s="396"/>
      <c r="U75" s="396"/>
      <c r="V75" s="396"/>
      <c r="W75" s="469"/>
      <c r="X75" s="77"/>
      <c r="Y75" s="402"/>
    </row>
    <row r="76" spans="1:25" x14ac:dyDescent="0.35">
      <c r="A76" s="402"/>
      <c r="B76" s="396"/>
      <c r="C76" s="396"/>
      <c r="D76" s="396"/>
      <c r="E76" s="396"/>
      <c r="F76" s="396"/>
      <c r="G76" s="396"/>
      <c r="H76" s="396"/>
      <c r="I76" s="396"/>
      <c r="J76" s="396"/>
      <c r="K76" s="388">
        <f ca="1">(K75/C65)*100</f>
        <v>2.3242797481788039E-2</v>
      </c>
      <c r="L76" s="19" t="s">
        <v>219</v>
      </c>
      <c r="M76" s="402"/>
      <c r="N76" s="396"/>
      <c r="O76" s="396"/>
      <c r="P76" s="396"/>
      <c r="Q76" s="396"/>
      <c r="R76" s="396"/>
      <c r="S76" s="396"/>
      <c r="T76" s="396"/>
      <c r="U76" s="396"/>
      <c r="V76" s="396"/>
      <c r="W76" s="469"/>
      <c r="X76" s="77"/>
      <c r="Y76" s="402"/>
    </row>
    <row r="77" spans="1:25" x14ac:dyDescent="0.35">
      <c r="A77" s="402"/>
      <c r="B77" s="396"/>
      <c r="C77" s="396"/>
      <c r="D77" s="396"/>
      <c r="E77" s="396"/>
      <c r="F77" s="396"/>
      <c r="G77" s="396"/>
      <c r="H77" s="396"/>
      <c r="I77" s="396"/>
      <c r="J77" s="396"/>
      <c r="K77" s="469"/>
      <c r="L77" s="77"/>
      <c r="M77" s="402"/>
      <c r="N77" s="396"/>
      <c r="O77" s="396"/>
      <c r="P77" s="396"/>
      <c r="Q77" s="396"/>
      <c r="R77" s="396"/>
      <c r="S77" s="396"/>
      <c r="T77" s="396"/>
      <c r="U77" s="396"/>
      <c r="V77" s="396"/>
      <c r="W77" s="469"/>
      <c r="X77" s="77"/>
      <c r="Y77" s="402"/>
    </row>
    <row r="78" spans="1:25" x14ac:dyDescent="0.35">
      <c r="A78" s="402"/>
      <c r="B78" s="396"/>
      <c r="C78" s="396"/>
      <c r="D78" s="396"/>
      <c r="E78" s="396"/>
      <c r="F78" s="396"/>
      <c r="G78" s="396"/>
      <c r="H78" s="396"/>
      <c r="I78" s="396"/>
      <c r="J78" s="396"/>
      <c r="K78" s="469"/>
      <c r="L78" s="77"/>
      <c r="M78" s="402"/>
      <c r="N78" s="396"/>
      <c r="O78" s="396"/>
      <c r="P78" s="396"/>
      <c r="Q78" s="396"/>
      <c r="R78" s="396"/>
      <c r="S78" s="396"/>
      <c r="T78" s="396"/>
      <c r="U78" s="396"/>
      <c r="V78" s="396"/>
      <c r="W78" s="469"/>
      <c r="X78" s="77"/>
      <c r="Y78" s="402"/>
    </row>
    <row r="79" spans="1:25" x14ac:dyDescent="0.35">
      <c r="A79" s="402"/>
      <c r="B79" s="402"/>
      <c r="C79" s="402"/>
      <c r="D79" s="402"/>
      <c r="E79" s="402"/>
      <c r="F79" s="402"/>
      <c r="G79" s="402"/>
      <c r="H79" s="402"/>
      <c r="I79" s="402"/>
      <c r="J79" s="402"/>
      <c r="K79" s="402"/>
      <c r="L79" s="402"/>
      <c r="M79" s="402"/>
      <c r="N79" s="402"/>
      <c r="O79" s="402"/>
      <c r="P79" s="402"/>
      <c r="Q79" s="402"/>
      <c r="R79" s="402"/>
      <c r="S79" s="402"/>
      <c r="T79" s="402"/>
      <c r="U79" s="402"/>
      <c r="V79" s="402"/>
      <c r="W79" s="402"/>
      <c r="X79" s="402"/>
      <c r="Y79" s="402"/>
    </row>
    <row r="80" spans="1:25" ht="15.5" x14ac:dyDescent="0.35">
      <c r="A80" s="466" t="str">
        <f>ID!B36</f>
        <v>2.</v>
      </c>
      <c r="B80" s="84" t="str">
        <f>ID!C36</f>
        <v>Kalibrasi Earth Resistance</v>
      </c>
      <c r="N80" t="str">
        <f>ID!D47</f>
        <v>Point to Point</v>
      </c>
      <c r="Y80" s="402"/>
    </row>
    <row r="81" spans="1:25" x14ac:dyDescent="0.35">
      <c r="A81" s="402"/>
      <c r="B81" s="396" t="s">
        <v>193</v>
      </c>
      <c r="C81" s="77">
        <f>ID!D40</f>
        <v>0.01</v>
      </c>
      <c r="D81" s="397" t="s">
        <v>134</v>
      </c>
      <c r="N81" s="396" t="s">
        <v>193</v>
      </c>
      <c r="O81" s="77">
        <f>ID!D48</f>
        <v>0.01</v>
      </c>
      <c r="P81" s="397" t="s">
        <v>134</v>
      </c>
      <c r="Y81" s="402"/>
    </row>
    <row r="82" spans="1:25" x14ac:dyDescent="0.35">
      <c r="A82" s="402"/>
      <c r="B82" s="372" t="s">
        <v>194</v>
      </c>
      <c r="C82" s="373" t="s">
        <v>72</v>
      </c>
      <c r="D82" s="373" t="s">
        <v>195</v>
      </c>
      <c r="E82" s="372" t="s">
        <v>196</v>
      </c>
      <c r="F82" s="372" t="s">
        <v>197</v>
      </c>
      <c r="G82" s="372" t="s">
        <v>198</v>
      </c>
      <c r="H82" s="372" t="s">
        <v>199</v>
      </c>
      <c r="I82" s="372" t="s">
        <v>200</v>
      </c>
      <c r="J82" s="372" t="s">
        <v>201</v>
      </c>
      <c r="K82" s="372" t="s">
        <v>202</v>
      </c>
      <c r="L82" s="373" t="s">
        <v>203</v>
      </c>
      <c r="N82" s="372" t="s">
        <v>194</v>
      </c>
      <c r="O82" s="373" t="s">
        <v>72</v>
      </c>
      <c r="P82" s="373" t="s">
        <v>195</v>
      </c>
      <c r="Q82" s="372" t="s">
        <v>196</v>
      </c>
      <c r="R82" s="372" t="s">
        <v>197</v>
      </c>
      <c r="S82" s="372" t="s">
        <v>198</v>
      </c>
      <c r="T82" s="372" t="s">
        <v>199</v>
      </c>
      <c r="U82" s="372" t="s">
        <v>200</v>
      </c>
      <c r="V82" s="372" t="s">
        <v>201</v>
      </c>
      <c r="W82" s="372" t="s">
        <v>202</v>
      </c>
      <c r="X82" s="373" t="s">
        <v>203</v>
      </c>
      <c r="Y82" s="402"/>
    </row>
    <row r="83" spans="1:25" x14ac:dyDescent="0.35">
      <c r="A83" s="402"/>
      <c r="B83" s="374" t="s">
        <v>220</v>
      </c>
      <c r="C83" s="19" t="str">
        <f>D81</f>
        <v>Ω</v>
      </c>
      <c r="D83" s="375" t="s">
        <v>205</v>
      </c>
      <c r="E83" s="376">
        <f>ID!G46</f>
        <v>1.0000000000000001E-5</v>
      </c>
      <c r="F83" s="377">
        <f>SQRT(5)</f>
        <v>2.2360679774997898</v>
      </c>
      <c r="G83" s="375">
        <f>5-1</f>
        <v>4</v>
      </c>
      <c r="H83" s="377">
        <f>E83/F83</f>
        <v>4.4721359549995799E-6</v>
      </c>
      <c r="I83" s="375">
        <v>1</v>
      </c>
      <c r="J83" s="377">
        <f>H83*I83</f>
        <v>4.4721359549995799E-6</v>
      </c>
      <c r="K83" s="378">
        <f>J83^2</f>
        <v>2.0000000000000005E-11</v>
      </c>
      <c r="L83" s="379">
        <f>K83^2/G83</f>
        <v>1.0000000000000005E-22</v>
      </c>
      <c r="N83" s="374" t="s">
        <v>220</v>
      </c>
      <c r="O83" s="19" t="str">
        <f>P81</f>
        <v>Ω</v>
      </c>
      <c r="P83" s="375" t="s">
        <v>205</v>
      </c>
      <c r="Q83" s="376">
        <f>ID!G54</f>
        <v>1.0000000000000001E-5</v>
      </c>
      <c r="R83" s="377">
        <f>SQRT(5)</f>
        <v>2.2360679774997898</v>
      </c>
      <c r="S83" s="375">
        <f>5-1</f>
        <v>4</v>
      </c>
      <c r="T83" s="377">
        <f>Q83/R83</f>
        <v>4.4721359549995799E-6</v>
      </c>
      <c r="U83" s="375">
        <v>1</v>
      </c>
      <c r="V83" s="377">
        <f>T83*U83</f>
        <v>4.4721359549995799E-6</v>
      </c>
      <c r="W83" s="378">
        <f>V83^2</f>
        <v>2.0000000000000005E-11</v>
      </c>
      <c r="X83" s="379">
        <f>W83^2/S83</f>
        <v>1.0000000000000005E-22</v>
      </c>
      <c r="Y83" s="402"/>
    </row>
    <row r="84" spans="1:25" x14ac:dyDescent="0.35">
      <c r="A84" s="402"/>
      <c r="B84" s="374" t="s">
        <v>221</v>
      </c>
      <c r="C84" s="19" t="str">
        <f>C83</f>
        <v>Ω</v>
      </c>
      <c r="D84" s="375" t="s">
        <v>205</v>
      </c>
      <c r="E84" s="376">
        <f>'Sert Resistor'!AG47</f>
        <v>1.0000000000000001E-5</v>
      </c>
      <c r="F84" s="377">
        <f>SQRT(5)</f>
        <v>2.2360679774997898</v>
      </c>
      <c r="G84" s="375">
        <f>5-1</f>
        <v>4</v>
      </c>
      <c r="H84" s="377">
        <f>E84/F84</f>
        <v>4.4721359549995799E-6</v>
      </c>
      <c r="I84" s="375">
        <v>1</v>
      </c>
      <c r="J84" s="377">
        <f>H84*I84</f>
        <v>4.4721359549995799E-6</v>
      </c>
      <c r="K84" s="378">
        <f>J84^2</f>
        <v>2.0000000000000005E-11</v>
      </c>
      <c r="L84" s="379">
        <f>K84^2/G84</f>
        <v>1.0000000000000005E-22</v>
      </c>
      <c r="N84" s="374" t="s">
        <v>221</v>
      </c>
      <c r="O84" s="19" t="str">
        <f>O83</f>
        <v>Ω</v>
      </c>
      <c r="P84" s="375" t="s">
        <v>205</v>
      </c>
      <c r="Q84" s="376">
        <f>'Sert Resistor'!AG60</f>
        <v>1.0000000000000001E-5</v>
      </c>
      <c r="R84" s="377">
        <f>SQRT(5)</f>
        <v>2.2360679774997898</v>
      </c>
      <c r="S84" s="375">
        <f>5-1</f>
        <v>4</v>
      </c>
      <c r="T84" s="377">
        <f>Q84/R84</f>
        <v>4.4721359549995799E-6</v>
      </c>
      <c r="U84" s="375">
        <v>1</v>
      </c>
      <c r="V84" s="377">
        <f>T84*U84</f>
        <v>4.4721359549995799E-6</v>
      </c>
      <c r="W84" s="378">
        <f>V84^2</f>
        <v>2.0000000000000005E-11</v>
      </c>
      <c r="X84" s="379">
        <f>W84^2/S84</f>
        <v>1.0000000000000005E-22</v>
      </c>
      <c r="Y84" s="402"/>
    </row>
    <row r="85" spans="1:25" x14ac:dyDescent="0.35">
      <c r="A85" s="402"/>
      <c r="B85" s="380" t="s">
        <v>206</v>
      </c>
      <c r="C85" s="19" t="str">
        <f>C84</f>
        <v>Ω</v>
      </c>
      <c r="D85" s="375" t="s">
        <v>205</v>
      </c>
      <c r="E85" s="381">
        <f>'Sert Resistor'!AJ47</f>
        <v>4.3609255073485785E-4</v>
      </c>
      <c r="F85" s="377">
        <v>2</v>
      </c>
      <c r="G85" s="375">
        <f>0.5*(100/10)^2</f>
        <v>50</v>
      </c>
      <c r="H85" s="377">
        <f>E85/F85</f>
        <v>2.1804627536742892E-4</v>
      </c>
      <c r="I85" s="375">
        <v>1</v>
      </c>
      <c r="J85" s="377">
        <f>H85*I85</f>
        <v>2.1804627536742892E-4</v>
      </c>
      <c r="K85" s="378">
        <f>J85^2</f>
        <v>4.7544178201608641E-8</v>
      </c>
      <c r="L85" s="379">
        <f>K85^2/G85</f>
        <v>4.5208977617326362E-17</v>
      </c>
      <c r="N85" s="380" t="s">
        <v>206</v>
      </c>
      <c r="O85" s="19" t="str">
        <f>O84</f>
        <v>Ω</v>
      </c>
      <c r="P85" s="375" t="s">
        <v>205</v>
      </c>
      <c r="Q85" s="381">
        <f ca="1">'Sert Resistor'!AJ60</f>
        <v>4.3609260970141095E-4</v>
      </c>
      <c r="R85" s="377">
        <v>2</v>
      </c>
      <c r="S85" s="375">
        <f>0.5*(100/10)^2</f>
        <v>50</v>
      </c>
      <c r="T85" s="377">
        <f ca="1">Q85/R85</f>
        <v>2.1804630485070548E-4</v>
      </c>
      <c r="U85" s="375">
        <v>1</v>
      </c>
      <c r="V85" s="377">
        <f ca="1">T85*U85</f>
        <v>2.1804630485070548E-4</v>
      </c>
      <c r="W85" s="378">
        <f ca="1">V85^2</f>
        <v>4.7544191059046789E-8</v>
      </c>
      <c r="X85" s="379">
        <f ca="1">W85^2/S85</f>
        <v>4.5209002069182894E-17</v>
      </c>
      <c r="Y85" s="402"/>
    </row>
    <row r="86" spans="1:25" x14ac:dyDescent="0.35">
      <c r="A86" s="402"/>
      <c r="B86" s="380" t="s">
        <v>207</v>
      </c>
      <c r="C86" s="19" t="str">
        <f>C85</f>
        <v>Ω</v>
      </c>
      <c r="D86" s="375" t="s">
        <v>208</v>
      </c>
      <c r="E86" s="382">
        <f>'Sert Resistor'!AH47</f>
        <v>5.0000000000000001E-4</v>
      </c>
      <c r="F86" s="377">
        <f>SQRT(3)</f>
        <v>1.7320508075688772</v>
      </c>
      <c r="G86" s="375">
        <v>50</v>
      </c>
      <c r="H86" s="377">
        <f>E86/F86</f>
        <v>2.886751345948129E-4</v>
      </c>
      <c r="I86" s="375">
        <v>1</v>
      </c>
      <c r="J86" s="377">
        <f>H86*I86</f>
        <v>2.886751345948129E-4</v>
      </c>
      <c r="K86" s="378">
        <f>J86^2</f>
        <v>8.3333333333333338E-8</v>
      </c>
      <c r="L86" s="379">
        <f>K86^2/G86</f>
        <v>1.388888888888889E-16</v>
      </c>
      <c r="N86" s="380" t="s">
        <v>207</v>
      </c>
      <c r="O86" s="19" t="str">
        <f>O85</f>
        <v>Ω</v>
      </c>
      <c r="P86" s="375" t="s">
        <v>208</v>
      </c>
      <c r="Q86" s="382">
        <f>'Sert Resistor'!AH60</f>
        <v>5.0000000000000001E-4</v>
      </c>
      <c r="R86" s="377">
        <f>SQRT(3)</f>
        <v>1.7320508075688772</v>
      </c>
      <c r="S86" s="375">
        <v>50</v>
      </c>
      <c r="T86" s="377">
        <f>Q86/R86</f>
        <v>2.886751345948129E-4</v>
      </c>
      <c r="U86" s="375">
        <v>1</v>
      </c>
      <c r="V86" s="377">
        <f>T86*U86</f>
        <v>2.886751345948129E-4</v>
      </c>
      <c r="W86" s="378">
        <f>V86^2</f>
        <v>8.3333333333333338E-8</v>
      </c>
      <c r="X86" s="379">
        <f>W86^2/S86</f>
        <v>1.388888888888889E-16</v>
      </c>
      <c r="Y86" s="402"/>
    </row>
    <row r="87" spans="1:25" x14ac:dyDescent="0.35">
      <c r="A87" s="402"/>
      <c r="B87" s="383" t="s">
        <v>209</v>
      </c>
      <c r="C87" s="19" t="str">
        <f>C86</f>
        <v>Ω</v>
      </c>
      <c r="D87" s="375" t="s">
        <v>208</v>
      </c>
      <c r="E87" s="381">
        <f>'Sert Resistor'!AI47</f>
        <v>1.4536418357828594E-4</v>
      </c>
      <c r="F87" s="377">
        <f>SQRT(3)</f>
        <v>1.7320508075688772</v>
      </c>
      <c r="G87" s="375">
        <v>50</v>
      </c>
      <c r="H87" s="377">
        <f>E87/F87</f>
        <v>8.3926050519453566E-5</v>
      </c>
      <c r="I87" s="375">
        <v>1</v>
      </c>
      <c r="J87" s="377">
        <f>H87*I87</f>
        <v>8.3926050519453566E-5</v>
      </c>
      <c r="K87" s="378">
        <f>J87^2</f>
        <v>7.0435819557938724E-9</v>
      </c>
      <c r="L87" s="379">
        <f>K87^2/G87</f>
        <v>9.9224093535970072E-19</v>
      </c>
      <c r="N87" s="383" t="s">
        <v>209</v>
      </c>
      <c r="O87" s="19" t="str">
        <f>O86</f>
        <v>Ω</v>
      </c>
      <c r="P87" s="375" t="s">
        <v>208</v>
      </c>
      <c r="Q87" s="381">
        <f ca="1">'Sert Resistor'!AI60</f>
        <v>1.4536420323380363E-4</v>
      </c>
      <c r="R87" s="377">
        <f>SQRT(3)</f>
        <v>1.7320508075688772</v>
      </c>
      <c r="S87" s="375">
        <v>50</v>
      </c>
      <c r="T87" s="377">
        <f ca="1">Q87/R87</f>
        <v>8.3926061867572001E-5</v>
      </c>
      <c r="U87" s="375">
        <v>1</v>
      </c>
      <c r="V87" s="377">
        <f ca="1">T87*U87</f>
        <v>8.3926061867572001E-5</v>
      </c>
      <c r="W87" s="378">
        <f ca="1">V87^2</f>
        <v>7.0435838605995236E-9</v>
      </c>
      <c r="X87" s="379">
        <f ca="1">W87^2/S87</f>
        <v>9.922414720259617E-19</v>
      </c>
      <c r="Y87" s="402"/>
    </row>
    <row r="88" spans="1:25" x14ac:dyDescent="0.35">
      <c r="A88" s="402"/>
      <c r="B88" s="374" t="s">
        <v>210</v>
      </c>
      <c r="C88" s="384"/>
      <c r="D88" s="384"/>
      <c r="E88" s="384"/>
      <c r="F88" s="384"/>
      <c r="G88" s="384"/>
      <c r="H88" s="384"/>
      <c r="I88" s="384"/>
      <c r="J88" s="384"/>
      <c r="K88" s="378">
        <f>SUM(K83:K87)</f>
        <v>1.3796109349073584E-7</v>
      </c>
      <c r="L88" s="379">
        <f>SUM(L83:L87)</f>
        <v>1.8509030744157497E-16</v>
      </c>
      <c r="N88" s="374" t="s">
        <v>210</v>
      </c>
      <c r="O88" s="384"/>
      <c r="P88" s="384"/>
      <c r="Q88" s="384"/>
      <c r="R88" s="384"/>
      <c r="S88" s="384"/>
      <c r="T88" s="384"/>
      <c r="U88" s="384"/>
      <c r="V88" s="384"/>
      <c r="W88" s="378">
        <f ca="1">SUM(W83:W87)</f>
        <v>1.3796110825297965E-7</v>
      </c>
      <c r="X88" s="379">
        <f ca="1">SUM(X83:X87)</f>
        <v>1.8509033243009776E-16</v>
      </c>
      <c r="Y88" s="402"/>
    </row>
    <row r="89" spans="1:25" ht="15" x14ac:dyDescent="0.4">
      <c r="A89" s="402"/>
      <c r="B89" s="374" t="s">
        <v>211</v>
      </c>
      <c r="C89" s="384"/>
      <c r="D89" s="384"/>
      <c r="E89" s="384"/>
      <c r="F89" s="384"/>
      <c r="G89" s="384"/>
      <c r="H89" s="385" t="s">
        <v>212</v>
      </c>
      <c r="I89" s="386"/>
      <c r="J89" s="384"/>
      <c r="K89" s="387">
        <f>SQRT(K88)</f>
        <v>3.7143114232753266E-4</v>
      </c>
      <c r="L89" s="388"/>
      <c r="N89" s="374" t="s">
        <v>211</v>
      </c>
      <c r="O89" s="384"/>
      <c r="P89" s="384"/>
      <c r="Q89" s="384"/>
      <c r="R89" s="384"/>
      <c r="S89" s="384"/>
      <c r="T89" s="385" t="s">
        <v>212</v>
      </c>
      <c r="U89" s="386"/>
      <c r="V89" s="384"/>
      <c r="W89" s="387">
        <f ca="1">SQRT(W88)</f>
        <v>3.7143116219964589E-4</v>
      </c>
      <c r="X89" s="388"/>
      <c r="Y89" s="402"/>
    </row>
    <row r="90" spans="1:25" ht="16.5" x14ac:dyDescent="0.4">
      <c r="A90" s="402"/>
      <c r="B90" s="374" t="s">
        <v>213</v>
      </c>
      <c r="C90" s="384"/>
      <c r="D90" s="384"/>
      <c r="E90" s="384"/>
      <c r="F90" s="384"/>
      <c r="G90" s="384"/>
      <c r="H90" s="389" t="s">
        <v>214</v>
      </c>
      <c r="I90" s="390"/>
      <c r="J90" s="384"/>
      <c r="K90" s="375">
        <f>K89^4/L88</f>
        <v>102.83230699785577</v>
      </c>
      <c r="L90" s="388"/>
      <c r="N90" s="374" t="s">
        <v>213</v>
      </c>
      <c r="O90" s="384"/>
      <c r="P90" s="384"/>
      <c r="Q90" s="384"/>
      <c r="R90" s="384"/>
      <c r="S90" s="384"/>
      <c r="T90" s="389" t="s">
        <v>214</v>
      </c>
      <c r="U90" s="390"/>
      <c r="V90" s="384"/>
      <c r="W90" s="375">
        <f ca="1">W89^4/X88</f>
        <v>102.83231512147496</v>
      </c>
      <c r="X90" s="388"/>
      <c r="Y90" s="402"/>
    </row>
    <row r="91" spans="1:25" x14ac:dyDescent="0.35">
      <c r="A91" s="402"/>
      <c r="B91" s="374" t="s">
        <v>215</v>
      </c>
      <c r="C91" s="384"/>
      <c r="D91" s="384"/>
      <c r="E91" s="384"/>
      <c r="F91" s="384"/>
      <c r="G91" s="384"/>
      <c r="H91" s="391" t="s">
        <v>216</v>
      </c>
      <c r="I91" s="392"/>
      <c r="J91" s="384"/>
      <c r="K91" s="377">
        <f>1.95996+(2.37356/K90)+(2.818745/K90^2)+(2.546662/K90^3)+(1.761829/K90^4)+(0.245458/K90^5)+(1.000764/K90^6)</f>
        <v>1.9833107698837726</v>
      </c>
      <c r="L91" s="393">
        <f>TINV(0.05,K90)</f>
        <v>1.9834952585628811</v>
      </c>
      <c r="N91" s="374" t="s">
        <v>215</v>
      </c>
      <c r="O91" s="384"/>
      <c r="P91" s="384"/>
      <c r="Q91" s="384"/>
      <c r="R91" s="384"/>
      <c r="S91" s="384"/>
      <c r="T91" s="391" t="s">
        <v>216</v>
      </c>
      <c r="U91" s="392"/>
      <c r="V91" s="384"/>
      <c r="W91" s="377">
        <f ca="1">1.95996+(2.37356/W90)+(2.818745/W90^2)+(2.546662/W90^3)+(1.761829/W90^4)+(0.245458/W90^5)+(1.000764/W90^6)</f>
        <v>1.9833107680176605</v>
      </c>
      <c r="X91" s="393">
        <f ca="1">TINV(0.05,W90)</f>
        <v>1.9834952585628811</v>
      </c>
      <c r="Y91" s="402"/>
    </row>
    <row r="92" spans="1:25" ht="15.5" x14ac:dyDescent="0.35">
      <c r="A92" s="402"/>
      <c r="B92" s="374" t="s">
        <v>217</v>
      </c>
      <c r="C92" s="384"/>
      <c r="D92" s="384"/>
      <c r="E92" s="384"/>
      <c r="F92" s="384"/>
      <c r="G92" s="384"/>
      <c r="H92" s="394" t="s">
        <v>218</v>
      </c>
      <c r="I92" s="395"/>
      <c r="J92" s="384"/>
      <c r="K92" s="398">
        <f>K91*K89</f>
        <v>7.366633848484279E-4</v>
      </c>
      <c r="L92" s="19" t="str">
        <f>D81</f>
        <v>Ω</v>
      </c>
      <c r="N92" s="374" t="s">
        <v>217</v>
      </c>
      <c r="O92" s="384"/>
      <c r="P92" s="384"/>
      <c r="Q92" s="384"/>
      <c r="R92" s="384"/>
      <c r="S92" s="384"/>
      <c r="T92" s="394" t="s">
        <v>218</v>
      </c>
      <c r="U92" s="395"/>
      <c r="V92" s="384"/>
      <c r="W92" s="398">
        <f ca="1">W91*W89</f>
        <v>7.3666342356787189E-4</v>
      </c>
      <c r="X92" s="19" t="str">
        <f>P81</f>
        <v>Ω</v>
      </c>
      <c r="Y92" s="402"/>
    </row>
    <row r="93" spans="1:25" x14ac:dyDescent="0.35">
      <c r="A93" s="402"/>
      <c r="B93" s="396"/>
      <c r="C93" s="396"/>
      <c r="D93" s="396"/>
      <c r="E93" s="396"/>
      <c r="F93" s="396"/>
      <c r="G93" s="396"/>
      <c r="H93" s="396"/>
      <c r="I93" s="396"/>
      <c r="J93" s="396"/>
      <c r="K93" s="388">
        <f>(K92/C81)*100</f>
        <v>7.3666338484842786</v>
      </c>
      <c r="L93" s="19" t="s">
        <v>219</v>
      </c>
      <c r="N93" s="396"/>
      <c r="O93" s="396"/>
      <c r="P93" s="396"/>
      <c r="Q93" s="396"/>
      <c r="R93" s="396"/>
      <c r="S93" s="396"/>
      <c r="T93" s="396"/>
      <c r="U93" s="396"/>
      <c r="V93" s="396"/>
      <c r="W93" s="388">
        <f ca="1">(W92/O81)*100</f>
        <v>7.3666342356787196</v>
      </c>
      <c r="X93" s="19" t="s">
        <v>219</v>
      </c>
      <c r="Y93" s="402"/>
    </row>
    <row r="94" spans="1:25" x14ac:dyDescent="0.35">
      <c r="A94" s="402"/>
      <c r="B94" s="396" t="s">
        <v>193</v>
      </c>
      <c r="C94" s="77">
        <f>ID!D41</f>
        <v>0.1</v>
      </c>
      <c r="D94" s="397" t="s">
        <v>134</v>
      </c>
      <c r="N94" s="396" t="s">
        <v>193</v>
      </c>
      <c r="O94" s="77">
        <f>ID!D49</f>
        <v>0.1</v>
      </c>
      <c r="P94" s="397" t="s">
        <v>134</v>
      </c>
      <c r="Y94" s="402"/>
    </row>
    <row r="95" spans="1:25" x14ac:dyDescent="0.35">
      <c r="A95" s="402"/>
      <c r="B95" s="372" t="s">
        <v>194</v>
      </c>
      <c r="C95" s="373" t="s">
        <v>72</v>
      </c>
      <c r="D95" s="373" t="s">
        <v>195</v>
      </c>
      <c r="E95" s="372" t="s">
        <v>196</v>
      </c>
      <c r="F95" s="372" t="s">
        <v>197</v>
      </c>
      <c r="G95" s="372" t="s">
        <v>198</v>
      </c>
      <c r="H95" s="372" t="s">
        <v>199</v>
      </c>
      <c r="I95" s="372" t="s">
        <v>200</v>
      </c>
      <c r="J95" s="372" t="s">
        <v>201</v>
      </c>
      <c r="K95" s="372" t="s">
        <v>202</v>
      </c>
      <c r="L95" s="373" t="s">
        <v>203</v>
      </c>
      <c r="N95" s="372" t="s">
        <v>194</v>
      </c>
      <c r="O95" s="373" t="s">
        <v>72</v>
      </c>
      <c r="P95" s="373" t="s">
        <v>195</v>
      </c>
      <c r="Q95" s="372" t="s">
        <v>196</v>
      </c>
      <c r="R95" s="372" t="s">
        <v>197</v>
      </c>
      <c r="S95" s="372" t="s">
        <v>198</v>
      </c>
      <c r="T95" s="372" t="s">
        <v>199</v>
      </c>
      <c r="U95" s="372" t="s">
        <v>200</v>
      </c>
      <c r="V95" s="372" t="s">
        <v>201</v>
      </c>
      <c r="W95" s="372" t="s">
        <v>202</v>
      </c>
      <c r="X95" s="373" t="s">
        <v>203</v>
      </c>
      <c r="Y95" s="402"/>
    </row>
    <row r="96" spans="1:25" x14ac:dyDescent="0.35">
      <c r="A96" s="402"/>
      <c r="B96" s="374" t="s">
        <v>220</v>
      </c>
      <c r="C96" s="19" t="str">
        <f>D94</f>
        <v>Ω</v>
      </c>
      <c r="D96" s="375" t="s">
        <v>205</v>
      </c>
      <c r="E96" s="376">
        <f>E83</f>
        <v>1.0000000000000001E-5</v>
      </c>
      <c r="F96" s="377">
        <f>SQRT(5)</f>
        <v>2.2360679774997898</v>
      </c>
      <c r="G96" s="375">
        <f>5-1</f>
        <v>4</v>
      </c>
      <c r="H96" s="377">
        <f>E96/F96</f>
        <v>4.4721359549995799E-6</v>
      </c>
      <c r="I96" s="375">
        <v>1</v>
      </c>
      <c r="J96" s="377">
        <f>H96*I96</f>
        <v>4.4721359549995799E-6</v>
      </c>
      <c r="K96" s="378">
        <f>J96^2</f>
        <v>2.0000000000000005E-11</v>
      </c>
      <c r="L96" s="379">
        <f>K96^2/G96</f>
        <v>1.0000000000000005E-22</v>
      </c>
      <c r="N96" s="374" t="s">
        <v>220</v>
      </c>
      <c r="O96" s="19" t="str">
        <f>P94</f>
        <v>Ω</v>
      </c>
      <c r="P96" s="375" t="s">
        <v>205</v>
      </c>
      <c r="Q96" s="376">
        <f>Q83</f>
        <v>1.0000000000000001E-5</v>
      </c>
      <c r="R96" s="377">
        <f>SQRT(5)</f>
        <v>2.2360679774997898</v>
      </c>
      <c r="S96" s="375">
        <f>5-1</f>
        <v>4</v>
      </c>
      <c r="T96" s="377">
        <f>Q96/R96</f>
        <v>4.4721359549995799E-6</v>
      </c>
      <c r="U96" s="375">
        <v>1</v>
      </c>
      <c r="V96" s="377">
        <f>T96*U96</f>
        <v>4.4721359549995799E-6</v>
      </c>
      <c r="W96" s="378">
        <f>V96^2</f>
        <v>2.0000000000000005E-11</v>
      </c>
      <c r="X96" s="379">
        <f>W96^2/S96</f>
        <v>1.0000000000000005E-22</v>
      </c>
      <c r="Y96" s="402"/>
    </row>
    <row r="97" spans="1:25" x14ac:dyDescent="0.35">
      <c r="A97" s="402"/>
      <c r="B97" s="374" t="s">
        <v>221</v>
      </c>
      <c r="C97" s="19" t="str">
        <f>C96</f>
        <v>Ω</v>
      </c>
      <c r="D97" s="375" t="s">
        <v>205</v>
      </c>
      <c r="E97" s="376">
        <f>'Sert Resistor'!AG48</f>
        <v>1.0000000000000001E-5</v>
      </c>
      <c r="F97" s="377">
        <f>SQRT(5)</f>
        <v>2.2360679774997898</v>
      </c>
      <c r="G97" s="375">
        <f>5-1</f>
        <v>4</v>
      </c>
      <c r="H97" s="377">
        <f>E97/F97</f>
        <v>4.4721359549995799E-6</v>
      </c>
      <c r="I97" s="375">
        <v>1</v>
      </c>
      <c r="J97" s="377">
        <f>H97*I97</f>
        <v>4.4721359549995799E-6</v>
      </c>
      <c r="K97" s="378">
        <f>J97^2</f>
        <v>2.0000000000000005E-11</v>
      </c>
      <c r="L97" s="379">
        <f>K97^2/G97</f>
        <v>1.0000000000000005E-22</v>
      </c>
      <c r="N97" s="374" t="s">
        <v>221</v>
      </c>
      <c r="O97" s="19" t="str">
        <f>O96</f>
        <v>Ω</v>
      </c>
      <c r="P97" s="375" t="s">
        <v>205</v>
      </c>
      <c r="Q97" s="376">
        <f>'Sert Resistor'!AG61</f>
        <v>1.0000000000000001E-5</v>
      </c>
      <c r="R97" s="377">
        <f>SQRT(5)</f>
        <v>2.2360679774997898</v>
      </c>
      <c r="S97" s="375">
        <f>5-1</f>
        <v>4</v>
      </c>
      <c r="T97" s="377">
        <f>Q97/R97</f>
        <v>4.4721359549995799E-6</v>
      </c>
      <c r="U97" s="375">
        <v>1</v>
      </c>
      <c r="V97" s="377">
        <f>T97*U97</f>
        <v>4.4721359549995799E-6</v>
      </c>
      <c r="W97" s="378">
        <f>V97^2</f>
        <v>2.0000000000000005E-11</v>
      </c>
      <c r="X97" s="379">
        <f>W97^2/S97</f>
        <v>1.0000000000000005E-22</v>
      </c>
      <c r="Y97" s="402"/>
    </row>
    <row r="98" spans="1:25" x14ac:dyDescent="0.35">
      <c r="A98" s="402"/>
      <c r="B98" s="380" t="s">
        <v>206</v>
      </c>
      <c r="C98" s="19" t="str">
        <f>C97</f>
        <v>Ω</v>
      </c>
      <c r="D98" s="375" t="s">
        <v>205</v>
      </c>
      <c r="E98" s="381">
        <f>'Sert Resistor'!AJ48</f>
        <v>4.3610710931702806E-4</v>
      </c>
      <c r="F98" s="377">
        <v>2</v>
      </c>
      <c r="G98" s="375">
        <f>0.5*(100/10)^2</f>
        <v>50</v>
      </c>
      <c r="H98" s="377">
        <f>E98/F98</f>
        <v>2.1805355465851403E-4</v>
      </c>
      <c r="I98" s="375">
        <v>1</v>
      </c>
      <c r="J98" s="377">
        <f>H98*I98</f>
        <v>2.1805355465851403E-4</v>
      </c>
      <c r="K98" s="378">
        <f>J98^2</f>
        <v>4.7547352699213563E-8</v>
      </c>
      <c r="L98" s="379">
        <f>K98^2/G98</f>
        <v>4.5215014974068227E-17</v>
      </c>
      <c r="N98" s="380" t="s">
        <v>206</v>
      </c>
      <c r="O98" s="19" t="str">
        <f>O97</f>
        <v>Ω</v>
      </c>
      <c r="P98" s="375" t="s">
        <v>205</v>
      </c>
      <c r="Q98" s="381">
        <f ca="1">'Sert Resistor'!AJ61</f>
        <v>4.361059717138171E-4</v>
      </c>
      <c r="R98" s="377">
        <v>2</v>
      </c>
      <c r="S98" s="375">
        <f>0.5*(100/10)^2</f>
        <v>50</v>
      </c>
      <c r="T98" s="377">
        <f ca="1">Q98/R98</f>
        <v>2.1805298585690855E-4</v>
      </c>
      <c r="U98" s="375">
        <v>1</v>
      </c>
      <c r="V98" s="377">
        <f ca="1">T98*U98</f>
        <v>2.1805298585690855E-4</v>
      </c>
      <c r="W98" s="378">
        <f ca="1">V98^2</f>
        <v>4.7547104641113159E-8</v>
      </c>
      <c r="X98" s="379">
        <f ca="1">W98^2/S98</f>
        <v>4.5214543195059286E-17</v>
      </c>
      <c r="Y98" s="402"/>
    </row>
    <row r="99" spans="1:25" x14ac:dyDescent="0.35">
      <c r="A99" s="402"/>
      <c r="B99" s="380" t="s">
        <v>207</v>
      </c>
      <c r="C99" s="19" t="str">
        <f>C98</f>
        <v>Ω</v>
      </c>
      <c r="D99" s="375" t="s">
        <v>208</v>
      </c>
      <c r="E99" s="382">
        <f>'Sert Resistor'!AH48</f>
        <v>5.0000000000000001E-4</v>
      </c>
      <c r="F99" s="377">
        <f>SQRT(3)</f>
        <v>1.7320508075688772</v>
      </c>
      <c r="G99" s="375">
        <v>50</v>
      </c>
      <c r="H99" s="377">
        <f>E99/F99</f>
        <v>2.886751345948129E-4</v>
      </c>
      <c r="I99" s="375">
        <v>1</v>
      </c>
      <c r="J99" s="377">
        <f>H99*I99</f>
        <v>2.886751345948129E-4</v>
      </c>
      <c r="K99" s="378">
        <f>J99^2</f>
        <v>8.3333333333333338E-8</v>
      </c>
      <c r="L99" s="379">
        <f>K99^2/G99</f>
        <v>1.388888888888889E-16</v>
      </c>
      <c r="N99" s="380" t="s">
        <v>207</v>
      </c>
      <c r="O99" s="19" t="str">
        <f>O98</f>
        <v>Ω</v>
      </c>
      <c r="P99" s="375" t="s">
        <v>208</v>
      </c>
      <c r="Q99" s="382">
        <f>'Sert Resistor'!AH61</f>
        <v>5.0000000000000001E-4</v>
      </c>
      <c r="R99" s="377">
        <f>SQRT(3)</f>
        <v>1.7320508075688772</v>
      </c>
      <c r="S99" s="375">
        <v>50</v>
      </c>
      <c r="T99" s="377">
        <f>Q99/R99</f>
        <v>2.886751345948129E-4</v>
      </c>
      <c r="U99" s="375">
        <v>1</v>
      </c>
      <c r="V99" s="377">
        <f>T99*U99</f>
        <v>2.886751345948129E-4</v>
      </c>
      <c r="W99" s="378">
        <f>V99^2</f>
        <v>8.3333333333333338E-8</v>
      </c>
      <c r="X99" s="379">
        <f>W99^2/S99</f>
        <v>1.388888888888889E-16</v>
      </c>
      <c r="Y99" s="402"/>
    </row>
    <row r="100" spans="1:25" x14ac:dyDescent="0.35">
      <c r="A100" s="402"/>
      <c r="B100" s="383" t="s">
        <v>209</v>
      </c>
      <c r="C100" s="19" t="str">
        <f>C99</f>
        <v>Ω</v>
      </c>
      <c r="D100" s="375" t="s">
        <v>208</v>
      </c>
      <c r="E100" s="381">
        <f>'Sert Resistor'!AI48</f>
        <v>1.4536903643900935E-4</v>
      </c>
      <c r="F100" s="377">
        <f>SQRT(3)</f>
        <v>1.7320508075688772</v>
      </c>
      <c r="G100" s="375">
        <v>50</v>
      </c>
      <c r="H100" s="377">
        <f>E100/F100</f>
        <v>8.3928852319898565E-5</v>
      </c>
      <c r="I100" s="375">
        <v>1</v>
      </c>
      <c r="J100" s="377">
        <f>H100*I100</f>
        <v>8.3928852319898565E-5</v>
      </c>
      <c r="K100" s="378">
        <f>J100^2</f>
        <v>7.0440522517353424E-9</v>
      </c>
      <c r="L100" s="379">
        <f>K100^2/G100</f>
        <v>9.92373442503555E-19</v>
      </c>
      <c r="N100" s="383" t="s">
        <v>209</v>
      </c>
      <c r="O100" s="19" t="str">
        <f>O99</f>
        <v>Ω</v>
      </c>
      <c r="P100" s="375" t="s">
        <v>208</v>
      </c>
      <c r="Q100" s="381">
        <f ca="1">'Sert Resistor'!AI61</f>
        <v>1.4536865723793901E-4</v>
      </c>
      <c r="R100" s="377">
        <f>SQRT(3)</f>
        <v>1.7320508075688772</v>
      </c>
      <c r="S100" s="375">
        <v>50</v>
      </c>
      <c r="T100" s="377">
        <f ca="1">Q100/R100</f>
        <v>8.3928633388058528E-5</v>
      </c>
      <c r="U100" s="375">
        <v>1</v>
      </c>
      <c r="V100" s="377">
        <f ca="1">T100*U100</f>
        <v>8.3928633388058528E-5</v>
      </c>
      <c r="W100" s="378">
        <f ca="1">V100^2</f>
        <v>7.0440155023871325E-9</v>
      </c>
      <c r="X100" s="379">
        <f ca="1">W100^2/S100</f>
        <v>9.9236308795740504E-19</v>
      </c>
      <c r="Y100" s="402"/>
    </row>
    <row r="101" spans="1:25" x14ac:dyDescent="0.35">
      <c r="A101" s="402"/>
      <c r="B101" s="374" t="s">
        <v>210</v>
      </c>
      <c r="C101" s="384"/>
      <c r="D101" s="384"/>
      <c r="E101" s="384"/>
      <c r="F101" s="384"/>
      <c r="G101" s="384"/>
      <c r="H101" s="384"/>
      <c r="I101" s="384"/>
      <c r="J101" s="384"/>
      <c r="K101" s="378">
        <f>SUM(K96:K100)</f>
        <v>1.3796473828428224E-7</v>
      </c>
      <c r="L101" s="379">
        <f>SUM(L96:L100)</f>
        <v>1.8509647730546067E-16</v>
      </c>
      <c r="N101" s="374" t="s">
        <v>210</v>
      </c>
      <c r="O101" s="384"/>
      <c r="P101" s="384"/>
      <c r="Q101" s="384"/>
      <c r="R101" s="384"/>
      <c r="S101" s="384"/>
      <c r="T101" s="384"/>
      <c r="U101" s="384"/>
      <c r="V101" s="384"/>
      <c r="W101" s="378">
        <f ca="1">SUM(W96:W100)</f>
        <v>1.3796445347683363E-7</v>
      </c>
      <c r="X101" s="379">
        <f ca="1">SUM(X96:X100)</f>
        <v>1.8509599517190558E-16</v>
      </c>
      <c r="Y101" s="402"/>
    </row>
    <row r="102" spans="1:25" ht="15" x14ac:dyDescent="0.4">
      <c r="A102" s="402"/>
      <c r="B102" s="374" t="s">
        <v>211</v>
      </c>
      <c r="C102" s="384"/>
      <c r="D102" s="384"/>
      <c r="E102" s="384"/>
      <c r="F102" s="384"/>
      <c r="G102" s="384"/>
      <c r="H102" s="385" t="s">
        <v>212</v>
      </c>
      <c r="I102" s="386"/>
      <c r="J102" s="384"/>
      <c r="K102" s="387">
        <f>SQRT(K101)</f>
        <v>3.7143604871401784E-4</v>
      </c>
      <c r="L102" s="388"/>
      <c r="N102" s="374" t="s">
        <v>211</v>
      </c>
      <c r="O102" s="384"/>
      <c r="P102" s="384"/>
      <c r="Q102" s="384"/>
      <c r="R102" s="384"/>
      <c r="S102" s="384"/>
      <c r="T102" s="385" t="s">
        <v>212</v>
      </c>
      <c r="U102" s="386"/>
      <c r="V102" s="384"/>
      <c r="W102" s="387">
        <f ca="1">SQRT(W101)</f>
        <v>3.7143566532689567E-4</v>
      </c>
      <c r="X102" s="388"/>
      <c r="Y102" s="402"/>
    </row>
    <row r="103" spans="1:25" ht="16.5" x14ac:dyDescent="0.4">
      <c r="A103" s="402"/>
      <c r="B103" s="374" t="s">
        <v>213</v>
      </c>
      <c r="C103" s="384"/>
      <c r="D103" s="384"/>
      <c r="E103" s="384"/>
      <c r="F103" s="384"/>
      <c r="G103" s="384"/>
      <c r="H103" s="389" t="s">
        <v>214</v>
      </c>
      <c r="I103" s="390"/>
      <c r="J103" s="384"/>
      <c r="K103" s="375">
        <f>K102^4/L101</f>
        <v>102.83431260789828</v>
      </c>
      <c r="L103" s="388"/>
      <c r="N103" s="374" t="s">
        <v>213</v>
      </c>
      <c r="O103" s="384"/>
      <c r="P103" s="384"/>
      <c r="Q103" s="384"/>
      <c r="R103" s="384"/>
      <c r="S103" s="384"/>
      <c r="T103" s="389" t="s">
        <v>214</v>
      </c>
      <c r="U103" s="390"/>
      <c r="V103" s="384"/>
      <c r="W103" s="375">
        <f ca="1">W102^4/X101</f>
        <v>102.83415589561311</v>
      </c>
      <c r="X103" s="388"/>
      <c r="Y103" s="402"/>
    </row>
    <row r="104" spans="1:25" x14ac:dyDescent="0.35">
      <c r="A104" s="402"/>
      <c r="B104" s="374" t="s">
        <v>215</v>
      </c>
      <c r="C104" s="384"/>
      <c r="D104" s="384"/>
      <c r="E104" s="384"/>
      <c r="F104" s="384"/>
      <c r="G104" s="384"/>
      <c r="H104" s="391" t="s">
        <v>216</v>
      </c>
      <c r="I104" s="392"/>
      <c r="J104" s="384"/>
      <c r="K104" s="377">
        <f>1.95996+(2.37356/K103)+(2.818745/K103^2)+(2.546662/K103^3)+(1.761829/K103^4)+(0.245458/K103^5)+(1.000764/K103^6)</f>
        <v>1.983310309175345</v>
      </c>
      <c r="L104" s="393">
        <f>TINV(0.05,K103)</f>
        <v>1.9834952585628811</v>
      </c>
      <c r="N104" s="374" t="s">
        <v>215</v>
      </c>
      <c r="O104" s="384"/>
      <c r="P104" s="384"/>
      <c r="Q104" s="384"/>
      <c r="R104" s="384"/>
      <c r="S104" s="384"/>
      <c r="T104" s="391" t="s">
        <v>216</v>
      </c>
      <c r="U104" s="392"/>
      <c r="V104" s="384"/>
      <c r="W104" s="377">
        <f ca="1">1.95996+(2.37356/W103)+(2.818745/W103^2)+(2.546662/W103^3)+(1.761829/W103^4)+(0.245458/W103^5)+(1.000764/W103^6)</f>
        <v>1.9833103451730492</v>
      </c>
      <c r="X104" s="393">
        <f ca="1">TINV(0.05,W103)</f>
        <v>1.9834952585628811</v>
      </c>
      <c r="Y104" s="402"/>
    </row>
    <row r="105" spans="1:25" ht="15.5" x14ac:dyDescent="0.35">
      <c r="A105" s="402"/>
      <c r="B105" s="374" t="s">
        <v>217</v>
      </c>
      <c r="C105" s="384"/>
      <c r="D105" s="384"/>
      <c r="E105" s="384"/>
      <c r="F105" s="384"/>
      <c r="G105" s="384"/>
      <c r="H105" s="394" t="s">
        <v>218</v>
      </c>
      <c r="I105" s="395"/>
      <c r="J105" s="384"/>
      <c r="K105" s="398">
        <f>K104*K102</f>
        <v>7.3667294461386723E-4</v>
      </c>
      <c r="L105" s="19" t="str">
        <f>D94</f>
        <v>Ω</v>
      </c>
      <c r="N105" s="374" t="s">
        <v>217</v>
      </c>
      <c r="O105" s="384"/>
      <c r="P105" s="384"/>
      <c r="Q105" s="384"/>
      <c r="R105" s="384"/>
      <c r="S105" s="384"/>
      <c r="T105" s="394" t="s">
        <v>218</v>
      </c>
      <c r="U105" s="395"/>
      <c r="V105" s="384"/>
      <c r="W105" s="398">
        <f ca="1">W104*W102</f>
        <v>7.3667219760906665E-4</v>
      </c>
      <c r="X105" s="19" t="str">
        <f>P94</f>
        <v>Ω</v>
      </c>
      <c r="Y105" s="402"/>
    </row>
    <row r="106" spans="1:25" x14ac:dyDescent="0.35">
      <c r="A106" s="402"/>
      <c r="B106" s="396"/>
      <c r="C106" s="396"/>
      <c r="D106" s="396"/>
      <c r="E106" s="396"/>
      <c r="F106" s="396"/>
      <c r="G106" s="396"/>
      <c r="H106" s="396"/>
      <c r="I106" s="396"/>
      <c r="J106" s="396"/>
      <c r="K106" s="388">
        <f>(K105/C94)*100</f>
        <v>0.73667294461386723</v>
      </c>
      <c r="L106" s="19" t="s">
        <v>219</v>
      </c>
      <c r="N106" s="396"/>
      <c r="O106" s="396"/>
      <c r="P106" s="396"/>
      <c r="Q106" s="396"/>
      <c r="R106" s="396"/>
      <c r="S106" s="396"/>
      <c r="T106" s="396"/>
      <c r="U106" s="396"/>
      <c r="V106" s="396"/>
      <c r="W106" s="388">
        <f ca="1">(W105/O94)*100</f>
        <v>0.73667219760906666</v>
      </c>
      <c r="X106" s="19" t="s">
        <v>219</v>
      </c>
      <c r="Y106" s="402"/>
    </row>
    <row r="107" spans="1:25" x14ac:dyDescent="0.35">
      <c r="A107" s="402"/>
      <c r="B107" s="396" t="s">
        <v>193</v>
      </c>
      <c r="C107" s="77">
        <f>ID!D42</f>
        <v>1</v>
      </c>
      <c r="D107" s="397" t="s">
        <v>134</v>
      </c>
      <c r="N107" s="396" t="s">
        <v>193</v>
      </c>
      <c r="O107" s="77">
        <f>ID!D50</f>
        <v>1</v>
      </c>
      <c r="P107" s="397" t="s">
        <v>134</v>
      </c>
      <c r="Y107" s="402"/>
    </row>
    <row r="108" spans="1:25" x14ac:dyDescent="0.35">
      <c r="A108" s="402"/>
      <c r="B108" s="372" t="s">
        <v>194</v>
      </c>
      <c r="C108" s="373" t="s">
        <v>72</v>
      </c>
      <c r="D108" s="373" t="s">
        <v>195</v>
      </c>
      <c r="E108" s="372" t="s">
        <v>196</v>
      </c>
      <c r="F108" s="372" t="s">
        <v>197</v>
      </c>
      <c r="G108" s="372" t="s">
        <v>198</v>
      </c>
      <c r="H108" s="372" t="s">
        <v>199</v>
      </c>
      <c r="I108" s="372" t="s">
        <v>200</v>
      </c>
      <c r="J108" s="372" t="s">
        <v>201</v>
      </c>
      <c r="K108" s="372" t="s">
        <v>202</v>
      </c>
      <c r="L108" s="373" t="s">
        <v>203</v>
      </c>
      <c r="N108" s="372" t="s">
        <v>194</v>
      </c>
      <c r="O108" s="373" t="s">
        <v>72</v>
      </c>
      <c r="P108" s="373" t="s">
        <v>195</v>
      </c>
      <c r="Q108" s="372" t="s">
        <v>196</v>
      </c>
      <c r="R108" s="372" t="s">
        <v>197</v>
      </c>
      <c r="S108" s="372" t="s">
        <v>198</v>
      </c>
      <c r="T108" s="372" t="s">
        <v>199</v>
      </c>
      <c r="U108" s="372" t="s">
        <v>200</v>
      </c>
      <c r="V108" s="372" t="s">
        <v>201</v>
      </c>
      <c r="W108" s="372" t="s">
        <v>202</v>
      </c>
      <c r="X108" s="373" t="s">
        <v>203</v>
      </c>
      <c r="Y108" s="402"/>
    </row>
    <row r="109" spans="1:25" x14ac:dyDescent="0.35">
      <c r="A109" s="402"/>
      <c r="B109" s="374" t="s">
        <v>220</v>
      </c>
      <c r="C109" s="19" t="str">
        <f>D107</f>
        <v>Ω</v>
      </c>
      <c r="D109" s="375" t="s">
        <v>205</v>
      </c>
      <c r="E109" s="381">
        <f>E96</f>
        <v>1.0000000000000001E-5</v>
      </c>
      <c r="F109" s="377">
        <f>SQRT(5)</f>
        <v>2.2360679774997898</v>
      </c>
      <c r="G109" s="375">
        <f>5-1</f>
        <v>4</v>
      </c>
      <c r="H109" s="377">
        <f>E109/F109</f>
        <v>4.4721359549995799E-6</v>
      </c>
      <c r="I109" s="375">
        <v>1</v>
      </c>
      <c r="J109" s="377">
        <f>H109*I109</f>
        <v>4.4721359549995799E-6</v>
      </c>
      <c r="K109" s="378">
        <f>J109^2</f>
        <v>2.0000000000000005E-11</v>
      </c>
      <c r="L109" s="379">
        <f>K109^2/G109</f>
        <v>1.0000000000000005E-22</v>
      </c>
      <c r="N109" s="374" t="s">
        <v>220</v>
      </c>
      <c r="O109" s="19" t="str">
        <f>P107</f>
        <v>Ω</v>
      </c>
      <c r="P109" s="375" t="s">
        <v>205</v>
      </c>
      <c r="Q109" s="376">
        <f>Q96</f>
        <v>1.0000000000000001E-5</v>
      </c>
      <c r="R109" s="377">
        <f>SQRT(5)</f>
        <v>2.2360679774997898</v>
      </c>
      <c r="S109" s="375">
        <f>5-1</f>
        <v>4</v>
      </c>
      <c r="T109" s="377">
        <f>Q109/R109</f>
        <v>4.4721359549995799E-6</v>
      </c>
      <c r="U109" s="375">
        <v>1</v>
      </c>
      <c r="V109" s="377">
        <f>T109*U109</f>
        <v>4.4721359549995799E-6</v>
      </c>
      <c r="W109" s="378">
        <f>V109^2</f>
        <v>2.0000000000000005E-11</v>
      </c>
      <c r="X109" s="379">
        <f>W109^2/S109</f>
        <v>1.0000000000000005E-22</v>
      </c>
      <c r="Y109" s="402"/>
    </row>
    <row r="110" spans="1:25" x14ac:dyDescent="0.35">
      <c r="A110" s="402"/>
      <c r="B110" s="374" t="s">
        <v>221</v>
      </c>
      <c r="C110" s="19" t="str">
        <f>C109</f>
        <v>Ω</v>
      </c>
      <c r="D110" s="375" t="s">
        <v>205</v>
      </c>
      <c r="E110" s="381">
        <f>'Sert Resistor'!AG49</f>
        <v>0</v>
      </c>
      <c r="F110" s="377">
        <f>SQRT(5)</f>
        <v>2.2360679774997898</v>
      </c>
      <c r="G110" s="375">
        <f>5-1</f>
        <v>4</v>
      </c>
      <c r="H110" s="377">
        <f>E110/F110</f>
        <v>0</v>
      </c>
      <c r="I110" s="375">
        <v>1</v>
      </c>
      <c r="J110" s="377">
        <f>H110*I110</f>
        <v>0</v>
      </c>
      <c r="K110" s="378">
        <f>J110^2</f>
        <v>0</v>
      </c>
      <c r="L110" s="379">
        <f>K110^2/G110</f>
        <v>0</v>
      </c>
      <c r="N110" s="374" t="s">
        <v>221</v>
      </c>
      <c r="O110" s="19" t="str">
        <f>O109</f>
        <v>Ω</v>
      </c>
      <c r="P110" s="375" t="s">
        <v>205</v>
      </c>
      <c r="Q110" s="376">
        <f>'Sert Resistor'!AG62</f>
        <v>1.0000000000000001E-5</v>
      </c>
      <c r="R110" s="377">
        <f>SQRT(5)</f>
        <v>2.2360679774997898</v>
      </c>
      <c r="S110" s="375">
        <f>5-1</f>
        <v>4</v>
      </c>
      <c r="T110" s="377">
        <f>Q110/R110</f>
        <v>4.4721359549995799E-6</v>
      </c>
      <c r="U110" s="375">
        <v>1</v>
      </c>
      <c r="V110" s="377">
        <f>T110*U110</f>
        <v>4.4721359549995799E-6</v>
      </c>
      <c r="W110" s="378">
        <f>V110^2</f>
        <v>2.0000000000000005E-11</v>
      </c>
      <c r="X110" s="379">
        <f>W110^2/S110</f>
        <v>1.0000000000000005E-22</v>
      </c>
      <c r="Y110" s="402"/>
    </row>
    <row r="111" spans="1:25" x14ac:dyDescent="0.35">
      <c r="A111" s="402"/>
      <c r="B111" s="380" t="s">
        <v>206</v>
      </c>
      <c r="C111" s="19" t="str">
        <f>C110</f>
        <v>Ω</v>
      </c>
      <c r="D111" s="375" t="s">
        <v>205</v>
      </c>
      <c r="E111" s="381">
        <f>'Sert Resistor'!AJ49</f>
        <v>4.3619860596191715E-4</v>
      </c>
      <c r="F111" s="377">
        <v>2</v>
      </c>
      <c r="G111" s="375">
        <f>0.5*(100/10)^2</f>
        <v>50</v>
      </c>
      <c r="H111" s="377">
        <f>E111/F111</f>
        <v>2.1809930298095857E-4</v>
      </c>
      <c r="I111" s="375">
        <v>1</v>
      </c>
      <c r="J111" s="377">
        <f>H111*I111</f>
        <v>2.1809930298095857E-4</v>
      </c>
      <c r="K111" s="378">
        <f>J111^2</f>
        <v>4.7567305960779962E-8</v>
      </c>
      <c r="L111" s="379">
        <f>K111^2/G111</f>
        <v>4.525297192732906E-17</v>
      </c>
      <c r="N111" s="380" t="s">
        <v>206</v>
      </c>
      <c r="O111" s="19" t="str">
        <f>O110</f>
        <v>Ω</v>
      </c>
      <c r="P111" s="375" t="s">
        <v>205</v>
      </c>
      <c r="Q111" s="381">
        <f ca="1">'Sert Resistor'!AJ62</f>
        <v>4.3619688016003803E-4</v>
      </c>
      <c r="R111" s="377">
        <v>2</v>
      </c>
      <c r="S111" s="375">
        <f>0.5*(100/10)^2</f>
        <v>50</v>
      </c>
      <c r="T111" s="377">
        <f ca="1">Q111/R111</f>
        <v>2.1809844008001901E-4</v>
      </c>
      <c r="U111" s="375">
        <v>1</v>
      </c>
      <c r="V111" s="377">
        <f ca="1">T111*U111</f>
        <v>2.1809844008001901E-4</v>
      </c>
      <c r="W111" s="378">
        <f ca="1">V111^2</f>
        <v>4.7566929565337647E-8</v>
      </c>
      <c r="X111" s="379">
        <f ca="1">W111^2/S111</f>
        <v>4.5252255765475854E-17</v>
      </c>
      <c r="Y111" s="402"/>
    </row>
    <row r="112" spans="1:25" x14ac:dyDescent="0.35">
      <c r="A112" s="402"/>
      <c r="B112" s="380" t="s">
        <v>207</v>
      </c>
      <c r="C112" s="19" t="str">
        <f>C111</f>
        <v>Ω</v>
      </c>
      <c r="D112" s="375" t="s">
        <v>208</v>
      </c>
      <c r="E112" s="382">
        <f>'Sert Resistor'!AH49</f>
        <v>5.0000000000000001E-4</v>
      </c>
      <c r="F112" s="377">
        <f>SQRT(3)</f>
        <v>1.7320508075688772</v>
      </c>
      <c r="G112" s="375">
        <v>50</v>
      </c>
      <c r="H112" s="377">
        <f>E112/F112</f>
        <v>2.886751345948129E-4</v>
      </c>
      <c r="I112" s="375">
        <v>1</v>
      </c>
      <c r="J112" s="377">
        <f>H112*I112</f>
        <v>2.886751345948129E-4</v>
      </c>
      <c r="K112" s="378">
        <f>J112^2</f>
        <v>8.3333333333333338E-8</v>
      </c>
      <c r="L112" s="379">
        <f>K112^2/G112</f>
        <v>1.388888888888889E-16</v>
      </c>
      <c r="N112" s="380" t="s">
        <v>207</v>
      </c>
      <c r="O112" s="19" t="str">
        <f>O111</f>
        <v>Ω</v>
      </c>
      <c r="P112" s="375" t="s">
        <v>208</v>
      </c>
      <c r="Q112" s="382">
        <f>'Sert Resistor'!AH62</f>
        <v>5.0000000000000001E-4</v>
      </c>
      <c r="R112" s="377">
        <f>SQRT(3)</f>
        <v>1.7320508075688772</v>
      </c>
      <c r="S112" s="375">
        <v>50</v>
      </c>
      <c r="T112" s="377">
        <f>Q112/R112</f>
        <v>2.886751345948129E-4</v>
      </c>
      <c r="U112" s="375">
        <v>1</v>
      </c>
      <c r="V112" s="377">
        <f>T112*U112</f>
        <v>2.886751345948129E-4</v>
      </c>
      <c r="W112" s="378">
        <f>V112^2</f>
        <v>8.3333333333333338E-8</v>
      </c>
      <c r="X112" s="379">
        <f>W112^2/S112</f>
        <v>1.388888888888889E-16</v>
      </c>
      <c r="Y112" s="402"/>
    </row>
    <row r="113" spans="1:25" x14ac:dyDescent="0.35">
      <c r="A113" s="402"/>
      <c r="B113" s="383" t="s">
        <v>209</v>
      </c>
      <c r="C113" s="19" t="str">
        <f>C112</f>
        <v>Ω</v>
      </c>
      <c r="D113" s="375" t="s">
        <v>208</v>
      </c>
      <c r="E113" s="381">
        <f>'Sert Resistor'!AI49</f>
        <v>1.4539953532063902E-4</v>
      </c>
      <c r="F113" s="377">
        <f>SQRT(3)</f>
        <v>1.7320508075688772</v>
      </c>
      <c r="G113" s="375">
        <v>50</v>
      </c>
      <c r="H113" s="377">
        <f>E113/F113</f>
        <v>8.394646085741744E-5</v>
      </c>
      <c r="I113" s="375">
        <v>1</v>
      </c>
      <c r="J113" s="377">
        <f>H113*I113</f>
        <v>8.394646085741744E-5</v>
      </c>
      <c r="K113" s="378">
        <f>J113^2</f>
        <v>7.0470082904859186E-9</v>
      </c>
      <c r="L113" s="379">
        <f>K113^2/G113</f>
        <v>9.9320651692354542E-19</v>
      </c>
      <c r="N113" s="383" t="s">
        <v>209</v>
      </c>
      <c r="O113" s="19" t="str">
        <f>O112</f>
        <v>Ω</v>
      </c>
      <c r="P113" s="375" t="s">
        <v>208</v>
      </c>
      <c r="Q113" s="381">
        <f ca="1">'Sert Resistor'!AI62</f>
        <v>1.4539896005334599E-4</v>
      </c>
      <c r="R113" s="377">
        <f>SQRT(3)</f>
        <v>1.7320508075688772</v>
      </c>
      <c r="S113" s="375">
        <v>50</v>
      </c>
      <c r="T113" s="377">
        <f ca="1">Q113/R113</f>
        <v>8.3946128726690954E-5</v>
      </c>
      <c r="U113" s="375">
        <v>1</v>
      </c>
      <c r="V113" s="377">
        <f ca="1">T113*U113</f>
        <v>8.3946128726690954E-5</v>
      </c>
      <c r="W113" s="378">
        <f ca="1">V113^2</f>
        <v>7.0469525281981684E-9</v>
      </c>
      <c r="X113" s="379">
        <f ca="1">W113^2/S113</f>
        <v>9.9319079869357118E-19</v>
      </c>
      <c r="Y113" s="402"/>
    </row>
    <row r="114" spans="1:25" x14ac:dyDescent="0.35">
      <c r="A114" s="402"/>
      <c r="B114" s="374" t="s">
        <v>210</v>
      </c>
      <c r="C114" s="384"/>
      <c r="D114" s="384"/>
      <c r="E114" s="384"/>
      <c r="F114" s="384"/>
      <c r="G114" s="384"/>
      <c r="H114" s="384"/>
      <c r="I114" s="384"/>
      <c r="J114" s="384"/>
      <c r="K114" s="378">
        <f>SUM(K109:K113)</f>
        <v>1.3796764758459922E-7</v>
      </c>
      <c r="L114" s="379">
        <f>SUM(L109:L113)</f>
        <v>1.8513516733314152E-16</v>
      </c>
      <c r="N114" s="374" t="s">
        <v>210</v>
      </c>
      <c r="O114" s="384"/>
      <c r="P114" s="384"/>
      <c r="Q114" s="384"/>
      <c r="R114" s="384"/>
      <c r="S114" s="384"/>
      <c r="T114" s="384"/>
      <c r="U114" s="384"/>
      <c r="V114" s="384"/>
      <c r="W114" s="378">
        <f ca="1">SUM(W109:W113)</f>
        <v>1.3798721542686915E-7</v>
      </c>
      <c r="X114" s="379">
        <f ca="1">SUM(X109:X113)</f>
        <v>1.8513453545305833E-16</v>
      </c>
      <c r="Y114" s="402"/>
    </row>
    <row r="115" spans="1:25" ht="15" x14ac:dyDescent="0.4">
      <c r="A115" s="402"/>
      <c r="B115" s="374" t="s">
        <v>211</v>
      </c>
      <c r="C115" s="384"/>
      <c r="D115" s="384"/>
      <c r="E115" s="384"/>
      <c r="F115" s="384"/>
      <c r="G115" s="384"/>
      <c r="H115" s="385" t="s">
        <v>212</v>
      </c>
      <c r="I115" s="386"/>
      <c r="J115" s="384"/>
      <c r="K115" s="387">
        <f>SQRT(K114)</f>
        <v>3.7143996498034405E-4</v>
      </c>
      <c r="L115" s="388"/>
      <c r="N115" s="374" t="s">
        <v>211</v>
      </c>
      <c r="O115" s="384"/>
      <c r="P115" s="384"/>
      <c r="Q115" s="384"/>
      <c r="R115" s="384"/>
      <c r="S115" s="384"/>
      <c r="T115" s="385" t="s">
        <v>212</v>
      </c>
      <c r="U115" s="386"/>
      <c r="V115" s="384"/>
      <c r="W115" s="387">
        <f ca="1">SQRT(W114)</f>
        <v>3.7146630456458518E-4</v>
      </c>
      <c r="X115" s="388"/>
      <c r="Y115" s="402"/>
    </row>
    <row r="116" spans="1:25" ht="16.5" x14ac:dyDescent="0.4">
      <c r="A116" s="402"/>
      <c r="B116" s="374" t="s">
        <v>213</v>
      </c>
      <c r="C116" s="384"/>
      <c r="D116" s="384"/>
      <c r="E116" s="384"/>
      <c r="F116" s="384"/>
      <c r="G116" s="384"/>
      <c r="H116" s="389" t="s">
        <v>214</v>
      </c>
      <c r="I116" s="390"/>
      <c r="J116" s="384"/>
      <c r="K116" s="375">
        <f>K115^4/L114</f>
        <v>102.8171581565349</v>
      </c>
      <c r="L116" s="388"/>
      <c r="N116" s="374" t="s">
        <v>213</v>
      </c>
      <c r="O116" s="384"/>
      <c r="P116" s="384"/>
      <c r="Q116" s="384"/>
      <c r="R116" s="384"/>
      <c r="S116" s="384"/>
      <c r="T116" s="389" t="s">
        <v>214</v>
      </c>
      <c r="U116" s="390"/>
      <c r="V116" s="384"/>
      <c r="W116" s="375">
        <f ca="1">W115^4/X114</f>
        <v>102.84667620044878</v>
      </c>
      <c r="X116" s="388"/>
      <c r="Y116" s="402"/>
    </row>
    <row r="117" spans="1:25" x14ac:dyDescent="0.35">
      <c r="A117" s="402"/>
      <c r="B117" s="374" t="s">
        <v>215</v>
      </c>
      <c r="C117" s="384"/>
      <c r="D117" s="384"/>
      <c r="E117" s="384"/>
      <c r="F117" s="384"/>
      <c r="G117" s="384"/>
      <c r="H117" s="391" t="s">
        <v>216</v>
      </c>
      <c r="I117" s="392"/>
      <c r="J117" s="384"/>
      <c r="K117" s="377">
        <f>1.95996+(2.37356/K116)+(2.818745/K116^2)+(2.546662/K116^3)+(1.761829/K116^4)+(0.245458/K116^5)+(1.000764/K116^6)</f>
        <v>1.9833142503095045</v>
      </c>
      <c r="L117" s="393">
        <f>TINV(0.05,K116)</f>
        <v>1.9834952585628811</v>
      </c>
      <c r="N117" s="374" t="s">
        <v>215</v>
      </c>
      <c r="O117" s="384"/>
      <c r="P117" s="384"/>
      <c r="Q117" s="384"/>
      <c r="R117" s="384"/>
      <c r="S117" s="384"/>
      <c r="T117" s="391" t="s">
        <v>216</v>
      </c>
      <c r="U117" s="392"/>
      <c r="V117" s="384"/>
      <c r="W117" s="377">
        <f ca="1">1.95996+(2.37356/W116)+(2.818745/W116^2)+(2.546662/W116^3)+(1.761829/W116^4)+(0.245458/W116^5)+(1.000764/W116^6)</f>
        <v>1.9833074695374648</v>
      </c>
      <c r="X117" s="393">
        <f ca="1">TINV(0.05,W116)</f>
        <v>1.9834952585628811</v>
      </c>
      <c r="Y117" s="402"/>
    </row>
    <row r="118" spans="1:25" ht="15.5" x14ac:dyDescent="0.35">
      <c r="A118" s="402"/>
      <c r="B118" s="374" t="s">
        <v>217</v>
      </c>
      <c r="C118" s="384"/>
      <c r="D118" s="384"/>
      <c r="E118" s="384"/>
      <c r="F118" s="384"/>
      <c r="G118" s="384"/>
      <c r="H118" s="394" t="s">
        <v>218</v>
      </c>
      <c r="I118" s="395"/>
      <c r="J118" s="384"/>
      <c r="K118" s="398">
        <f>K117*K115</f>
        <v>7.3668217567997968E-4</v>
      </c>
      <c r="L118" s="19" t="str">
        <f>D107</f>
        <v>Ω</v>
      </c>
      <c r="N118" s="374" t="s">
        <v>217</v>
      </c>
      <c r="O118" s="384"/>
      <c r="P118" s="384"/>
      <c r="Q118" s="384"/>
      <c r="R118" s="384"/>
      <c r="S118" s="384"/>
      <c r="T118" s="394" t="s">
        <v>218</v>
      </c>
      <c r="U118" s="395"/>
      <c r="V118" s="384"/>
      <c r="W118" s="398">
        <f ca="1">W117*W115</f>
        <v>7.3673189652442069E-4</v>
      </c>
      <c r="X118" s="19" t="str">
        <f>P107</f>
        <v>Ω</v>
      </c>
      <c r="Y118" s="402"/>
    </row>
    <row r="119" spans="1:25" x14ac:dyDescent="0.35">
      <c r="A119" s="402"/>
      <c r="B119" s="396"/>
      <c r="C119" s="396"/>
      <c r="D119" s="396"/>
      <c r="E119" s="396"/>
      <c r="F119" s="396"/>
      <c r="G119" s="396"/>
      <c r="H119" s="396"/>
      <c r="I119" s="396"/>
      <c r="J119" s="396"/>
      <c r="K119" s="388">
        <f>(K118/C107)*100</f>
        <v>7.3668217567997962E-2</v>
      </c>
      <c r="L119" s="19" t="s">
        <v>219</v>
      </c>
      <c r="N119" s="396"/>
      <c r="O119" s="396"/>
      <c r="P119" s="396"/>
      <c r="Q119" s="396"/>
      <c r="R119" s="396"/>
      <c r="S119" s="396"/>
      <c r="T119" s="396"/>
      <c r="U119" s="396"/>
      <c r="V119" s="396"/>
      <c r="W119" s="388">
        <f ca="1">(W118/O107)*100</f>
        <v>7.3673189652442073E-2</v>
      </c>
      <c r="X119" s="19" t="s">
        <v>219</v>
      </c>
      <c r="Y119" s="402"/>
    </row>
    <row r="120" spans="1:25" x14ac:dyDescent="0.35">
      <c r="A120" s="402"/>
      <c r="B120" s="396" t="s">
        <v>193</v>
      </c>
      <c r="C120" s="77">
        <f>ID!D43</f>
        <v>1.5</v>
      </c>
      <c r="D120" s="397" t="s">
        <v>134</v>
      </c>
      <c r="N120" s="396" t="s">
        <v>193</v>
      </c>
      <c r="O120" s="77">
        <f>ID!D51</f>
        <v>1.5</v>
      </c>
      <c r="P120" s="397" t="s">
        <v>134</v>
      </c>
      <c r="Y120" s="402"/>
    </row>
    <row r="121" spans="1:25" x14ac:dyDescent="0.35">
      <c r="A121" s="402"/>
      <c r="B121" s="372" t="s">
        <v>194</v>
      </c>
      <c r="C121" s="373" t="s">
        <v>72</v>
      </c>
      <c r="D121" s="373" t="s">
        <v>195</v>
      </c>
      <c r="E121" s="372" t="s">
        <v>196</v>
      </c>
      <c r="F121" s="372" t="s">
        <v>197</v>
      </c>
      <c r="G121" s="372" t="s">
        <v>198</v>
      </c>
      <c r="H121" s="372" t="s">
        <v>199</v>
      </c>
      <c r="I121" s="372" t="s">
        <v>200</v>
      </c>
      <c r="J121" s="372" t="s">
        <v>201</v>
      </c>
      <c r="K121" s="372" t="s">
        <v>202</v>
      </c>
      <c r="L121" s="373" t="s">
        <v>203</v>
      </c>
      <c r="N121" s="372" t="s">
        <v>194</v>
      </c>
      <c r="O121" s="373" t="s">
        <v>72</v>
      </c>
      <c r="P121" s="373" t="s">
        <v>195</v>
      </c>
      <c r="Q121" s="372" t="s">
        <v>196</v>
      </c>
      <c r="R121" s="372" t="s">
        <v>197</v>
      </c>
      <c r="S121" s="372" t="s">
        <v>198</v>
      </c>
      <c r="T121" s="372" t="s">
        <v>199</v>
      </c>
      <c r="U121" s="372" t="s">
        <v>200</v>
      </c>
      <c r="V121" s="372" t="s">
        <v>201</v>
      </c>
      <c r="W121" s="372" t="s">
        <v>202</v>
      </c>
      <c r="X121" s="373" t="s">
        <v>203</v>
      </c>
      <c r="Y121" s="402"/>
    </row>
    <row r="122" spans="1:25" x14ac:dyDescent="0.35">
      <c r="A122" s="402"/>
      <c r="B122" s="374" t="s">
        <v>220</v>
      </c>
      <c r="C122" s="19" t="str">
        <f>D120</f>
        <v>Ω</v>
      </c>
      <c r="D122" s="375" t="s">
        <v>205</v>
      </c>
      <c r="E122" s="376">
        <f>E109</f>
        <v>1.0000000000000001E-5</v>
      </c>
      <c r="F122" s="377">
        <f>SQRT(5)</f>
        <v>2.2360679774997898</v>
      </c>
      <c r="G122" s="375">
        <f>5-1</f>
        <v>4</v>
      </c>
      <c r="H122" s="377">
        <f>E122/F122</f>
        <v>4.4721359549995799E-6</v>
      </c>
      <c r="I122" s="375">
        <v>1</v>
      </c>
      <c r="J122" s="377">
        <f>H122*I122</f>
        <v>4.4721359549995799E-6</v>
      </c>
      <c r="K122" s="378">
        <f>J122^2</f>
        <v>2.0000000000000005E-11</v>
      </c>
      <c r="L122" s="379">
        <f>K122^2/G122</f>
        <v>1.0000000000000005E-22</v>
      </c>
      <c r="N122" s="374" t="s">
        <v>220</v>
      </c>
      <c r="O122" s="19" t="str">
        <f>P120</f>
        <v>Ω</v>
      </c>
      <c r="P122" s="375" t="s">
        <v>205</v>
      </c>
      <c r="Q122" s="376">
        <f>Q109</f>
        <v>1.0000000000000001E-5</v>
      </c>
      <c r="R122" s="377">
        <f>SQRT(5)</f>
        <v>2.2360679774997898</v>
      </c>
      <c r="S122" s="375">
        <f>5-1</f>
        <v>4</v>
      </c>
      <c r="T122" s="377">
        <f>Q122/R122</f>
        <v>4.4721359549995799E-6</v>
      </c>
      <c r="U122" s="375">
        <v>1</v>
      </c>
      <c r="V122" s="377">
        <f>T122*U122</f>
        <v>4.4721359549995799E-6</v>
      </c>
      <c r="W122" s="378">
        <f>V122^2</f>
        <v>2.0000000000000005E-11</v>
      </c>
      <c r="X122" s="379">
        <f>W122^2/S122</f>
        <v>1.0000000000000005E-22</v>
      </c>
      <c r="Y122" s="402"/>
    </row>
    <row r="123" spans="1:25" x14ac:dyDescent="0.35">
      <c r="A123" s="402"/>
      <c r="B123" s="374" t="s">
        <v>221</v>
      </c>
      <c r="C123" s="19" t="str">
        <f>C122</f>
        <v>Ω</v>
      </c>
      <c r="D123" s="375" t="s">
        <v>205</v>
      </c>
      <c r="E123" s="376">
        <f>'Sert Resistor'!AG50</f>
        <v>1.0000000000000001E-5</v>
      </c>
      <c r="F123" s="377">
        <f>SQRT(5)</f>
        <v>2.2360679774997898</v>
      </c>
      <c r="G123" s="375">
        <f>5-1</f>
        <v>4</v>
      </c>
      <c r="H123" s="377">
        <f>E123/F123</f>
        <v>4.4721359549995799E-6</v>
      </c>
      <c r="I123" s="375">
        <v>1</v>
      </c>
      <c r="J123" s="377">
        <f>H123*I123</f>
        <v>4.4721359549995799E-6</v>
      </c>
      <c r="K123" s="378">
        <f>J123^2</f>
        <v>2.0000000000000005E-11</v>
      </c>
      <c r="L123" s="379">
        <f>K123^2/G123</f>
        <v>1.0000000000000005E-22</v>
      </c>
      <c r="N123" s="374" t="s">
        <v>221</v>
      </c>
      <c r="O123" s="19" t="str">
        <f>O122</f>
        <v>Ω</v>
      </c>
      <c r="P123" s="375" t="s">
        <v>205</v>
      </c>
      <c r="Q123" s="376">
        <f>'Sert Resistor'!AG63</f>
        <v>1.0000000000000001E-5</v>
      </c>
      <c r="R123" s="377">
        <f>SQRT(5)</f>
        <v>2.2360679774997898</v>
      </c>
      <c r="S123" s="375">
        <f>5-1</f>
        <v>4</v>
      </c>
      <c r="T123" s="377">
        <f>Q123/R123</f>
        <v>4.4721359549995799E-6</v>
      </c>
      <c r="U123" s="375">
        <v>1</v>
      </c>
      <c r="V123" s="377">
        <f>T123*U123</f>
        <v>4.4721359549995799E-6</v>
      </c>
      <c r="W123" s="378">
        <f>V123^2</f>
        <v>2.0000000000000005E-11</v>
      </c>
      <c r="X123" s="379">
        <f>W123^2/S123</f>
        <v>1.0000000000000005E-22</v>
      </c>
      <c r="Y123" s="402"/>
    </row>
    <row r="124" spans="1:25" x14ac:dyDescent="0.35">
      <c r="A124" s="402"/>
      <c r="B124" s="380" t="s">
        <v>206</v>
      </c>
      <c r="C124" s="19" t="str">
        <f>C123</f>
        <v>Ω</v>
      </c>
      <c r="D124" s="375" t="s">
        <v>205</v>
      </c>
      <c r="E124" s="381">
        <f>'Sert Resistor'!AJ50</f>
        <v>4.3624925769571762E-4</v>
      </c>
      <c r="F124" s="377">
        <v>2</v>
      </c>
      <c r="G124" s="375">
        <f>0.5*(100/10)^2</f>
        <v>50</v>
      </c>
      <c r="H124" s="377">
        <f>E124/F124</f>
        <v>2.1812462884785881E-4</v>
      </c>
      <c r="I124" s="375">
        <v>1</v>
      </c>
      <c r="J124" s="377">
        <f>H124*I124</f>
        <v>2.1812462884785881E-4</v>
      </c>
      <c r="K124" s="378">
        <f>J124^2</f>
        <v>4.7578353710016158E-8</v>
      </c>
      <c r="L124" s="379">
        <f>K124^2/G124</f>
        <v>4.527399483510816E-17</v>
      </c>
      <c r="N124" s="380" t="s">
        <v>206</v>
      </c>
      <c r="O124" s="19" t="str">
        <f>O123</f>
        <v>Ω</v>
      </c>
      <c r="P124" s="375" t="s">
        <v>205</v>
      </c>
      <c r="Q124" s="381">
        <f ca="1">'Sert Resistor'!AJ63</f>
        <v>4.36247444787864E-4</v>
      </c>
      <c r="R124" s="377">
        <v>2</v>
      </c>
      <c r="S124" s="375">
        <f>0.5*(100/10)^2</f>
        <v>50</v>
      </c>
      <c r="T124" s="377">
        <f ca="1">Q124/R124</f>
        <v>2.18123722393932E-4</v>
      </c>
      <c r="U124" s="375">
        <v>1</v>
      </c>
      <c r="V124" s="377">
        <f ca="1">T124*U124</f>
        <v>2.18123722393932E-4</v>
      </c>
      <c r="W124" s="378">
        <f ca="1">V124^2</f>
        <v>4.7577958270985114E-8</v>
      </c>
      <c r="X124" s="379">
        <f ca="1">W124^2/S124</f>
        <v>4.5273242264712013E-17</v>
      </c>
      <c r="Y124" s="402"/>
    </row>
    <row r="125" spans="1:25" x14ac:dyDescent="0.35">
      <c r="A125" s="402"/>
      <c r="B125" s="380" t="s">
        <v>207</v>
      </c>
      <c r="C125" s="19" t="str">
        <f>C124</f>
        <v>Ω</v>
      </c>
      <c r="D125" s="375" t="s">
        <v>208</v>
      </c>
      <c r="E125" s="382">
        <f>'Sert Resistor'!AH50</f>
        <v>5.0000000000000001E-4</v>
      </c>
      <c r="F125" s="377">
        <f>SQRT(3)</f>
        <v>1.7320508075688772</v>
      </c>
      <c r="G125" s="375">
        <v>50</v>
      </c>
      <c r="H125" s="377">
        <f>E125/F125</f>
        <v>2.886751345948129E-4</v>
      </c>
      <c r="I125" s="375">
        <v>1</v>
      </c>
      <c r="J125" s="377">
        <f>H125*I125</f>
        <v>2.886751345948129E-4</v>
      </c>
      <c r="K125" s="378">
        <f>J125^2</f>
        <v>8.3333333333333338E-8</v>
      </c>
      <c r="L125" s="379">
        <f>K125^2/G125</f>
        <v>1.388888888888889E-16</v>
      </c>
      <c r="N125" s="380" t="s">
        <v>207</v>
      </c>
      <c r="O125" s="19" t="str">
        <f>O124</f>
        <v>Ω</v>
      </c>
      <c r="P125" s="375" t="s">
        <v>208</v>
      </c>
      <c r="Q125" s="382">
        <f>'Sert Resistor'!AH63</f>
        <v>5.0000000000000001E-4</v>
      </c>
      <c r="R125" s="377">
        <f>SQRT(3)</f>
        <v>1.7320508075688772</v>
      </c>
      <c r="S125" s="375">
        <v>50</v>
      </c>
      <c r="T125" s="377">
        <f>Q125/R125</f>
        <v>2.886751345948129E-4</v>
      </c>
      <c r="U125" s="375">
        <v>1</v>
      </c>
      <c r="V125" s="377">
        <f>T125*U125</f>
        <v>2.886751345948129E-4</v>
      </c>
      <c r="W125" s="378">
        <f>V125^2</f>
        <v>8.3333333333333338E-8</v>
      </c>
      <c r="X125" s="379">
        <f>W125^2/S125</f>
        <v>1.388888888888889E-16</v>
      </c>
      <c r="Y125" s="402"/>
    </row>
    <row r="126" spans="1:25" x14ac:dyDescent="0.35">
      <c r="A126" s="402"/>
      <c r="B126" s="383" t="s">
        <v>209</v>
      </c>
      <c r="C126" s="19" t="str">
        <f>C125</f>
        <v>Ω</v>
      </c>
      <c r="D126" s="375" t="s">
        <v>208</v>
      </c>
      <c r="E126" s="381">
        <f>'Sert Resistor'!AI50</f>
        <v>1.4541641923190586E-4</v>
      </c>
      <c r="F126" s="377">
        <f>SQRT(3)</f>
        <v>1.7320508075688772</v>
      </c>
      <c r="G126" s="375">
        <v>50</v>
      </c>
      <c r="H126" s="377">
        <f>E126/F126</f>
        <v>8.3956208788132325E-5</v>
      </c>
      <c r="I126" s="375">
        <v>1</v>
      </c>
      <c r="J126" s="377">
        <f>H126*I126</f>
        <v>8.3956208788132325E-5</v>
      </c>
      <c r="K126" s="378">
        <f>J126^2</f>
        <v>7.0486449940764671E-9</v>
      </c>
      <c r="L126" s="379">
        <f>K126^2/G126</f>
        <v>9.9366792505038469E-19</v>
      </c>
      <c r="N126" s="383" t="s">
        <v>209</v>
      </c>
      <c r="O126" s="19" t="str">
        <f>O125</f>
        <v>Ω</v>
      </c>
      <c r="P126" s="375" t="s">
        <v>208</v>
      </c>
      <c r="Q126" s="381">
        <f ca="1">'Sert Resistor'!AI63</f>
        <v>1.4541581492928798E-4</v>
      </c>
      <c r="R126" s="377">
        <f>SQRT(3)</f>
        <v>1.7320508075688772</v>
      </c>
      <c r="S126" s="375">
        <v>50</v>
      </c>
      <c r="T126" s="377">
        <f ca="1">Q126/R126</f>
        <v>8.3955859893853217E-5</v>
      </c>
      <c r="U126" s="375">
        <v>1</v>
      </c>
      <c r="V126" s="377">
        <f ca="1">T126*U126</f>
        <v>8.3955859893853217E-5</v>
      </c>
      <c r="W126" s="378">
        <f ca="1">V126^2</f>
        <v>7.0485864105163107E-9</v>
      </c>
      <c r="X126" s="379">
        <f ca="1">W126^2/S126</f>
        <v>9.9365140773030408E-19</v>
      </c>
      <c r="Y126" s="402"/>
    </row>
    <row r="127" spans="1:25" x14ac:dyDescent="0.35">
      <c r="A127" s="402"/>
      <c r="B127" s="374" t="s">
        <v>210</v>
      </c>
      <c r="C127" s="384"/>
      <c r="D127" s="384"/>
      <c r="E127" s="384"/>
      <c r="F127" s="384"/>
      <c r="G127" s="384"/>
      <c r="H127" s="384"/>
      <c r="I127" s="384"/>
      <c r="J127" s="384"/>
      <c r="K127" s="378">
        <f>SUM(K122:K126)</f>
        <v>1.3800033203742597E-7</v>
      </c>
      <c r="L127" s="379">
        <f>SUM(L122:L126)</f>
        <v>1.8515675164904744E-16</v>
      </c>
      <c r="N127" s="374" t="s">
        <v>210</v>
      </c>
      <c r="O127" s="384"/>
      <c r="P127" s="384"/>
      <c r="Q127" s="384"/>
      <c r="R127" s="384"/>
      <c r="S127" s="384"/>
      <c r="T127" s="384"/>
      <c r="U127" s="384"/>
      <c r="V127" s="384"/>
      <c r="W127" s="378">
        <f ca="1">SUM(W122:W126)</f>
        <v>1.3799987801483475E-7</v>
      </c>
      <c r="X127" s="379">
        <f ca="1">SUM(X122:X126)</f>
        <v>1.8515598256133122E-16</v>
      </c>
      <c r="Y127" s="402"/>
    </row>
    <row r="128" spans="1:25" ht="15" x14ac:dyDescent="0.4">
      <c r="A128" s="402"/>
      <c r="B128" s="374" t="s">
        <v>211</v>
      </c>
      <c r="C128" s="384"/>
      <c r="D128" s="384"/>
      <c r="E128" s="384"/>
      <c r="F128" s="384"/>
      <c r="G128" s="384"/>
      <c r="H128" s="385" t="s">
        <v>212</v>
      </c>
      <c r="I128" s="386"/>
      <c r="J128" s="384"/>
      <c r="K128" s="387">
        <f>SQRT(K127)</f>
        <v>3.7148395932721774E-4</v>
      </c>
      <c r="L128" s="388"/>
      <c r="N128" s="374" t="s">
        <v>211</v>
      </c>
      <c r="O128" s="384"/>
      <c r="P128" s="384"/>
      <c r="Q128" s="384"/>
      <c r="R128" s="384"/>
      <c r="S128" s="384"/>
      <c r="T128" s="385" t="s">
        <v>212</v>
      </c>
      <c r="U128" s="386"/>
      <c r="V128" s="384"/>
      <c r="W128" s="387">
        <f ca="1">SQRT(W127)</f>
        <v>3.7148334823358469E-4</v>
      </c>
      <c r="X128" s="388"/>
      <c r="Y128" s="402"/>
    </row>
    <row r="129" spans="1:25" ht="16.5" x14ac:dyDescent="0.4">
      <c r="A129" s="402"/>
      <c r="B129" s="374" t="s">
        <v>213</v>
      </c>
      <c r="C129" s="384"/>
      <c r="D129" s="384"/>
      <c r="E129" s="384"/>
      <c r="F129" s="384"/>
      <c r="G129" s="384"/>
      <c r="H129" s="389" t="s">
        <v>214</v>
      </c>
      <c r="I129" s="390"/>
      <c r="J129" s="384"/>
      <c r="K129" s="375">
        <f>K128^4/L127</f>
        <v>102.85388716765053</v>
      </c>
      <c r="L129" s="388"/>
      <c r="N129" s="374" t="s">
        <v>213</v>
      </c>
      <c r="O129" s="384"/>
      <c r="P129" s="384"/>
      <c r="Q129" s="384"/>
      <c r="R129" s="384"/>
      <c r="S129" s="384"/>
      <c r="T129" s="389" t="s">
        <v>214</v>
      </c>
      <c r="U129" s="390"/>
      <c r="V129" s="384"/>
      <c r="W129" s="375">
        <f ca="1">W128^4/X127</f>
        <v>102.85363761228255</v>
      </c>
      <c r="X129" s="388"/>
      <c r="Y129" s="402"/>
    </row>
    <row r="130" spans="1:25" x14ac:dyDescent="0.35">
      <c r="A130" s="402"/>
      <c r="B130" s="374" t="s">
        <v>215</v>
      </c>
      <c r="C130" s="384"/>
      <c r="D130" s="384"/>
      <c r="E130" s="384"/>
      <c r="F130" s="384"/>
      <c r="G130" s="384"/>
      <c r="H130" s="391" t="s">
        <v>216</v>
      </c>
      <c r="I130" s="392"/>
      <c r="J130" s="384"/>
      <c r="K130" s="377">
        <f>1.95996+(2.37356/K129)+(2.818745/K129^2)+(2.546662/K129^3)+(1.761829/K129^4)+(0.245458/K129^5)+(1.000764/K129^6)</f>
        <v>1.9833058136600636</v>
      </c>
      <c r="L130" s="393">
        <f>TINV(0.05,K129)</f>
        <v>1.9834952585628811</v>
      </c>
      <c r="N130" s="374" t="s">
        <v>215</v>
      </c>
      <c r="O130" s="384"/>
      <c r="P130" s="384"/>
      <c r="Q130" s="384"/>
      <c r="R130" s="384"/>
      <c r="S130" s="384"/>
      <c r="T130" s="391" t="s">
        <v>216</v>
      </c>
      <c r="U130" s="392"/>
      <c r="V130" s="384"/>
      <c r="W130" s="377">
        <f ca="1">1.95996+(2.37356/W129)+(2.818745/W129^2)+(2.546662/W129^3)+(1.761829/W129^4)+(0.245458/W129^5)+(1.000764/W129^6)</f>
        <v>1.983305870962335</v>
      </c>
      <c r="X130" s="393">
        <f ca="1">TINV(0.05,W129)</f>
        <v>1.9834952585628811</v>
      </c>
      <c r="Y130" s="402"/>
    </row>
    <row r="131" spans="1:25" ht="15.5" x14ac:dyDescent="0.35">
      <c r="A131" s="402"/>
      <c r="B131" s="374" t="s">
        <v>217</v>
      </c>
      <c r="C131" s="384"/>
      <c r="D131" s="384"/>
      <c r="E131" s="384"/>
      <c r="F131" s="384"/>
      <c r="G131" s="384"/>
      <c r="H131" s="394" t="s">
        <v>218</v>
      </c>
      <c r="I131" s="395"/>
      <c r="J131" s="384"/>
      <c r="K131" s="398">
        <f>K130*K128</f>
        <v>7.367662962151296E-4</v>
      </c>
      <c r="L131" s="19" t="str">
        <f>D120</f>
        <v>Ω</v>
      </c>
      <c r="N131" s="374" t="s">
        <v>217</v>
      </c>
      <c r="O131" s="384"/>
      <c r="P131" s="384"/>
      <c r="Q131" s="384"/>
      <c r="R131" s="384"/>
      <c r="S131" s="384"/>
      <c r="T131" s="394" t="s">
        <v>218</v>
      </c>
      <c r="U131" s="395"/>
      <c r="V131" s="384"/>
      <c r="W131" s="398">
        <f ca="1">W130*W128</f>
        <v>7.3676510551641409E-4</v>
      </c>
      <c r="X131" s="19" t="str">
        <f>P120</f>
        <v>Ω</v>
      </c>
      <c r="Y131" s="402"/>
    </row>
    <row r="132" spans="1:25" x14ac:dyDescent="0.35">
      <c r="A132" s="402"/>
      <c r="B132" s="396"/>
      <c r="C132" s="396"/>
      <c r="D132" s="396"/>
      <c r="E132" s="396"/>
      <c r="F132" s="396"/>
      <c r="G132" s="396"/>
      <c r="H132" s="396"/>
      <c r="I132" s="396"/>
      <c r="J132" s="396"/>
      <c r="K132" s="388">
        <f>(K131/C120)*100</f>
        <v>4.9117753081008637E-2</v>
      </c>
      <c r="L132" s="19" t="s">
        <v>219</v>
      </c>
      <c r="N132" s="396"/>
      <c r="O132" s="396"/>
      <c r="P132" s="396"/>
      <c r="Q132" s="396"/>
      <c r="R132" s="396"/>
      <c r="S132" s="396"/>
      <c r="T132" s="396"/>
      <c r="U132" s="396"/>
      <c r="V132" s="396"/>
      <c r="W132" s="388">
        <f ca="1">(W131/O120)*100</f>
        <v>4.9117673701094267E-2</v>
      </c>
      <c r="X132" s="19" t="s">
        <v>219</v>
      </c>
      <c r="Y132" s="402"/>
    </row>
    <row r="133" spans="1:25" x14ac:dyDescent="0.35">
      <c r="A133" s="402"/>
      <c r="B133" s="396" t="s">
        <v>193</v>
      </c>
      <c r="C133" s="77">
        <f>ID!D44</f>
        <v>2</v>
      </c>
      <c r="D133" s="397" t="s">
        <v>134</v>
      </c>
      <c r="N133" s="396" t="s">
        <v>193</v>
      </c>
      <c r="O133" s="77">
        <f>ID!D52</f>
        <v>2</v>
      </c>
      <c r="P133" s="397" t="s">
        <v>134</v>
      </c>
      <c r="Y133" s="402"/>
    </row>
    <row r="134" spans="1:25" x14ac:dyDescent="0.35">
      <c r="A134" s="402"/>
      <c r="B134" s="372" t="s">
        <v>194</v>
      </c>
      <c r="C134" s="373" t="s">
        <v>72</v>
      </c>
      <c r="D134" s="373" t="s">
        <v>195</v>
      </c>
      <c r="E134" s="372" t="s">
        <v>196</v>
      </c>
      <c r="F134" s="372" t="s">
        <v>197</v>
      </c>
      <c r="G134" s="372" t="s">
        <v>198</v>
      </c>
      <c r="H134" s="372" t="s">
        <v>199</v>
      </c>
      <c r="I134" s="372" t="s">
        <v>200</v>
      </c>
      <c r="J134" s="372" t="s">
        <v>201</v>
      </c>
      <c r="K134" s="372" t="s">
        <v>202</v>
      </c>
      <c r="L134" s="373" t="s">
        <v>203</v>
      </c>
      <c r="N134" s="372" t="s">
        <v>194</v>
      </c>
      <c r="O134" s="373" t="s">
        <v>72</v>
      </c>
      <c r="P134" s="373" t="s">
        <v>195</v>
      </c>
      <c r="Q134" s="372" t="s">
        <v>196</v>
      </c>
      <c r="R134" s="372" t="s">
        <v>197</v>
      </c>
      <c r="S134" s="372" t="s">
        <v>198</v>
      </c>
      <c r="T134" s="372" t="s">
        <v>199</v>
      </c>
      <c r="U134" s="372" t="s">
        <v>200</v>
      </c>
      <c r="V134" s="372" t="s">
        <v>201</v>
      </c>
      <c r="W134" s="372" t="s">
        <v>202</v>
      </c>
      <c r="X134" s="373" t="s">
        <v>203</v>
      </c>
      <c r="Y134" s="402"/>
    </row>
    <row r="135" spans="1:25" x14ac:dyDescent="0.35">
      <c r="A135" s="402"/>
      <c r="B135" s="374" t="s">
        <v>220</v>
      </c>
      <c r="C135" s="19" t="str">
        <f>D133</f>
        <v>Ω</v>
      </c>
      <c r="D135" s="375" t="s">
        <v>205</v>
      </c>
      <c r="E135" s="376">
        <f>E122</f>
        <v>1.0000000000000001E-5</v>
      </c>
      <c r="F135" s="377">
        <f>SQRT(5)</f>
        <v>2.2360679774997898</v>
      </c>
      <c r="G135" s="375">
        <f>5-1</f>
        <v>4</v>
      </c>
      <c r="H135" s="377">
        <f>E135/F135</f>
        <v>4.4721359549995799E-6</v>
      </c>
      <c r="I135" s="375">
        <v>1</v>
      </c>
      <c r="J135" s="377">
        <f>H135*I135</f>
        <v>4.4721359549995799E-6</v>
      </c>
      <c r="K135" s="378">
        <f>J135^2</f>
        <v>2.0000000000000005E-11</v>
      </c>
      <c r="L135" s="379">
        <f>K135^2/G135</f>
        <v>1.0000000000000005E-22</v>
      </c>
      <c r="N135" s="374" t="s">
        <v>220</v>
      </c>
      <c r="O135" s="19" t="str">
        <f>P133</f>
        <v>Ω</v>
      </c>
      <c r="P135" s="375" t="s">
        <v>205</v>
      </c>
      <c r="Q135" s="376">
        <f>Q122</f>
        <v>1.0000000000000001E-5</v>
      </c>
      <c r="R135" s="377">
        <f>SQRT(5)</f>
        <v>2.2360679774997898</v>
      </c>
      <c r="S135" s="375">
        <f>5-1</f>
        <v>4</v>
      </c>
      <c r="T135" s="377">
        <f>Q135/R135</f>
        <v>4.4721359549995799E-6</v>
      </c>
      <c r="U135" s="375">
        <v>1</v>
      </c>
      <c r="V135" s="377">
        <f>T135*U135</f>
        <v>4.4721359549995799E-6</v>
      </c>
      <c r="W135" s="378">
        <f>V135^2</f>
        <v>2.0000000000000005E-11</v>
      </c>
      <c r="X135" s="379">
        <f>W135^2/S135</f>
        <v>1.0000000000000005E-22</v>
      </c>
      <c r="Y135" s="402"/>
    </row>
    <row r="136" spans="1:25" x14ac:dyDescent="0.35">
      <c r="A136" s="402"/>
      <c r="B136" s="374" t="s">
        <v>221</v>
      </c>
      <c r="C136" s="19" t="str">
        <f>C135</f>
        <v>Ω</v>
      </c>
      <c r="D136" s="375" t="s">
        <v>205</v>
      </c>
      <c r="E136" s="376">
        <f>'Sert Resistor'!AG51</f>
        <v>1.0000000000000001E-5</v>
      </c>
      <c r="F136" s="377">
        <f>SQRT(5)</f>
        <v>2.2360679774997898</v>
      </c>
      <c r="G136" s="375">
        <f>5-1</f>
        <v>4</v>
      </c>
      <c r="H136" s="377">
        <f>E136/F136</f>
        <v>4.4721359549995799E-6</v>
      </c>
      <c r="I136" s="375">
        <v>1</v>
      </c>
      <c r="J136" s="377">
        <f>H136*I136</f>
        <v>4.4721359549995799E-6</v>
      </c>
      <c r="K136" s="378">
        <f>J136^2</f>
        <v>2.0000000000000005E-11</v>
      </c>
      <c r="L136" s="379">
        <f>K136^2/G136</f>
        <v>1.0000000000000005E-22</v>
      </c>
      <c r="N136" s="374" t="s">
        <v>221</v>
      </c>
      <c r="O136" s="19" t="str">
        <f>O135</f>
        <v>Ω</v>
      </c>
      <c r="P136" s="375" t="s">
        <v>205</v>
      </c>
      <c r="Q136" s="376">
        <f>'Sert Resistor'!AG64</f>
        <v>1.0000000000000001E-5</v>
      </c>
      <c r="R136" s="377">
        <f>SQRT(5)</f>
        <v>2.2360679774997898</v>
      </c>
      <c r="S136" s="375">
        <f>5-1</f>
        <v>4</v>
      </c>
      <c r="T136" s="377">
        <f>Q136/R136</f>
        <v>4.4721359549995799E-6</v>
      </c>
      <c r="U136" s="375">
        <v>1</v>
      </c>
      <c r="V136" s="377">
        <f>T136*U136</f>
        <v>4.4721359549995799E-6</v>
      </c>
      <c r="W136" s="378">
        <f>V136^2</f>
        <v>2.0000000000000005E-11</v>
      </c>
      <c r="X136" s="379">
        <f>W136^2/S136</f>
        <v>1.0000000000000005E-22</v>
      </c>
      <c r="Y136" s="402"/>
    </row>
    <row r="137" spans="1:25" x14ac:dyDescent="0.35">
      <c r="A137" s="402"/>
      <c r="B137" s="380" t="s">
        <v>206</v>
      </c>
      <c r="C137" s="19" t="str">
        <f>C136</f>
        <v>Ω</v>
      </c>
      <c r="D137" s="375" t="s">
        <v>205</v>
      </c>
      <c r="E137" s="381">
        <f>'Sert Resistor'!AJ51</f>
        <v>4.3630001053078315E-4</v>
      </c>
      <c r="F137" s="377">
        <v>2</v>
      </c>
      <c r="G137" s="375">
        <f>0.5*(100/10)^2</f>
        <v>50</v>
      </c>
      <c r="H137" s="377">
        <f>E137/F137</f>
        <v>2.1815000526539157E-4</v>
      </c>
      <c r="I137" s="375">
        <v>1</v>
      </c>
      <c r="J137" s="377">
        <f>H137*I137</f>
        <v>2.1815000526539157E-4</v>
      </c>
      <c r="K137" s="378">
        <f>J137^2</f>
        <v>4.7589424797290375E-8</v>
      </c>
      <c r="L137" s="379">
        <f>K137^2/G137</f>
        <v>4.5295067050739121E-17</v>
      </c>
      <c r="N137" s="380" t="s">
        <v>206</v>
      </c>
      <c r="O137" s="19" t="str">
        <f>O136</f>
        <v>Ω</v>
      </c>
      <c r="P137" s="375" t="s">
        <v>205</v>
      </c>
      <c r="Q137" s="381">
        <f ca="1">'Sert Resistor'!AJ64</f>
        <v>4.3629821167420128E-4</v>
      </c>
      <c r="R137" s="377">
        <v>2</v>
      </c>
      <c r="S137" s="375">
        <f>0.5*(100/10)^2</f>
        <v>50</v>
      </c>
      <c r="T137" s="377">
        <f ca="1">Q137/R137</f>
        <v>2.1814910583710064E-4</v>
      </c>
      <c r="U137" s="375">
        <v>1</v>
      </c>
      <c r="V137" s="377">
        <f ca="1">T137*U137</f>
        <v>2.1814910583710064E-4</v>
      </c>
      <c r="W137" s="378">
        <f ca="1">V137^2</f>
        <v>4.7589032377526536E-8</v>
      </c>
      <c r="X137" s="379">
        <f ca="1">W137^2/S137</f>
        <v>4.5294320052585379E-17</v>
      </c>
      <c r="Y137" s="402"/>
    </row>
    <row r="138" spans="1:25" x14ac:dyDescent="0.35">
      <c r="A138" s="402"/>
      <c r="B138" s="380" t="s">
        <v>207</v>
      </c>
      <c r="C138" s="19" t="str">
        <f>C137</f>
        <v>Ω</v>
      </c>
      <c r="D138" s="375" t="s">
        <v>208</v>
      </c>
      <c r="E138" s="382">
        <f>'Sert Resistor'!AH51</f>
        <v>5.0000000000000001E-4</v>
      </c>
      <c r="F138" s="377">
        <f>SQRT(3)</f>
        <v>1.7320508075688772</v>
      </c>
      <c r="G138" s="375">
        <v>50</v>
      </c>
      <c r="H138" s="377">
        <f>E138/F138</f>
        <v>2.886751345948129E-4</v>
      </c>
      <c r="I138" s="375">
        <v>1</v>
      </c>
      <c r="J138" s="377">
        <f>H138*I138</f>
        <v>2.886751345948129E-4</v>
      </c>
      <c r="K138" s="378">
        <f>J138^2</f>
        <v>8.3333333333333338E-8</v>
      </c>
      <c r="L138" s="379">
        <f>K138^2/G138</f>
        <v>1.388888888888889E-16</v>
      </c>
      <c r="N138" s="380" t="s">
        <v>207</v>
      </c>
      <c r="O138" s="19" t="str">
        <f>O137</f>
        <v>Ω</v>
      </c>
      <c r="P138" s="375" t="s">
        <v>208</v>
      </c>
      <c r="Q138" s="382">
        <f>'Sert Resistor'!AH64</f>
        <v>5.0000000000000001E-4</v>
      </c>
      <c r="R138" s="377">
        <f>SQRT(3)</f>
        <v>1.7320508075688772</v>
      </c>
      <c r="S138" s="375">
        <v>50</v>
      </c>
      <c r="T138" s="377">
        <f>Q138/R138</f>
        <v>2.886751345948129E-4</v>
      </c>
      <c r="U138" s="375">
        <v>1</v>
      </c>
      <c r="V138" s="377">
        <f>T138*U138</f>
        <v>2.886751345948129E-4</v>
      </c>
      <c r="W138" s="378">
        <f>V138^2</f>
        <v>8.3333333333333338E-8</v>
      </c>
      <c r="X138" s="379">
        <f>W138^2/S138</f>
        <v>1.388888888888889E-16</v>
      </c>
      <c r="Y138" s="402"/>
    </row>
    <row r="139" spans="1:25" x14ac:dyDescent="0.35">
      <c r="A139" s="402"/>
      <c r="B139" s="383" t="s">
        <v>209</v>
      </c>
      <c r="C139" s="19" t="str">
        <f>C138</f>
        <v>Ω</v>
      </c>
      <c r="D139" s="375" t="s">
        <v>208</v>
      </c>
      <c r="E139" s="381">
        <f>'Sert Resistor'!AI51</f>
        <v>1.4543333684359437E-4</v>
      </c>
      <c r="F139" s="377">
        <f>SQRT(3)</f>
        <v>1.7320508075688772</v>
      </c>
      <c r="G139" s="375">
        <v>50</v>
      </c>
      <c r="H139" s="377">
        <f>E139/F139</f>
        <v>8.3965976175794739E-5</v>
      </c>
      <c r="I139" s="375">
        <v>1</v>
      </c>
      <c r="J139" s="377">
        <f>H139*I139</f>
        <v>8.3965976175794739E-5</v>
      </c>
      <c r="K139" s="378">
        <f>J139^2</f>
        <v>7.0502851551541295E-9</v>
      </c>
      <c r="L139" s="379">
        <f>K139^2/G139</f>
        <v>9.9413041537973378E-19</v>
      </c>
      <c r="N139" s="383" t="s">
        <v>209</v>
      </c>
      <c r="O139" s="19" t="str">
        <f>O138</f>
        <v>Ω</v>
      </c>
      <c r="P139" s="375" t="s">
        <v>208</v>
      </c>
      <c r="Q139" s="381">
        <f ca="1">'Sert Resistor'!AI64</f>
        <v>1.4543273722473373E-4</v>
      </c>
      <c r="R139" s="377">
        <f>SQRT(3)</f>
        <v>1.7320508075688772</v>
      </c>
      <c r="S139" s="375">
        <v>50</v>
      </c>
      <c r="T139" s="377">
        <f ca="1">Q139/R139</f>
        <v>8.396562998568413E-5</v>
      </c>
      <c r="U139" s="375">
        <v>1</v>
      </c>
      <c r="V139" s="377">
        <f ca="1">T139*U139</f>
        <v>8.396562998568413E-5</v>
      </c>
      <c r="W139" s="378">
        <f ca="1">V139^2</f>
        <v>7.0502270188928183E-9</v>
      </c>
      <c r="X139" s="379">
        <f ca="1">W139^2/S139</f>
        <v>9.9411402035852634E-19</v>
      </c>
      <c r="Y139" s="402"/>
    </row>
    <row r="140" spans="1:25" x14ac:dyDescent="0.35">
      <c r="A140" s="402"/>
      <c r="B140" s="374" t="s">
        <v>210</v>
      </c>
      <c r="C140" s="384"/>
      <c r="D140" s="384"/>
      <c r="E140" s="384"/>
      <c r="F140" s="384"/>
      <c r="G140" s="384"/>
      <c r="H140" s="384"/>
      <c r="I140" s="384"/>
      <c r="J140" s="384"/>
      <c r="K140" s="378">
        <f>SUM(K135:K139)</f>
        <v>1.3801304328577783E-7</v>
      </c>
      <c r="L140" s="379">
        <f>SUM(L135:L139)</f>
        <v>1.8517828635500774E-16</v>
      </c>
      <c r="N140" s="374" t="s">
        <v>210</v>
      </c>
      <c r="O140" s="384"/>
      <c r="P140" s="384"/>
      <c r="Q140" s="384"/>
      <c r="R140" s="384"/>
      <c r="S140" s="384"/>
      <c r="T140" s="384"/>
      <c r="U140" s="384"/>
      <c r="V140" s="384"/>
      <c r="W140" s="378">
        <f ca="1">SUM(W135:W139)</f>
        <v>1.3801259272975267E-7</v>
      </c>
      <c r="X140" s="379">
        <f ca="1">SUM(X135:X139)</f>
        <v>1.8517752296183281E-16</v>
      </c>
      <c r="Y140" s="402"/>
    </row>
    <row r="141" spans="1:25" ht="15" x14ac:dyDescent="0.4">
      <c r="A141" s="402"/>
      <c r="B141" s="374" t="s">
        <v>211</v>
      </c>
      <c r="C141" s="384"/>
      <c r="D141" s="384"/>
      <c r="E141" s="384"/>
      <c r="F141" s="384"/>
      <c r="G141" s="384"/>
      <c r="H141" s="385" t="s">
        <v>212</v>
      </c>
      <c r="I141" s="386"/>
      <c r="J141" s="384"/>
      <c r="K141" s="387">
        <f>SQRT(K140)</f>
        <v>3.7150106767784374E-4</v>
      </c>
      <c r="L141" s="388"/>
      <c r="N141" s="374" t="s">
        <v>211</v>
      </c>
      <c r="O141" s="384"/>
      <c r="P141" s="384"/>
      <c r="Q141" s="384"/>
      <c r="R141" s="384"/>
      <c r="S141" s="384"/>
      <c r="T141" s="385" t="s">
        <v>212</v>
      </c>
      <c r="U141" s="386"/>
      <c r="V141" s="384"/>
      <c r="W141" s="387">
        <f ca="1">SQRT(W140)</f>
        <v>3.7150046127798101E-4</v>
      </c>
      <c r="X141" s="388"/>
      <c r="Y141" s="402"/>
    </row>
    <row r="142" spans="1:25" ht="16.5" x14ac:dyDescent="0.4">
      <c r="A142" s="402"/>
      <c r="B142" s="374" t="s">
        <v>213</v>
      </c>
      <c r="C142" s="384"/>
      <c r="D142" s="384"/>
      <c r="E142" s="384"/>
      <c r="F142" s="384"/>
      <c r="G142" s="384"/>
      <c r="H142" s="389" t="s">
        <v>214</v>
      </c>
      <c r="I142" s="390"/>
      <c r="J142" s="384"/>
      <c r="K142" s="375">
        <f>K141^4/L140</f>
        <v>102.86087257814656</v>
      </c>
      <c r="L142" s="388"/>
      <c r="N142" s="374" t="s">
        <v>213</v>
      </c>
      <c r="O142" s="384"/>
      <c r="P142" s="384"/>
      <c r="Q142" s="384"/>
      <c r="R142" s="384"/>
      <c r="S142" s="384"/>
      <c r="T142" s="389" t="s">
        <v>214</v>
      </c>
      <c r="U142" s="390"/>
      <c r="V142" s="384"/>
      <c r="W142" s="375">
        <f ca="1">W141^4/X140</f>
        <v>102.860625022587</v>
      </c>
      <c r="X142" s="388"/>
      <c r="Y142" s="402"/>
    </row>
    <row r="143" spans="1:25" x14ac:dyDescent="0.35">
      <c r="A143" s="402"/>
      <c r="B143" s="374" t="s">
        <v>215</v>
      </c>
      <c r="C143" s="384"/>
      <c r="D143" s="384"/>
      <c r="E143" s="384"/>
      <c r="F143" s="384"/>
      <c r="G143" s="384"/>
      <c r="H143" s="391" t="s">
        <v>216</v>
      </c>
      <c r="I143" s="392"/>
      <c r="J143" s="384"/>
      <c r="K143" s="377">
        <f>1.95996+(2.37356/K142)+(2.818745/K142^2)+(2.546662/K142^3)+(1.761829/K142^4)+(0.245458/K142^5)+(1.000764/K142^6)</f>
        <v>1.98330420980192</v>
      </c>
      <c r="L143" s="393">
        <f>TINV(0.05,K142)</f>
        <v>1.9834952585628811</v>
      </c>
      <c r="N143" s="374" t="s">
        <v>215</v>
      </c>
      <c r="O143" s="384"/>
      <c r="P143" s="384"/>
      <c r="Q143" s="384"/>
      <c r="R143" s="384"/>
      <c r="S143" s="384"/>
      <c r="T143" s="391" t="s">
        <v>216</v>
      </c>
      <c r="U143" s="392"/>
      <c r="V143" s="384"/>
      <c r="W143" s="377">
        <f ca="1">1.95996+(2.37356/W142)+(2.818745/W142^2)+(2.546662/W142^3)+(1.761829/W142^4)+(0.245458/W142^5)+(1.000764/W142^6)</f>
        <v>1.9833042666371901</v>
      </c>
      <c r="X143" s="393">
        <f ca="1">TINV(0.05,W142)</f>
        <v>1.9834952585628811</v>
      </c>
      <c r="Y143" s="402"/>
    </row>
    <row r="144" spans="1:25" ht="15.5" x14ac:dyDescent="0.35">
      <c r="A144" s="402"/>
      <c r="B144" s="374" t="s">
        <v>217</v>
      </c>
      <c r="C144" s="384"/>
      <c r="D144" s="384"/>
      <c r="E144" s="384"/>
      <c r="F144" s="384"/>
      <c r="G144" s="384"/>
      <c r="H144" s="394" t="s">
        <v>218</v>
      </c>
      <c r="I144" s="395"/>
      <c r="J144" s="384"/>
      <c r="K144" s="398">
        <f>K143*K141</f>
        <v>7.3679963147137552E-4</v>
      </c>
      <c r="L144" s="19" t="str">
        <f>D133</f>
        <v>Ω</v>
      </c>
      <c r="N144" s="374" t="s">
        <v>217</v>
      </c>
      <c r="O144" s="384"/>
      <c r="P144" s="384"/>
      <c r="Q144" s="384"/>
      <c r="R144" s="384"/>
      <c r="S144" s="384"/>
      <c r="T144" s="394" t="s">
        <v>218</v>
      </c>
      <c r="U144" s="395"/>
      <c r="V144" s="384"/>
      <c r="W144" s="398">
        <f ca="1">W143*W141</f>
        <v>7.3679844991030399E-4</v>
      </c>
      <c r="X144" s="19" t="str">
        <f>P133</f>
        <v>Ω</v>
      </c>
      <c r="Y144" s="402"/>
    </row>
    <row r="145" spans="1:25" x14ac:dyDescent="0.35">
      <c r="A145" s="402"/>
      <c r="B145" s="396"/>
      <c r="C145" s="396"/>
      <c r="D145" s="396"/>
      <c r="E145" s="396"/>
      <c r="F145" s="396"/>
      <c r="G145" s="396"/>
      <c r="H145" s="396"/>
      <c r="I145" s="396"/>
      <c r="J145" s="396"/>
      <c r="K145" s="388">
        <f>(K144/C133)*100</f>
        <v>3.6839981573568777E-2</v>
      </c>
      <c r="L145" s="19" t="s">
        <v>219</v>
      </c>
      <c r="N145" s="396"/>
      <c r="O145" s="396"/>
      <c r="P145" s="396"/>
      <c r="Q145" s="396"/>
      <c r="R145" s="396"/>
      <c r="S145" s="396"/>
      <c r="T145" s="396"/>
      <c r="U145" s="396"/>
      <c r="V145" s="396"/>
      <c r="W145" s="388">
        <f ca="1">(W144/O133)*100</f>
        <v>3.6839922495515202E-2</v>
      </c>
      <c r="X145" s="19" t="s">
        <v>219</v>
      </c>
      <c r="Y145" s="402"/>
    </row>
    <row r="146" spans="1:25" x14ac:dyDescent="0.35">
      <c r="A146" s="402"/>
      <c r="B146" s="402"/>
      <c r="C146" s="402"/>
      <c r="D146" s="402"/>
      <c r="E146" s="402"/>
      <c r="F146" s="402"/>
      <c r="G146" s="402"/>
      <c r="H146" s="402"/>
      <c r="I146" s="402"/>
      <c r="J146" s="402"/>
      <c r="K146" s="402"/>
      <c r="L146" s="402"/>
      <c r="M146" s="402"/>
      <c r="N146" s="402"/>
      <c r="O146" s="402"/>
      <c r="P146" s="402"/>
      <c r="Q146" s="402"/>
      <c r="R146" s="402"/>
      <c r="S146" s="402"/>
      <c r="T146" s="402"/>
      <c r="U146" s="402"/>
      <c r="V146" s="402"/>
      <c r="W146" s="402"/>
      <c r="X146" s="402"/>
      <c r="Y146" s="402"/>
    </row>
    <row r="147" spans="1:25" x14ac:dyDescent="0.35">
      <c r="A147" s="402"/>
      <c r="B147" s="402"/>
      <c r="C147" s="402"/>
      <c r="D147" s="402"/>
      <c r="E147" s="402"/>
      <c r="F147" s="402"/>
      <c r="G147" s="402"/>
      <c r="H147" s="402"/>
      <c r="I147" s="402"/>
      <c r="J147" s="402"/>
      <c r="K147" s="402"/>
      <c r="L147" s="402"/>
      <c r="M147" s="402"/>
      <c r="N147" s="402"/>
      <c r="O147" s="402"/>
      <c r="P147" s="402"/>
      <c r="Q147" s="402"/>
      <c r="R147" s="402"/>
      <c r="S147" s="402"/>
      <c r="T147" s="402"/>
      <c r="U147" s="402"/>
      <c r="V147" s="402"/>
      <c r="W147" s="402"/>
      <c r="X147" s="402"/>
      <c r="Y147" s="402"/>
    </row>
    <row r="148" spans="1:25" x14ac:dyDescent="0.35">
      <c r="Y148" s="402"/>
    </row>
    <row r="149" spans="1:25" x14ac:dyDescent="0.35">
      <c r="Y149" s="402"/>
    </row>
    <row r="150" spans="1:25" hidden="1" x14ac:dyDescent="0.35">
      <c r="Y150" s="402"/>
    </row>
    <row r="151" spans="1:25" hidden="1" x14ac:dyDescent="0.35">
      <c r="Y151" s="402"/>
    </row>
    <row r="152" spans="1:25" x14ac:dyDescent="0.35">
      <c r="Y152" s="402"/>
    </row>
    <row r="153" spans="1:25" ht="15.5" x14ac:dyDescent="0.35">
      <c r="A153" s="467" t="str">
        <f>ID!B56</f>
        <v>3.</v>
      </c>
      <c r="B153" s="465" t="str">
        <f>ID!C56</f>
        <v>Kalibrasi Enclosure (Chassis) Leakage Current</v>
      </c>
      <c r="C153" s="402"/>
      <c r="D153" s="402"/>
      <c r="E153" s="402"/>
      <c r="F153" s="402"/>
      <c r="G153" s="402"/>
      <c r="H153" s="402"/>
      <c r="I153" s="402"/>
      <c r="J153" s="402"/>
      <c r="K153" s="402"/>
      <c r="L153" s="402"/>
      <c r="M153" s="402"/>
      <c r="N153" s="402"/>
      <c r="O153" s="402"/>
      <c r="P153" s="402"/>
      <c r="Q153" s="402"/>
      <c r="R153" s="402"/>
      <c r="S153" s="402"/>
      <c r="T153" s="402"/>
      <c r="U153" s="402"/>
      <c r="V153" s="402"/>
      <c r="W153" s="402"/>
      <c r="X153" s="402"/>
      <c r="Y153" s="402"/>
    </row>
    <row r="154" spans="1:25" x14ac:dyDescent="0.35">
      <c r="A154" s="402"/>
      <c r="B154" s="396" t="s">
        <v>193</v>
      </c>
      <c r="C154" s="77">
        <f>ID!D60</f>
        <v>0</v>
      </c>
      <c r="D154" s="397" t="s">
        <v>222</v>
      </c>
      <c r="Y154" s="402"/>
    </row>
    <row r="155" spans="1:25" x14ac:dyDescent="0.35">
      <c r="A155" s="402"/>
      <c r="B155" s="372" t="s">
        <v>194</v>
      </c>
      <c r="C155" s="373" t="s">
        <v>72</v>
      </c>
      <c r="D155" s="373" t="s">
        <v>195</v>
      </c>
      <c r="E155" s="372" t="s">
        <v>196</v>
      </c>
      <c r="F155" s="372" t="s">
        <v>197</v>
      </c>
      <c r="G155" s="372" t="s">
        <v>198</v>
      </c>
      <c r="H155" s="372" t="s">
        <v>199</v>
      </c>
      <c r="I155" s="372" t="s">
        <v>200</v>
      </c>
      <c r="J155" s="372" t="s">
        <v>201</v>
      </c>
      <c r="K155" s="372" t="s">
        <v>202</v>
      </c>
      <c r="L155" s="373" t="s">
        <v>203</v>
      </c>
      <c r="Y155" s="402"/>
    </row>
    <row r="156" spans="1:25" x14ac:dyDescent="0.35">
      <c r="A156" s="402"/>
      <c r="B156" s="374" t="s">
        <v>223</v>
      </c>
      <c r="C156" s="19" t="str">
        <f>D154</f>
        <v>µA</v>
      </c>
      <c r="D156" s="375" t="s">
        <v>205</v>
      </c>
      <c r="E156" s="376">
        <f>'Sert Time Electronics'!X123</f>
        <v>0</v>
      </c>
      <c r="F156" s="377">
        <f>SQRT(5)</f>
        <v>2.2360679774997898</v>
      </c>
      <c r="G156" s="375">
        <f>5-1</f>
        <v>4</v>
      </c>
      <c r="H156" s="377">
        <f>E156/F156</f>
        <v>0</v>
      </c>
      <c r="I156" s="375">
        <v>1</v>
      </c>
      <c r="J156" s="377">
        <f>H156*I156</f>
        <v>0</v>
      </c>
      <c r="K156" s="378">
        <f>J156^2</f>
        <v>0</v>
      </c>
      <c r="L156" s="379">
        <f>K156^2/G156</f>
        <v>0</v>
      </c>
      <c r="Y156" s="402"/>
    </row>
    <row r="157" spans="1:25" x14ac:dyDescent="0.35">
      <c r="A157" s="402"/>
      <c r="B157" s="380" t="s">
        <v>206</v>
      </c>
      <c r="C157" s="19" t="str">
        <f>C156</f>
        <v>µA</v>
      </c>
      <c r="D157" s="375" t="s">
        <v>205</v>
      </c>
      <c r="E157" s="381">
        <f>'Sert Time Electronics'!AA123</f>
        <v>5.1932188400600132E-4</v>
      </c>
      <c r="F157" s="377">
        <v>2</v>
      </c>
      <c r="G157" s="375">
        <f>0.5*(100/10)^2</f>
        <v>50</v>
      </c>
      <c r="H157" s="377">
        <f>E157/F157</f>
        <v>2.5966094200300066E-4</v>
      </c>
      <c r="I157" s="375">
        <v>1</v>
      </c>
      <c r="J157" s="377">
        <f>H157*I157</f>
        <v>2.5966094200300066E-4</v>
      </c>
      <c r="K157" s="378">
        <f>J157^2</f>
        <v>6.7423804801885667E-8</v>
      </c>
      <c r="L157" s="379">
        <f>K157^2/G157</f>
        <v>9.0919389079255608E-17</v>
      </c>
      <c r="Y157" s="402"/>
    </row>
    <row r="158" spans="1:25" x14ac:dyDescent="0.35">
      <c r="A158" s="402"/>
      <c r="B158" s="380" t="s">
        <v>207</v>
      </c>
      <c r="C158" s="19" t="str">
        <f>C157</f>
        <v>µA</v>
      </c>
      <c r="D158" s="375" t="s">
        <v>208</v>
      </c>
      <c r="E158" s="382">
        <f>'Sert Time Electronics'!Y123</f>
        <v>0.05</v>
      </c>
      <c r="F158" s="377">
        <f>SQRT(3)</f>
        <v>1.7320508075688772</v>
      </c>
      <c r="G158" s="375">
        <v>50</v>
      </c>
      <c r="H158" s="377">
        <f>E158/F158</f>
        <v>2.8867513459481291E-2</v>
      </c>
      <c r="I158" s="375">
        <v>1</v>
      </c>
      <c r="J158" s="377">
        <f>H158*I158</f>
        <v>2.8867513459481291E-2</v>
      </c>
      <c r="K158" s="378">
        <f>J158^2</f>
        <v>8.333333333333335E-4</v>
      </c>
      <c r="L158" s="379">
        <f>K158^2/G158</f>
        <v>1.3888888888888894E-8</v>
      </c>
      <c r="Y158" s="402"/>
    </row>
    <row r="159" spans="1:25" x14ac:dyDescent="0.35">
      <c r="A159" s="402"/>
      <c r="B159" s="383" t="s">
        <v>209</v>
      </c>
      <c r="C159" s="19" t="str">
        <f>C158</f>
        <v>µA</v>
      </c>
      <c r="D159" s="375" t="s">
        <v>208</v>
      </c>
      <c r="E159" s="381">
        <f>'Sert Time Electronics'!Z123</f>
        <v>1.7310729466867635E-4</v>
      </c>
      <c r="F159" s="377">
        <f>SQRT(3)</f>
        <v>1.7320508075688772</v>
      </c>
      <c r="G159" s="375">
        <v>50</v>
      </c>
      <c r="H159" s="377">
        <f>E159/F159</f>
        <v>9.9943543175648166E-5</v>
      </c>
      <c r="I159" s="375">
        <v>1</v>
      </c>
      <c r="J159" s="377">
        <f>H159*I159</f>
        <v>9.9943543175648166E-5</v>
      </c>
      <c r="K159" s="378">
        <f>J159^2</f>
        <v>9.9887118225026496E-9</v>
      </c>
      <c r="L159" s="379">
        <f>K159^2/G159</f>
        <v>1.995487277460084E-18</v>
      </c>
      <c r="Y159" s="402"/>
    </row>
    <row r="160" spans="1:25" x14ac:dyDescent="0.35">
      <c r="A160" s="402"/>
      <c r="B160" s="374" t="s">
        <v>210</v>
      </c>
      <c r="C160" s="384"/>
      <c r="D160" s="384"/>
      <c r="E160" s="384"/>
      <c r="F160" s="384"/>
      <c r="G160" s="384"/>
      <c r="H160" s="384"/>
      <c r="I160" s="384"/>
      <c r="J160" s="384"/>
      <c r="K160" s="378">
        <f>SUM(K156:K159)</f>
        <v>8.3341074584995789E-4</v>
      </c>
      <c r="L160" s="379">
        <f>SUM(L156:L159)</f>
        <v>1.3888888981803769E-8</v>
      </c>
      <c r="Y160" s="402"/>
    </row>
    <row r="161" spans="1:25" ht="15" x14ac:dyDescent="0.4">
      <c r="A161" s="402"/>
      <c r="B161" s="374" t="s">
        <v>211</v>
      </c>
      <c r="C161" s="384"/>
      <c r="D161" s="384"/>
      <c r="E161" s="384"/>
      <c r="F161" s="384"/>
      <c r="G161" s="384"/>
      <c r="H161" s="385" t="s">
        <v>212</v>
      </c>
      <c r="I161" s="386"/>
      <c r="J161" s="384"/>
      <c r="K161" s="387">
        <f>SQRT(K160)</f>
        <v>2.8868854252463119E-2</v>
      </c>
      <c r="L161" s="388"/>
      <c r="Y161" s="402"/>
    </row>
    <row r="162" spans="1:25" ht="16.5" x14ac:dyDescent="0.4">
      <c r="A162" s="402"/>
      <c r="B162" s="374" t="s">
        <v>213</v>
      </c>
      <c r="C162" s="384"/>
      <c r="D162" s="384"/>
      <c r="E162" s="384"/>
      <c r="F162" s="384"/>
      <c r="G162" s="384"/>
      <c r="H162" s="389" t="s">
        <v>214</v>
      </c>
      <c r="I162" s="390"/>
      <c r="J162" s="384"/>
      <c r="K162" s="375">
        <f>K161^4/L160</f>
        <v>50.009289598913469</v>
      </c>
      <c r="L162" s="388"/>
      <c r="Y162" s="402"/>
    </row>
    <row r="163" spans="1:25" x14ac:dyDescent="0.35">
      <c r="A163" s="402"/>
      <c r="B163" s="374" t="s">
        <v>215</v>
      </c>
      <c r="C163" s="384"/>
      <c r="D163" s="384"/>
      <c r="E163" s="384"/>
      <c r="F163" s="384"/>
      <c r="G163" s="384"/>
      <c r="H163" s="391" t="s">
        <v>216</v>
      </c>
      <c r="I163" s="392"/>
      <c r="J163" s="384"/>
      <c r="K163" s="377">
        <f>1.95996+(2.37356/K162)+(2.818745/K162^2)+(2.546662/K162^3)+(1.761829/K162^4)+(0.245458/K162^5)+(1.000764/K162^6)</f>
        <v>2.0085701055033329</v>
      </c>
      <c r="L163" s="393">
        <f>TINV(0.05,K162)</f>
        <v>2.0085591121007611</v>
      </c>
      <c r="Y163" s="402"/>
    </row>
    <row r="164" spans="1:25" ht="15.5" x14ac:dyDescent="0.35">
      <c r="A164" s="402"/>
      <c r="B164" s="374" t="s">
        <v>217</v>
      </c>
      <c r="C164" s="384"/>
      <c r="D164" s="384"/>
      <c r="E164" s="384"/>
      <c r="F164" s="384"/>
      <c r="G164" s="384"/>
      <c r="H164" s="394" t="s">
        <v>218</v>
      </c>
      <c r="I164" s="395"/>
      <c r="J164" s="384"/>
      <c r="K164" s="398">
        <f>K163*K161</f>
        <v>5.7985117631630188E-2</v>
      </c>
      <c r="L164" s="19" t="str">
        <f>D154</f>
        <v>µA</v>
      </c>
      <c r="Y164" s="402"/>
    </row>
    <row r="165" spans="1:25" x14ac:dyDescent="0.35">
      <c r="A165" s="402"/>
      <c r="B165" s="396"/>
      <c r="C165" s="396"/>
      <c r="D165" s="396"/>
      <c r="E165" s="396"/>
      <c r="F165" s="396"/>
      <c r="G165" s="396"/>
      <c r="H165" s="396"/>
      <c r="I165" s="396"/>
      <c r="J165" s="396"/>
      <c r="K165" s="388"/>
      <c r="L165" s="19" t="s">
        <v>219</v>
      </c>
      <c r="Y165" s="402"/>
    </row>
    <row r="166" spans="1:25" x14ac:dyDescent="0.35">
      <c r="A166" s="402"/>
      <c r="B166" s="396" t="s">
        <v>193</v>
      </c>
      <c r="C166" s="77">
        <f>ID!D61</f>
        <v>1</v>
      </c>
      <c r="D166" s="397" t="s">
        <v>222</v>
      </c>
      <c r="Y166" s="402"/>
    </row>
    <row r="167" spans="1:25" x14ac:dyDescent="0.35">
      <c r="A167" s="402"/>
      <c r="B167" s="372" t="s">
        <v>194</v>
      </c>
      <c r="C167" s="373" t="s">
        <v>72</v>
      </c>
      <c r="D167" s="373" t="s">
        <v>195</v>
      </c>
      <c r="E167" s="372" t="s">
        <v>196</v>
      </c>
      <c r="F167" s="372" t="s">
        <v>197</v>
      </c>
      <c r="G167" s="372" t="s">
        <v>198</v>
      </c>
      <c r="H167" s="372" t="s">
        <v>199</v>
      </c>
      <c r="I167" s="372" t="s">
        <v>200</v>
      </c>
      <c r="J167" s="372" t="s">
        <v>201</v>
      </c>
      <c r="K167" s="372" t="s">
        <v>202</v>
      </c>
      <c r="L167" s="373" t="s">
        <v>203</v>
      </c>
      <c r="Y167" s="402"/>
    </row>
    <row r="168" spans="1:25" x14ac:dyDescent="0.35">
      <c r="A168" s="402"/>
      <c r="B168" s="374" t="s">
        <v>223</v>
      </c>
      <c r="C168" s="19" t="str">
        <f>D166</f>
        <v>µA</v>
      </c>
      <c r="D168" s="375" t="s">
        <v>205</v>
      </c>
      <c r="E168" s="376">
        <f>'Sert Time Electronics'!X124</f>
        <v>0.18165902124584926</v>
      </c>
      <c r="F168" s="377">
        <f>SQRT(5)</f>
        <v>2.2360679774997898</v>
      </c>
      <c r="G168" s="375">
        <f>5-1</f>
        <v>4</v>
      </c>
      <c r="H168" s="377">
        <f>E168/F168</f>
        <v>8.1240384046359498E-2</v>
      </c>
      <c r="I168" s="375">
        <v>1</v>
      </c>
      <c r="J168" s="377">
        <f>H168*I168</f>
        <v>8.1240384046359498E-2</v>
      </c>
      <c r="K168" s="378">
        <f>J168^2</f>
        <v>6.5999999999999826E-3</v>
      </c>
      <c r="L168" s="379">
        <f>K168^2/G168</f>
        <v>1.0889999999999943E-5</v>
      </c>
      <c r="Y168" s="402"/>
    </row>
    <row r="169" spans="1:25" x14ac:dyDescent="0.35">
      <c r="A169" s="402"/>
      <c r="B169" s="380" t="s">
        <v>206</v>
      </c>
      <c r="C169" s="19" t="str">
        <f>C168</f>
        <v>µA</v>
      </c>
      <c r="D169" s="375" t="s">
        <v>205</v>
      </c>
      <c r="E169" s="381">
        <f>'Sert Time Electronics'!AA124</f>
        <v>2.0580664309913436E-3</v>
      </c>
      <c r="F169" s="377">
        <v>2</v>
      </c>
      <c r="G169" s="375">
        <f>0.5*(100/10)^2</f>
        <v>50</v>
      </c>
      <c r="H169" s="377">
        <f>E169/F169</f>
        <v>1.0290332154956718E-3</v>
      </c>
      <c r="I169" s="375">
        <v>1</v>
      </c>
      <c r="J169" s="377">
        <f>H169*I169</f>
        <v>1.0290332154956718E-3</v>
      </c>
      <c r="K169" s="378">
        <f>J169^2</f>
        <v>1.0589093585933618E-6</v>
      </c>
      <c r="L169" s="379">
        <f>K169^2/G169</f>
        <v>2.2425780594332099E-14</v>
      </c>
      <c r="Y169" s="402"/>
    </row>
    <row r="170" spans="1:25" x14ac:dyDescent="0.35">
      <c r="A170" s="402"/>
      <c r="B170" s="380" t="s">
        <v>207</v>
      </c>
      <c r="C170" s="19" t="str">
        <f>C169</f>
        <v>µA</v>
      </c>
      <c r="D170" s="375" t="s">
        <v>208</v>
      </c>
      <c r="E170" s="382">
        <f>'Sert Time Electronics'!Y124</f>
        <v>0.05</v>
      </c>
      <c r="F170" s="377">
        <f>SQRT(3)</f>
        <v>1.7320508075688772</v>
      </c>
      <c r="G170" s="375">
        <v>50</v>
      </c>
      <c r="H170" s="377">
        <f>E170/F170</f>
        <v>2.8867513459481291E-2</v>
      </c>
      <c r="I170" s="375">
        <v>1</v>
      </c>
      <c r="J170" s="377">
        <f>H170*I170</f>
        <v>2.8867513459481291E-2</v>
      </c>
      <c r="K170" s="378">
        <f>J170^2</f>
        <v>8.333333333333335E-4</v>
      </c>
      <c r="L170" s="379">
        <f>K170^2/G170</f>
        <v>1.3888888888888894E-8</v>
      </c>
      <c r="Y170" s="402"/>
    </row>
    <row r="171" spans="1:25" x14ac:dyDescent="0.35">
      <c r="A171" s="402"/>
      <c r="B171" s="383" t="s">
        <v>209</v>
      </c>
      <c r="C171" s="19" t="str">
        <f>C170</f>
        <v>µA</v>
      </c>
      <c r="D171" s="375" t="s">
        <v>208</v>
      </c>
      <c r="E171" s="381">
        <f>'Sert Time Electronics'!Z124</f>
        <v>6.8602214366379028E-4</v>
      </c>
      <c r="F171" s="377">
        <f>SQRT(3)</f>
        <v>1.7320508075688772</v>
      </c>
      <c r="G171" s="375">
        <v>50</v>
      </c>
      <c r="H171" s="377">
        <f>E171/F171</f>
        <v>3.9607506931433348E-4</v>
      </c>
      <c r="I171" s="375">
        <v>1</v>
      </c>
      <c r="J171" s="377">
        <f>H171*I171</f>
        <v>3.9607506931433348E-4</v>
      </c>
      <c r="K171" s="378">
        <f>J171^2</f>
        <v>1.5687546053235407E-7</v>
      </c>
      <c r="L171" s="379">
        <f>K171^2/G171</f>
        <v>4.9219820234476363E-16</v>
      </c>
      <c r="Y171" s="402"/>
    </row>
    <row r="172" spans="1:25" x14ac:dyDescent="0.35">
      <c r="A172" s="402"/>
      <c r="B172" s="374" t="s">
        <v>210</v>
      </c>
      <c r="C172" s="384"/>
      <c r="D172" s="384"/>
      <c r="E172" s="384"/>
      <c r="F172" s="384"/>
      <c r="G172" s="384"/>
      <c r="H172" s="384"/>
      <c r="I172" s="384"/>
      <c r="J172" s="384"/>
      <c r="K172" s="378">
        <f>SUM(K168:K171)</f>
        <v>7.4345491181524422E-3</v>
      </c>
      <c r="L172" s="379">
        <f>SUM(L168:L171)</f>
        <v>1.0903888911806812E-5</v>
      </c>
      <c r="Y172" s="402"/>
    </row>
    <row r="173" spans="1:25" ht="15" x14ac:dyDescent="0.4">
      <c r="A173" s="402"/>
      <c r="B173" s="374" t="s">
        <v>211</v>
      </c>
      <c r="C173" s="384"/>
      <c r="D173" s="384"/>
      <c r="E173" s="384"/>
      <c r="F173" s="384"/>
      <c r="G173" s="384"/>
      <c r="H173" s="385" t="s">
        <v>212</v>
      </c>
      <c r="I173" s="386"/>
      <c r="J173" s="384"/>
      <c r="K173" s="387">
        <f>SQRT(K172)</f>
        <v>8.6223831497750328E-2</v>
      </c>
      <c r="L173" s="388"/>
      <c r="Y173" s="402"/>
    </row>
    <row r="174" spans="1:25" ht="16.5" x14ac:dyDescent="0.4">
      <c r="A174" s="402"/>
      <c r="B174" s="374" t="s">
        <v>213</v>
      </c>
      <c r="C174" s="384"/>
      <c r="D174" s="384"/>
      <c r="E174" s="384"/>
      <c r="F174" s="384"/>
      <c r="G174" s="384"/>
      <c r="H174" s="389" t="s">
        <v>214</v>
      </c>
      <c r="I174" s="390"/>
      <c r="J174" s="384"/>
      <c r="K174" s="375">
        <f>K173^4/L172</f>
        <v>5.0690649031073445</v>
      </c>
      <c r="L174" s="388"/>
      <c r="Y174" s="402"/>
    </row>
    <row r="175" spans="1:25" x14ac:dyDescent="0.35">
      <c r="A175" s="402"/>
      <c r="B175" s="374" t="s">
        <v>215</v>
      </c>
      <c r="C175" s="384"/>
      <c r="D175" s="384"/>
      <c r="E175" s="384"/>
      <c r="F175" s="384"/>
      <c r="G175" s="384"/>
      <c r="H175" s="391" t="s">
        <v>216</v>
      </c>
      <c r="I175" s="392"/>
      <c r="J175" s="384"/>
      <c r="K175" s="377">
        <f>1.95996+(2.37356/K174)+(2.818745/K174^2)+(2.546662/K174^3)+(1.761829/K174^4)+(0.245458/K174^5)+(1.000764/K174^6)</f>
        <v>2.560255081644518</v>
      </c>
      <c r="L175" s="393">
        <f>TINV(0.05,K174)</f>
        <v>2.570581835636315</v>
      </c>
      <c r="Y175" s="402"/>
    </row>
    <row r="176" spans="1:25" ht="15.5" x14ac:dyDescent="0.35">
      <c r="A176" s="402"/>
      <c r="B176" s="374" t="s">
        <v>217</v>
      </c>
      <c r="C176" s="384"/>
      <c r="D176" s="384"/>
      <c r="E176" s="384"/>
      <c r="F176" s="384"/>
      <c r="G176" s="384"/>
      <c r="H176" s="394" t="s">
        <v>218</v>
      </c>
      <c r="I176" s="395"/>
      <c r="J176" s="384"/>
      <c r="K176" s="398">
        <f>K175*K173</f>
        <v>0.22075500275097593</v>
      </c>
      <c r="L176" s="19" t="str">
        <f>D166</f>
        <v>µA</v>
      </c>
      <c r="Y176" s="402"/>
    </row>
    <row r="177" spans="1:25" x14ac:dyDescent="0.35">
      <c r="A177" s="402"/>
      <c r="B177" s="396"/>
      <c r="C177" s="396"/>
      <c r="D177" s="396"/>
      <c r="E177" s="396"/>
      <c r="F177" s="396"/>
      <c r="G177" s="396"/>
      <c r="H177" s="396"/>
      <c r="I177" s="396"/>
      <c r="J177" s="396"/>
      <c r="K177" s="388">
        <f>(K176/C166)*100</f>
        <v>22.075500275097593</v>
      </c>
      <c r="L177" s="19" t="s">
        <v>219</v>
      </c>
      <c r="Y177" s="402"/>
    </row>
    <row r="178" spans="1:25" x14ac:dyDescent="0.35">
      <c r="A178" s="402"/>
      <c r="B178" s="396" t="s">
        <v>193</v>
      </c>
      <c r="C178" s="77">
        <f>ID!D62</f>
        <v>50</v>
      </c>
      <c r="D178" s="397" t="s">
        <v>222</v>
      </c>
      <c r="Y178" s="402"/>
    </row>
    <row r="179" spans="1:25" x14ac:dyDescent="0.35">
      <c r="A179" s="402"/>
      <c r="B179" s="372" t="s">
        <v>194</v>
      </c>
      <c r="C179" s="373" t="s">
        <v>72</v>
      </c>
      <c r="D179" s="373" t="s">
        <v>195</v>
      </c>
      <c r="E179" s="372" t="s">
        <v>196</v>
      </c>
      <c r="F179" s="372" t="s">
        <v>197</v>
      </c>
      <c r="G179" s="372" t="s">
        <v>198</v>
      </c>
      <c r="H179" s="372" t="s">
        <v>199</v>
      </c>
      <c r="I179" s="372" t="s">
        <v>200</v>
      </c>
      <c r="J179" s="372" t="s">
        <v>201</v>
      </c>
      <c r="K179" s="372" t="s">
        <v>202</v>
      </c>
      <c r="L179" s="373" t="s">
        <v>203</v>
      </c>
      <c r="Y179" s="402"/>
    </row>
    <row r="180" spans="1:25" x14ac:dyDescent="0.35">
      <c r="A180" s="402"/>
      <c r="B180" s="374" t="s">
        <v>223</v>
      </c>
      <c r="C180" s="19" t="str">
        <f>D178</f>
        <v>µA</v>
      </c>
      <c r="D180" s="375" t="s">
        <v>205</v>
      </c>
      <c r="E180" s="376">
        <f>'Sert Time Electronics'!X125</f>
        <v>0.30495901363953931</v>
      </c>
      <c r="F180" s="377">
        <f>SQRT(5)</f>
        <v>2.2360679774997898</v>
      </c>
      <c r="G180" s="375">
        <f>5-1</f>
        <v>4</v>
      </c>
      <c r="H180" s="377">
        <f>E180/F180</f>
        <v>0.13638181696985907</v>
      </c>
      <c r="I180" s="375">
        <v>1</v>
      </c>
      <c r="J180" s="377">
        <f>H180*I180</f>
        <v>0.13638181696985907</v>
      </c>
      <c r="K180" s="378">
        <f>J180^2</f>
        <v>1.8600000000000141E-2</v>
      </c>
      <c r="L180" s="379">
        <f>K180^2/G180</f>
        <v>8.6490000000001308E-5</v>
      </c>
      <c r="Y180" s="402"/>
    </row>
    <row r="181" spans="1:25" x14ac:dyDescent="0.35">
      <c r="A181" s="402"/>
      <c r="B181" s="380" t="s">
        <v>206</v>
      </c>
      <c r="C181" s="19" t="str">
        <f>C180</f>
        <v>µA</v>
      </c>
      <c r="D181" s="375" t="s">
        <v>205</v>
      </c>
      <c r="E181" s="381">
        <f xml:space="preserve"> 'Sert Time Electronics'!AA125</f>
        <v>7.3014513088202213E-2</v>
      </c>
      <c r="F181" s="377">
        <v>2</v>
      </c>
      <c r="G181" s="375">
        <f>0.5*(100/10)^2</f>
        <v>50</v>
      </c>
      <c r="H181" s="377">
        <f>E181/F181</f>
        <v>3.6507256544101106E-2</v>
      </c>
      <c r="I181" s="375">
        <v>1</v>
      </c>
      <c r="J181" s="377">
        <f>H181*I181</f>
        <v>3.6507256544101106E-2</v>
      </c>
      <c r="K181" s="378">
        <f>J181^2</f>
        <v>1.3327797803768129E-3</v>
      </c>
      <c r="L181" s="379">
        <f>K181^2/G181</f>
        <v>3.5526038859625312E-8</v>
      </c>
      <c r="Y181" s="402"/>
    </row>
    <row r="182" spans="1:25" x14ac:dyDescent="0.35">
      <c r="A182" s="402"/>
      <c r="B182" s="380" t="s">
        <v>207</v>
      </c>
      <c r="C182" s="19" t="str">
        <f>C181</f>
        <v>µA</v>
      </c>
      <c r="D182" s="375" t="s">
        <v>208</v>
      </c>
      <c r="E182" s="382">
        <f>'Sert Time Electronics'!Y125</f>
        <v>0.05</v>
      </c>
      <c r="F182" s="377">
        <f>SQRT(3)</f>
        <v>1.7320508075688772</v>
      </c>
      <c r="G182" s="375">
        <v>50</v>
      </c>
      <c r="H182" s="377">
        <f>E182/F182</f>
        <v>2.8867513459481291E-2</v>
      </c>
      <c r="I182" s="375">
        <v>1</v>
      </c>
      <c r="J182" s="377">
        <f>H182*I182</f>
        <v>2.8867513459481291E-2</v>
      </c>
      <c r="K182" s="378">
        <f>J182^2</f>
        <v>8.333333333333335E-4</v>
      </c>
      <c r="L182" s="379">
        <f>K182^2/G182</f>
        <v>1.3888888888888894E-8</v>
      </c>
      <c r="Y182" s="402"/>
    </row>
    <row r="183" spans="1:25" x14ac:dyDescent="0.35">
      <c r="A183" s="402"/>
      <c r="B183" s="383" t="s">
        <v>209</v>
      </c>
      <c r="C183" s="19" t="str">
        <f>C182</f>
        <v>µA</v>
      </c>
      <c r="D183" s="375" t="s">
        <v>208</v>
      </c>
      <c r="E183" s="381">
        <f>'Sert Time Electronics'!Z125</f>
        <v>2.4338171029400741E-2</v>
      </c>
      <c r="F183" s="377">
        <f>SQRT(3)</f>
        <v>1.7320508075688772</v>
      </c>
      <c r="G183" s="375">
        <v>50</v>
      </c>
      <c r="H183" s="377">
        <f>E183/F183</f>
        <v>1.405164959540767E-2</v>
      </c>
      <c r="I183" s="375">
        <v>1</v>
      </c>
      <c r="J183" s="377">
        <f>H183*I183</f>
        <v>1.405164959540767E-2</v>
      </c>
      <c r="K183" s="378">
        <f>J183^2</f>
        <v>1.9744885635212056E-4</v>
      </c>
      <c r="L183" s="379">
        <f>K183^2/G183</f>
        <v>7.797210174952068E-10</v>
      </c>
      <c r="Y183" s="402"/>
    </row>
    <row r="184" spans="1:25" x14ac:dyDescent="0.35">
      <c r="A184" s="402"/>
      <c r="B184" s="374" t="s">
        <v>210</v>
      </c>
      <c r="C184" s="384"/>
      <c r="D184" s="384"/>
      <c r="E184" s="384"/>
      <c r="F184" s="384"/>
      <c r="G184" s="384"/>
      <c r="H184" s="384"/>
      <c r="I184" s="384"/>
      <c r="J184" s="384"/>
      <c r="K184" s="378">
        <f>SUM(K180:K183)</f>
        <v>2.0963561970062407E-2</v>
      </c>
      <c r="L184" s="379">
        <f>SUM(L180:L183)</f>
        <v>8.6540194648767327E-5</v>
      </c>
      <c r="Y184" s="402"/>
    </row>
    <row r="185" spans="1:25" ht="15" x14ac:dyDescent="0.4">
      <c r="A185" s="402"/>
      <c r="B185" s="374" t="s">
        <v>211</v>
      </c>
      <c r="C185" s="384"/>
      <c r="D185" s="384"/>
      <c r="E185" s="384"/>
      <c r="F185" s="384"/>
      <c r="G185" s="384"/>
      <c r="H185" s="385" t="s">
        <v>212</v>
      </c>
      <c r="I185" s="386"/>
      <c r="J185" s="384"/>
      <c r="K185" s="387">
        <f>SQRT(K184)</f>
        <v>0.14478798973002702</v>
      </c>
      <c r="L185" s="388"/>
      <c r="Y185" s="402"/>
    </row>
    <row r="186" spans="1:25" ht="16.5" x14ac:dyDescent="0.4">
      <c r="A186" s="402"/>
      <c r="B186" s="374" t="s">
        <v>213</v>
      </c>
      <c r="C186" s="384"/>
      <c r="D186" s="384"/>
      <c r="E186" s="384"/>
      <c r="F186" s="384"/>
      <c r="G186" s="384"/>
      <c r="H186" s="389" t="s">
        <v>214</v>
      </c>
      <c r="I186" s="390"/>
      <c r="J186" s="384"/>
      <c r="K186" s="375">
        <f>K185^4/L184</f>
        <v>5.0782290501689626</v>
      </c>
      <c r="L186" s="388"/>
      <c r="Y186" s="402"/>
    </row>
    <row r="187" spans="1:25" x14ac:dyDescent="0.35">
      <c r="A187" s="402"/>
      <c r="B187" s="374" t="s">
        <v>215</v>
      </c>
      <c r="C187" s="384"/>
      <c r="D187" s="384"/>
      <c r="E187" s="384"/>
      <c r="F187" s="384"/>
      <c r="G187" s="384"/>
      <c r="H187" s="391" t="s">
        <v>216</v>
      </c>
      <c r="I187" s="392"/>
      <c r="J187" s="384"/>
      <c r="K187" s="377">
        <f>1.95996+(2.37356/K186)+(2.818745/K186^2)+(2.546662/K186^3)+(1.761829/K186^4)+(0.245458/K186^5)+(1.000764/K186^6)</f>
        <v>2.5588883623252023</v>
      </c>
      <c r="L187" s="393">
        <f>TINV(0.05,K186)</f>
        <v>2.570581835636315</v>
      </c>
      <c r="Y187" s="402"/>
    </row>
    <row r="188" spans="1:25" ht="15.5" x14ac:dyDescent="0.35">
      <c r="A188" s="402"/>
      <c r="B188" s="374" t="s">
        <v>217</v>
      </c>
      <c r="C188" s="384"/>
      <c r="D188" s="384"/>
      <c r="E188" s="384"/>
      <c r="F188" s="384"/>
      <c r="G188" s="384"/>
      <c r="H188" s="394" t="s">
        <v>218</v>
      </c>
      <c r="I188" s="395"/>
      <c r="J188" s="384"/>
      <c r="K188" s="398">
        <f>K187*K185</f>
        <v>0.37049630192462707</v>
      </c>
      <c r="L188" s="19" t="str">
        <f>D178</f>
        <v>µA</v>
      </c>
      <c r="Y188" s="402"/>
    </row>
    <row r="189" spans="1:25" x14ac:dyDescent="0.35">
      <c r="A189" s="402"/>
      <c r="B189" s="396"/>
      <c r="C189" s="396"/>
      <c r="D189" s="396"/>
      <c r="E189" s="396"/>
      <c r="F189" s="396"/>
      <c r="G189" s="396"/>
      <c r="H189" s="396"/>
      <c r="I189" s="396"/>
      <c r="J189" s="396"/>
      <c r="K189" s="388">
        <f>(K188/C178)*100</f>
        <v>0.74099260384925414</v>
      </c>
      <c r="L189" s="19" t="s">
        <v>219</v>
      </c>
      <c r="Y189" s="402"/>
    </row>
    <row r="190" spans="1:25" x14ac:dyDescent="0.35">
      <c r="A190" s="402"/>
      <c r="B190" s="396" t="s">
        <v>193</v>
      </c>
      <c r="C190" s="77">
        <f>ID!D63</f>
        <v>100</v>
      </c>
      <c r="D190" s="397" t="s">
        <v>222</v>
      </c>
      <c r="Y190" s="402"/>
    </row>
    <row r="191" spans="1:25" x14ac:dyDescent="0.35">
      <c r="A191" s="402"/>
      <c r="B191" s="372" t="s">
        <v>194</v>
      </c>
      <c r="C191" s="373" t="s">
        <v>72</v>
      </c>
      <c r="D191" s="373" t="s">
        <v>195</v>
      </c>
      <c r="E191" s="372" t="s">
        <v>196</v>
      </c>
      <c r="F191" s="372" t="s">
        <v>197</v>
      </c>
      <c r="G191" s="372" t="s">
        <v>198</v>
      </c>
      <c r="H191" s="372" t="s">
        <v>199</v>
      </c>
      <c r="I191" s="372" t="s">
        <v>200</v>
      </c>
      <c r="J191" s="372" t="s">
        <v>201</v>
      </c>
      <c r="K191" s="372" t="s">
        <v>202</v>
      </c>
      <c r="L191" s="373" t="s">
        <v>203</v>
      </c>
      <c r="N191" s="396"/>
      <c r="O191" s="396"/>
      <c r="P191" s="396"/>
      <c r="Q191" s="396"/>
      <c r="R191" s="396"/>
      <c r="S191" s="396"/>
      <c r="T191" s="396"/>
      <c r="U191" s="396"/>
      <c r="V191" s="396"/>
      <c r="W191" s="469"/>
      <c r="X191" s="77"/>
      <c r="Y191" s="402"/>
    </row>
    <row r="192" spans="1:25" x14ac:dyDescent="0.35">
      <c r="A192" s="402"/>
      <c r="B192" s="374" t="s">
        <v>223</v>
      </c>
      <c r="C192" s="19" t="str">
        <f>D190</f>
        <v>µA</v>
      </c>
      <c r="D192" s="375" t="s">
        <v>205</v>
      </c>
      <c r="E192" s="376">
        <f>'Sert Time Electronics'!X126</f>
        <v>0.25099800796022342</v>
      </c>
      <c r="F192" s="377">
        <f>SQRT(5)</f>
        <v>2.2360679774997898</v>
      </c>
      <c r="G192" s="375">
        <f>5-1</f>
        <v>4</v>
      </c>
      <c r="H192" s="377">
        <f>E192/F192</f>
        <v>0.11224972160321857</v>
      </c>
      <c r="I192" s="375">
        <v>1</v>
      </c>
      <c r="J192" s="377">
        <f>H192*I192</f>
        <v>0.11224972160321857</v>
      </c>
      <c r="K192" s="378">
        <f>J192^2</f>
        <v>1.2600000000000073E-2</v>
      </c>
      <c r="L192" s="379">
        <f>K192^2/G192</f>
        <v>3.9690000000000462E-5</v>
      </c>
      <c r="N192" s="396"/>
      <c r="O192" s="396"/>
      <c r="P192" s="396"/>
      <c r="Q192" s="396"/>
      <c r="R192" s="396"/>
      <c r="S192" s="396"/>
      <c r="T192" s="396"/>
      <c r="U192" s="396"/>
      <c r="V192" s="396"/>
      <c r="W192" s="469"/>
      <c r="X192" s="77"/>
      <c r="Y192" s="402"/>
    </row>
    <row r="193" spans="1:25" x14ac:dyDescent="0.35">
      <c r="A193" s="402"/>
      <c r="B193" s="380" t="s">
        <v>206</v>
      </c>
      <c r="C193" s="19" t="str">
        <f>C192</f>
        <v>µA</v>
      </c>
      <c r="D193" s="375" t="s">
        <v>205</v>
      </c>
      <c r="E193" s="381">
        <f>'Sert Time Electronics'!AA126</f>
        <v>0.14562583595632186</v>
      </c>
      <c r="F193" s="377">
        <v>2</v>
      </c>
      <c r="G193" s="375">
        <f>0.5*(100/10)^2</f>
        <v>50</v>
      </c>
      <c r="H193" s="377">
        <f>E193/F193</f>
        <v>7.2812917978160932E-2</v>
      </c>
      <c r="I193" s="375">
        <v>1</v>
      </c>
      <c r="J193" s="377">
        <f>H193*I193</f>
        <v>7.2812917978160932E-2</v>
      </c>
      <c r="K193" s="378">
        <f>J193^2</f>
        <v>5.3017210244943914E-3</v>
      </c>
      <c r="L193" s="379">
        <f>K193^2/G193</f>
        <v>5.6216491643131721E-7</v>
      </c>
      <c r="N193" s="396"/>
      <c r="O193" s="396"/>
      <c r="P193" s="396"/>
      <c r="Q193" s="396"/>
      <c r="R193" s="396"/>
      <c r="S193" s="396"/>
      <c r="T193" s="396"/>
      <c r="U193" s="396"/>
      <c r="V193" s="396"/>
      <c r="W193" s="469"/>
      <c r="X193" s="77"/>
      <c r="Y193" s="402"/>
    </row>
    <row r="194" spans="1:25" x14ac:dyDescent="0.35">
      <c r="A194" s="402"/>
      <c r="B194" s="380" t="s">
        <v>207</v>
      </c>
      <c r="C194" s="19" t="str">
        <f>C193</f>
        <v>µA</v>
      </c>
      <c r="D194" s="375" t="s">
        <v>208</v>
      </c>
      <c r="E194" s="382">
        <f>'Sert Time Electronics'!Y126</f>
        <v>0.05</v>
      </c>
      <c r="F194" s="377">
        <f>SQRT(3)</f>
        <v>1.7320508075688772</v>
      </c>
      <c r="G194" s="375">
        <v>50</v>
      </c>
      <c r="H194" s="377">
        <f>E194/F194</f>
        <v>2.8867513459481291E-2</v>
      </c>
      <c r="I194" s="375">
        <v>1</v>
      </c>
      <c r="J194" s="377">
        <f>H194*I194</f>
        <v>2.8867513459481291E-2</v>
      </c>
      <c r="K194" s="378">
        <f>J194^2</f>
        <v>8.333333333333335E-4</v>
      </c>
      <c r="L194" s="379">
        <f>K194^2/G194</f>
        <v>1.3888888888888894E-8</v>
      </c>
      <c r="N194" s="396"/>
      <c r="O194" s="396"/>
      <c r="P194" s="396"/>
      <c r="Q194" s="396"/>
      <c r="R194" s="396"/>
      <c r="S194" s="396"/>
      <c r="T194" s="396"/>
      <c r="U194" s="396"/>
      <c r="V194" s="396"/>
      <c r="W194" s="469"/>
      <c r="X194" s="77"/>
      <c r="Y194" s="402"/>
    </row>
    <row r="195" spans="1:25" x14ac:dyDescent="0.35">
      <c r="A195" s="402"/>
      <c r="B195" s="383" t="s">
        <v>209</v>
      </c>
      <c r="C195" s="19" t="str">
        <f>C194</f>
        <v>µA</v>
      </c>
      <c r="D195" s="375" t="s">
        <v>208</v>
      </c>
      <c r="E195" s="381">
        <f>'Sert Time Electronics'!Z126</f>
        <v>4.8541945318773948E-2</v>
      </c>
      <c r="F195" s="377">
        <f>SQRT(3)</f>
        <v>1.7320508075688772</v>
      </c>
      <c r="G195" s="375">
        <v>50</v>
      </c>
      <c r="H195" s="377">
        <f>E195/F195</f>
        <v>2.8025705196782234E-2</v>
      </c>
      <c r="I195" s="375">
        <v>1</v>
      </c>
      <c r="J195" s="377">
        <f>H195*I195</f>
        <v>2.8025705196782234E-2</v>
      </c>
      <c r="K195" s="378">
        <f>J195^2</f>
        <v>7.8544015177694668E-4</v>
      </c>
      <c r="L195" s="379">
        <f>K195^2/G195</f>
        <v>1.2338324640467861E-8</v>
      </c>
      <c r="N195" s="396"/>
      <c r="O195" s="396"/>
      <c r="P195" s="396"/>
      <c r="Q195" s="396"/>
      <c r="R195" s="396"/>
      <c r="S195" s="396"/>
      <c r="T195" s="396"/>
      <c r="U195" s="396"/>
      <c r="V195" s="396"/>
      <c r="W195" s="469"/>
      <c r="X195" s="77"/>
      <c r="Y195" s="402"/>
    </row>
    <row r="196" spans="1:25" x14ac:dyDescent="0.35">
      <c r="A196" s="402"/>
      <c r="B196" s="374" t="s">
        <v>210</v>
      </c>
      <c r="C196" s="384"/>
      <c r="D196" s="384"/>
      <c r="E196" s="384"/>
      <c r="F196" s="384"/>
      <c r="G196" s="384"/>
      <c r="H196" s="384"/>
      <c r="I196" s="384"/>
      <c r="J196" s="384"/>
      <c r="K196" s="378">
        <f>SUM(K192:K195)</f>
        <v>1.9520494509604743E-2</v>
      </c>
      <c r="L196" s="379">
        <f>SUM(L192:L195)</f>
        <v>4.0278392129961134E-5</v>
      </c>
      <c r="N196" s="396"/>
      <c r="O196" s="396"/>
      <c r="P196" s="396"/>
      <c r="Q196" s="396"/>
      <c r="R196" s="396"/>
      <c r="S196" s="396"/>
      <c r="T196" s="396"/>
      <c r="U196" s="396"/>
      <c r="V196" s="396"/>
      <c r="W196" s="469"/>
      <c r="X196" s="77"/>
      <c r="Y196" s="402"/>
    </row>
    <row r="197" spans="1:25" ht="15" x14ac:dyDescent="0.4">
      <c r="A197" s="402"/>
      <c r="B197" s="374" t="s">
        <v>211</v>
      </c>
      <c r="C197" s="384"/>
      <c r="D197" s="384"/>
      <c r="E197" s="384"/>
      <c r="F197" s="384"/>
      <c r="G197" s="384"/>
      <c r="H197" s="385" t="s">
        <v>212</v>
      </c>
      <c r="I197" s="386"/>
      <c r="J197" s="384"/>
      <c r="K197" s="387">
        <f>SQRT(K196)</f>
        <v>0.13971576328247556</v>
      </c>
      <c r="L197" s="388"/>
      <c r="N197" s="396"/>
      <c r="O197" s="396"/>
      <c r="P197" s="396"/>
      <c r="Q197" s="396"/>
      <c r="R197" s="396"/>
      <c r="S197" s="396"/>
      <c r="T197" s="396"/>
      <c r="U197" s="396"/>
      <c r="V197" s="396"/>
      <c r="W197" s="469"/>
      <c r="X197" s="77"/>
      <c r="Y197" s="402"/>
    </row>
    <row r="198" spans="1:25" ht="16.5" x14ac:dyDescent="0.4">
      <c r="A198" s="402"/>
      <c r="B198" s="374" t="s">
        <v>213</v>
      </c>
      <c r="C198" s="384"/>
      <c r="D198" s="384"/>
      <c r="E198" s="384"/>
      <c r="F198" s="384"/>
      <c r="G198" s="384"/>
      <c r="H198" s="389" t="s">
        <v>214</v>
      </c>
      <c r="I198" s="390"/>
      <c r="J198" s="384"/>
      <c r="K198" s="375">
        <f>K197^4/L196</f>
        <v>9.4604001239678261</v>
      </c>
      <c r="L198" s="388"/>
      <c r="N198" s="396"/>
      <c r="O198" s="396"/>
      <c r="P198" s="396"/>
      <c r="Q198" s="396"/>
      <c r="R198" s="396"/>
      <c r="S198" s="396"/>
      <c r="T198" s="396"/>
      <c r="U198" s="396"/>
      <c r="V198" s="396"/>
      <c r="W198" s="469"/>
      <c r="X198" s="77"/>
      <c r="Y198" s="402"/>
    </row>
    <row r="199" spans="1:25" x14ac:dyDescent="0.35">
      <c r="A199" s="402"/>
      <c r="B199" s="374" t="s">
        <v>215</v>
      </c>
      <c r="C199" s="384"/>
      <c r="D199" s="384"/>
      <c r="E199" s="384"/>
      <c r="F199" s="384"/>
      <c r="G199" s="384"/>
      <c r="H199" s="391" t="s">
        <v>216</v>
      </c>
      <c r="I199" s="392"/>
      <c r="J199" s="384"/>
      <c r="K199" s="377">
        <f>1.95996+(2.37356/K198)+(2.818745/K198^2)+(2.546662/K198^3)+(1.761829/K198^4)+(0.245458/K198^5)+(1.000764/K198^6)</f>
        <v>2.2455812434145059</v>
      </c>
      <c r="L199" s="393">
        <f>TINV(0.05,K198)</f>
        <v>2.2621571627982053</v>
      </c>
      <c r="N199" s="396"/>
      <c r="O199" s="396"/>
      <c r="P199" s="396"/>
      <c r="Q199" s="396"/>
      <c r="R199" s="396"/>
      <c r="S199" s="396"/>
      <c r="T199" s="396"/>
      <c r="U199" s="396"/>
      <c r="V199" s="396"/>
      <c r="W199" s="469"/>
      <c r="X199" s="77"/>
      <c r="Y199" s="402"/>
    </row>
    <row r="200" spans="1:25" ht="15.5" x14ac:dyDescent="0.35">
      <c r="A200" s="402"/>
      <c r="B200" s="374" t="s">
        <v>217</v>
      </c>
      <c r="C200" s="384"/>
      <c r="D200" s="384"/>
      <c r="E200" s="384"/>
      <c r="F200" s="384"/>
      <c r="G200" s="384"/>
      <c r="H200" s="394" t="s">
        <v>218</v>
      </c>
      <c r="I200" s="395"/>
      <c r="J200" s="384"/>
      <c r="K200" s="398">
        <f>K199*K197</f>
        <v>0.31374309743646828</v>
      </c>
      <c r="L200" s="19" t="str">
        <f>D190</f>
        <v>µA</v>
      </c>
      <c r="N200" s="396"/>
      <c r="O200" s="396"/>
      <c r="P200" s="396"/>
      <c r="Q200" s="396"/>
      <c r="R200" s="396"/>
      <c r="S200" s="396"/>
      <c r="T200" s="396"/>
      <c r="U200" s="396"/>
      <c r="V200" s="396"/>
      <c r="W200" s="469"/>
      <c r="X200" s="77"/>
      <c r="Y200" s="402"/>
    </row>
    <row r="201" spans="1:25" x14ac:dyDescent="0.35">
      <c r="A201" s="402"/>
      <c r="B201" s="396"/>
      <c r="C201" s="396"/>
      <c r="D201" s="396"/>
      <c r="E201" s="396"/>
      <c r="F201" s="396"/>
      <c r="G201" s="396"/>
      <c r="H201" s="396"/>
      <c r="I201" s="396"/>
      <c r="J201" s="396"/>
      <c r="K201" s="388">
        <f>(K200/C190)*100</f>
        <v>0.31374309743646828</v>
      </c>
      <c r="L201" s="19" t="s">
        <v>219</v>
      </c>
      <c r="N201" s="396"/>
      <c r="O201" s="396"/>
      <c r="P201" s="396"/>
      <c r="Q201" s="396"/>
      <c r="R201" s="396"/>
      <c r="S201" s="396"/>
      <c r="T201" s="396"/>
      <c r="U201" s="396"/>
      <c r="V201" s="396"/>
      <c r="W201" s="469"/>
      <c r="X201" s="77"/>
      <c r="Y201" s="402"/>
    </row>
    <row r="202" spans="1:25" x14ac:dyDescent="0.35">
      <c r="A202" s="402"/>
      <c r="B202" s="396" t="s">
        <v>193</v>
      </c>
      <c r="C202" s="77">
        <f>ID!D64</f>
        <v>500</v>
      </c>
      <c r="D202" s="397" t="s">
        <v>222</v>
      </c>
      <c r="N202" s="396"/>
      <c r="O202" s="396"/>
      <c r="P202" s="396"/>
      <c r="Q202" s="396"/>
      <c r="R202" s="396"/>
      <c r="S202" s="396"/>
      <c r="T202" s="396"/>
      <c r="U202" s="396"/>
      <c r="V202" s="396"/>
      <c r="W202" s="469"/>
      <c r="X202" s="77"/>
      <c r="Y202" s="402"/>
    </row>
    <row r="203" spans="1:25" x14ac:dyDescent="0.35">
      <c r="A203" s="402"/>
      <c r="B203" s="372" t="s">
        <v>194</v>
      </c>
      <c r="C203" s="373" t="s">
        <v>72</v>
      </c>
      <c r="D203" s="373" t="s">
        <v>195</v>
      </c>
      <c r="E203" s="372" t="s">
        <v>196</v>
      </c>
      <c r="F203" s="372" t="s">
        <v>197</v>
      </c>
      <c r="G203" s="372" t="s">
        <v>198</v>
      </c>
      <c r="H203" s="372" t="s">
        <v>199</v>
      </c>
      <c r="I203" s="372" t="s">
        <v>200</v>
      </c>
      <c r="J203" s="372" t="s">
        <v>201</v>
      </c>
      <c r="K203" s="372" t="s">
        <v>202</v>
      </c>
      <c r="L203" s="373" t="s">
        <v>203</v>
      </c>
      <c r="N203" s="396"/>
      <c r="O203" s="396"/>
      <c r="P203" s="396"/>
      <c r="Q203" s="396"/>
      <c r="R203" s="396"/>
      <c r="S203" s="396"/>
      <c r="T203" s="396"/>
      <c r="U203" s="396"/>
      <c r="V203" s="396"/>
      <c r="W203" s="469"/>
      <c r="X203" s="77"/>
      <c r="Y203" s="402"/>
    </row>
    <row r="204" spans="1:25" x14ac:dyDescent="0.35">
      <c r="A204" s="402"/>
      <c r="B204" s="374" t="s">
        <v>223</v>
      </c>
      <c r="C204" s="19" t="str">
        <f>D202</f>
        <v>µA</v>
      </c>
      <c r="D204" s="375" t="s">
        <v>205</v>
      </c>
      <c r="E204" s="376">
        <f>'Sert Time Electronics'!X127</f>
        <v>0.44721359549995798</v>
      </c>
      <c r="F204" s="377">
        <f>SQRT(5)</f>
        <v>2.2360679774997898</v>
      </c>
      <c r="G204" s="375">
        <f>5-1</f>
        <v>4</v>
      </c>
      <c r="H204" s="377">
        <f>E204/F204</f>
        <v>0.2</v>
      </c>
      <c r="I204" s="375">
        <v>1</v>
      </c>
      <c r="J204" s="377">
        <f>H204*I204</f>
        <v>0.2</v>
      </c>
      <c r="K204" s="378">
        <f>J204^2</f>
        <v>4.0000000000000008E-2</v>
      </c>
      <c r="L204" s="379">
        <f>K204^2/G204</f>
        <v>4.0000000000000018E-4</v>
      </c>
      <c r="N204" s="396"/>
      <c r="O204" s="396"/>
      <c r="P204" s="396"/>
      <c r="Q204" s="396"/>
      <c r="R204" s="396"/>
      <c r="S204" s="396"/>
      <c r="T204" s="396"/>
      <c r="U204" s="396"/>
      <c r="V204" s="396"/>
      <c r="W204" s="469"/>
      <c r="X204" s="77"/>
      <c r="Y204" s="402"/>
    </row>
    <row r="205" spans="1:25" x14ac:dyDescent="0.35">
      <c r="A205" s="402"/>
      <c r="B205" s="380" t="s">
        <v>206</v>
      </c>
      <c r="C205" s="19" t="str">
        <f>C204</f>
        <v>µA</v>
      </c>
      <c r="D205" s="375" t="s">
        <v>205</v>
      </c>
      <c r="E205" s="381">
        <f>'Sert Time Electronics'!AA127</f>
        <v>0.7251809047661596</v>
      </c>
      <c r="F205" s="377">
        <v>2</v>
      </c>
      <c r="G205" s="375">
        <f>0.5*(100/10)^2</f>
        <v>50</v>
      </c>
      <c r="H205" s="377">
        <f>E205/F205</f>
        <v>0.3625904523830798</v>
      </c>
      <c r="I205" s="375">
        <v>1</v>
      </c>
      <c r="J205" s="377">
        <f>H205*I205</f>
        <v>0.3625904523830798</v>
      </c>
      <c r="K205" s="378">
        <f>J205^2</f>
        <v>0.13147183615936645</v>
      </c>
      <c r="L205" s="379">
        <f>K205^2/G205</f>
        <v>3.4569687406230587E-4</v>
      </c>
      <c r="N205" s="396"/>
      <c r="O205" s="396"/>
      <c r="P205" s="396"/>
      <c r="Q205" s="396"/>
      <c r="R205" s="396"/>
      <c r="S205" s="396"/>
      <c r="T205" s="396"/>
      <c r="U205" s="396"/>
      <c r="V205" s="396"/>
      <c r="W205" s="469"/>
      <c r="X205" s="77"/>
      <c r="Y205" s="402"/>
    </row>
    <row r="206" spans="1:25" x14ac:dyDescent="0.35">
      <c r="A206" s="402"/>
      <c r="B206" s="380" t="s">
        <v>207</v>
      </c>
      <c r="C206" s="19" t="str">
        <f>C205</f>
        <v>µA</v>
      </c>
      <c r="D206" s="375" t="s">
        <v>208</v>
      </c>
      <c r="E206" s="382">
        <f>'Sert Time Electronics'!Y127</f>
        <v>0.5</v>
      </c>
      <c r="F206" s="377">
        <f>SQRT(3)</f>
        <v>1.7320508075688772</v>
      </c>
      <c r="G206" s="375">
        <v>50</v>
      </c>
      <c r="H206" s="377">
        <f>E206/F206</f>
        <v>0.28867513459481292</v>
      </c>
      <c r="I206" s="375">
        <v>1</v>
      </c>
      <c r="J206" s="377">
        <f>H206*I206</f>
        <v>0.28867513459481292</v>
      </c>
      <c r="K206" s="378">
        <f>J206^2</f>
        <v>8.3333333333333356E-2</v>
      </c>
      <c r="L206" s="379">
        <f>K206^2/G206</f>
        <v>1.3888888888888897E-4</v>
      </c>
      <c r="N206" s="396"/>
      <c r="O206" s="396"/>
      <c r="P206" s="396"/>
      <c r="Q206" s="396"/>
      <c r="R206" s="396"/>
      <c r="S206" s="396"/>
      <c r="T206" s="396"/>
      <c r="U206" s="396"/>
      <c r="V206" s="396"/>
      <c r="W206" s="469"/>
      <c r="X206" s="77"/>
      <c r="Y206" s="402"/>
    </row>
    <row r="207" spans="1:25" x14ac:dyDescent="0.35">
      <c r="A207" s="402"/>
      <c r="B207" s="383" t="s">
        <v>209</v>
      </c>
      <c r="C207" s="19" t="str">
        <f>C206</f>
        <v>µA</v>
      </c>
      <c r="D207" s="375" t="s">
        <v>208</v>
      </c>
      <c r="E207" s="381">
        <f>'Sert Time Electronics'!Z127</f>
        <v>0.24172696825538648</v>
      </c>
      <c r="F207" s="377">
        <f>SQRT(3)</f>
        <v>1.7320508075688772</v>
      </c>
      <c r="G207" s="375">
        <v>50</v>
      </c>
      <c r="H207" s="377">
        <f>E207/F207</f>
        <v>0.13956113019263952</v>
      </c>
      <c r="I207" s="375">
        <v>1</v>
      </c>
      <c r="J207" s="377">
        <f>H207*I207</f>
        <v>0.13956113019263952</v>
      </c>
      <c r="K207" s="378">
        <f>J207^2</f>
        <v>1.9477309060646878E-2</v>
      </c>
      <c r="L207" s="379">
        <f>K207^2/G207</f>
        <v>7.5873113648791401E-6</v>
      </c>
      <c r="N207" s="396"/>
      <c r="O207" s="396"/>
      <c r="P207" s="396"/>
      <c r="Q207" s="396"/>
      <c r="R207" s="396"/>
      <c r="S207" s="396"/>
      <c r="T207" s="396"/>
      <c r="U207" s="396"/>
      <c r="V207" s="396"/>
      <c r="W207" s="469"/>
      <c r="X207" s="77"/>
      <c r="Y207" s="402"/>
    </row>
    <row r="208" spans="1:25" x14ac:dyDescent="0.35">
      <c r="A208" s="402"/>
      <c r="B208" s="374" t="s">
        <v>210</v>
      </c>
      <c r="C208" s="384"/>
      <c r="D208" s="384"/>
      <c r="E208" s="384"/>
      <c r="F208" s="384"/>
      <c r="G208" s="384"/>
      <c r="H208" s="384"/>
      <c r="I208" s="384"/>
      <c r="J208" s="384"/>
      <c r="K208" s="378">
        <f>SUM(K204:K207)</f>
        <v>0.2742824785533467</v>
      </c>
      <c r="L208" s="379">
        <f>SUM(L204:L207)</f>
        <v>8.9217307431607425E-4</v>
      </c>
      <c r="N208" s="396"/>
      <c r="O208" s="396"/>
      <c r="P208" s="396"/>
      <c r="Q208" s="396"/>
      <c r="R208" s="396"/>
      <c r="S208" s="396"/>
      <c r="T208" s="396"/>
      <c r="U208" s="396"/>
      <c r="V208" s="396"/>
      <c r="W208" s="469"/>
      <c r="X208" s="77"/>
      <c r="Y208" s="402"/>
    </row>
    <row r="209" spans="1:25" ht="15" x14ac:dyDescent="0.4">
      <c r="A209" s="402"/>
      <c r="B209" s="374" t="s">
        <v>211</v>
      </c>
      <c r="C209" s="384"/>
      <c r="D209" s="384"/>
      <c r="E209" s="384"/>
      <c r="F209" s="384"/>
      <c r="G209" s="384"/>
      <c r="H209" s="385" t="s">
        <v>212</v>
      </c>
      <c r="I209" s="386"/>
      <c r="J209" s="384"/>
      <c r="K209" s="387">
        <f>SQRT(K208)</f>
        <v>0.52371984739299948</v>
      </c>
      <c r="L209" s="388"/>
      <c r="N209" s="396"/>
      <c r="O209" s="396"/>
      <c r="P209" s="396"/>
      <c r="Q209" s="396"/>
      <c r="R209" s="396"/>
      <c r="S209" s="396"/>
      <c r="T209" s="396"/>
      <c r="U209" s="396"/>
      <c r="V209" s="396"/>
      <c r="W209" s="469"/>
      <c r="X209" s="77"/>
      <c r="Y209" s="402"/>
    </row>
    <row r="210" spans="1:25" ht="16.5" x14ac:dyDescent="0.4">
      <c r="A210" s="402"/>
      <c r="B210" s="374" t="s">
        <v>213</v>
      </c>
      <c r="C210" s="384"/>
      <c r="D210" s="384"/>
      <c r="E210" s="384"/>
      <c r="F210" s="384"/>
      <c r="G210" s="384"/>
      <c r="H210" s="389" t="s">
        <v>214</v>
      </c>
      <c r="I210" s="390"/>
      <c r="J210" s="384"/>
      <c r="K210" s="375">
        <f>K209^4/L208</f>
        <v>84.323188187491382</v>
      </c>
      <c r="L210" s="388"/>
      <c r="N210" s="396"/>
      <c r="O210" s="396"/>
      <c r="P210" s="396"/>
      <c r="Q210" s="396"/>
      <c r="R210" s="396"/>
      <c r="S210" s="396"/>
      <c r="T210" s="396"/>
      <c r="U210" s="396"/>
      <c r="V210" s="396"/>
      <c r="W210" s="469"/>
      <c r="X210" s="77"/>
      <c r="Y210" s="402"/>
    </row>
    <row r="211" spans="1:25" x14ac:dyDescent="0.35">
      <c r="A211" s="402"/>
      <c r="B211" s="374" t="s">
        <v>215</v>
      </c>
      <c r="C211" s="384"/>
      <c r="D211" s="384"/>
      <c r="E211" s="384"/>
      <c r="F211" s="384"/>
      <c r="G211" s="384"/>
      <c r="H211" s="391" t="s">
        <v>216</v>
      </c>
      <c r="I211" s="392"/>
      <c r="J211" s="384"/>
      <c r="K211" s="377">
        <f>1.95996+(2.37356/K210)+(2.818745/K210^2)+(2.546662/K210^3)+(1.761829/K210^4)+(0.245458/K210^5)+(1.000764/K210^6)</f>
        <v>1.9885090744662124</v>
      </c>
      <c r="L211" s="393">
        <f>TINV(0.05,K210)</f>
        <v>1.9886096669757098</v>
      </c>
      <c r="N211" s="396"/>
      <c r="O211" s="396"/>
      <c r="P211" s="396"/>
      <c r="Q211" s="396"/>
      <c r="R211" s="396"/>
      <c r="S211" s="396"/>
      <c r="T211" s="396"/>
      <c r="U211" s="396"/>
      <c r="V211" s="396"/>
      <c r="W211" s="469"/>
      <c r="X211" s="77"/>
      <c r="Y211" s="402"/>
    </row>
    <row r="212" spans="1:25" ht="15.5" x14ac:dyDescent="0.35">
      <c r="A212" s="402"/>
      <c r="B212" s="374" t="s">
        <v>217</v>
      </c>
      <c r="C212" s="384"/>
      <c r="D212" s="384"/>
      <c r="E212" s="384"/>
      <c r="F212" s="384"/>
      <c r="G212" s="384"/>
      <c r="H212" s="394" t="s">
        <v>218</v>
      </c>
      <c r="I212" s="395"/>
      <c r="J212" s="384"/>
      <c r="K212" s="398">
        <f>K211*K209</f>
        <v>1.0414216690190394</v>
      </c>
      <c r="L212" s="19" t="str">
        <f>D202</f>
        <v>µA</v>
      </c>
      <c r="N212" s="396"/>
      <c r="O212" s="396"/>
      <c r="P212" s="396"/>
      <c r="Q212" s="396"/>
      <c r="R212" s="396"/>
      <c r="S212" s="396"/>
      <c r="T212" s="396"/>
      <c r="U212" s="396"/>
      <c r="V212" s="396"/>
      <c r="W212" s="469"/>
      <c r="X212" s="77"/>
      <c r="Y212" s="402"/>
    </row>
    <row r="213" spans="1:25" x14ac:dyDescent="0.35">
      <c r="A213" s="402"/>
      <c r="B213" s="396"/>
      <c r="C213" s="396"/>
      <c r="D213" s="396"/>
      <c r="E213" s="396"/>
      <c r="F213" s="396"/>
      <c r="G213" s="396"/>
      <c r="H213" s="396"/>
      <c r="I213" s="396"/>
      <c r="J213" s="396"/>
      <c r="K213" s="388">
        <f>(K212/C202)*100</f>
        <v>0.2082843338038079</v>
      </c>
      <c r="L213" s="19" t="s">
        <v>219</v>
      </c>
      <c r="N213" s="396"/>
      <c r="O213" s="396"/>
      <c r="P213" s="396"/>
      <c r="Q213" s="396"/>
      <c r="R213" s="396"/>
      <c r="S213" s="396"/>
      <c r="T213" s="396"/>
      <c r="U213" s="396"/>
      <c r="V213" s="396"/>
      <c r="W213" s="469"/>
      <c r="X213" s="77"/>
      <c r="Y213" s="402"/>
    </row>
    <row r="214" spans="1:25" x14ac:dyDescent="0.35">
      <c r="A214" s="402"/>
      <c r="B214" s="396" t="s">
        <v>193</v>
      </c>
      <c r="C214" s="77">
        <f>ID!D65</f>
        <v>1000</v>
      </c>
      <c r="D214" s="397" t="s">
        <v>222</v>
      </c>
      <c r="N214" s="396"/>
      <c r="O214" s="396"/>
      <c r="P214" s="396"/>
      <c r="Q214" s="396"/>
      <c r="R214" s="396"/>
      <c r="S214" s="396"/>
      <c r="T214" s="396"/>
      <c r="U214" s="396"/>
      <c r="V214" s="396"/>
      <c r="W214" s="469"/>
      <c r="X214" s="77"/>
      <c r="Y214" s="402"/>
    </row>
    <row r="215" spans="1:25" x14ac:dyDescent="0.35">
      <c r="A215" s="402"/>
      <c r="B215" s="372" t="s">
        <v>194</v>
      </c>
      <c r="C215" s="373" t="s">
        <v>72</v>
      </c>
      <c r="D215" s="373" t="s">
        <v>195</v>
      </c>
      <c r="E215" s="372" t="s">
        <v>196</v>
      </c>
      <c r="F215" s="372" t="s">
        <v>197</v>
      </c>
      <c r="G215" s="372" t="s">
        <v>198</v>
      </c>
      <c r="H215" s="372" t="s">
        <v>199</v>
      </c>
      <c r="I215" s="372" t="s">
        <v>200</v>
      </c>
      <c r="J215" s="372" t="s">
        <v>201</v>
      </c>
      <c r="K215" s="372" t="s">
        <v>202</v>
      </c>
      <c r="L215" s="373" t="s">
        <v>203</v>
      </c>
      <c r="N215" s="396"/>
      <c r="O215" s="396"/>
      <c r="P215" s="396"/>
      <c r="Q215" s="396"/>
      <c r="R215" s="396"/>
      <c r="S215" s="396"/>
      <c r="T215" s="396"/>
      <c r="U215" s="396"/>
      <c r="V215" s="396"/>
      <c r="W215" s="469"/>
      <c r="X215" s="77"/>
      <c r="Y215" s="402"/>
    </row>
    <row r="216" spans="1:25" x14ac:dyDescent="0.35">
      <c r="A216" s="402"/>
      <c r="B216" s="374" t="s">
        <v>223</v>
      </c>
      <c r="C216" s="19" t="str">
        <f>D214</f>
        <v>µA</v>
      </c>
      <c r="D216" s="375" t="s">
        <v>205</v>
      </c>
      <c r="E216" s="376">
        <f>'Sert Time Electronics'!X128</f>
        <v>0.54772255750516619</v>
      </c>
      <c r="F216" s="377">
        <f>SQRT(5)</f>
        <v>2.2360679774997898</v>
      </c>
      <c r="G216" s="375">
        <f>5-1</f>
        <v>4</v>
      </c>
      <c r="H216" s="377">
        <f>E216/F216</f>
        <v>0.24494897427831783</v>
      </c>
      <c r="I216" s="375">
        <v>1</v>
      </c>
      <c r="J216" s="377">
        <f>H216*I216</f>
        <v>0.24494897427831783</v>
      </c>
      <c r="K216" s="378">
        <f>J216^2</f>
        <v>6.0000000000000012E-2</v>
      </c>
      <c r="L216" s="379">
        <f>K216^2/G216</f>
        <v>9.000000000000003E-4</v>
      </c>
      <c r="N216" s="396"/>
      <c r="O216" s="396"/>
      <c r="P216" s="396"/>
      <c r="Q216" s="396"/>
      <c r="R216" s="396"/>
      <c r="S216" s="396"/>
      <c r="T216" s="396"/>
      <c r="U216" s="396"/>
      <c r="V216" s="396"/>
      <c r="W216" s="469"/>
      <c r="X216" s="77"/>
      <c r="Y216" s="402"/>
    </row>
    <row r="217" spans="1:25" x14ac:dyDescent="0.35">
      <c r="A217" s="402"/>
      <c r="B217" s="380" t="s">
        <v>206</v>
      </c>
      <c r="C217" s="19" t="str">
        <f>C216</f>
        <v>µA</v>
      </c>
      <c r="D217" s="375" t="s">
        <v>205</v>
      </c>
      <c r="E217" s="381">
        <f>'Sert Time Electronics'!AA128</f>
        <v>1.4498424876483131</v>
      </c>
      <c r="F217" s="377">
        <v>2</v>
      </c>
      <c r="G217" s="375">
        <f>0.5*(100/10)^2</f>
        <v>50</v>
      </c>
      <c r="H217" s="377">
        <f>E217/F217</f>
        <v>0.72492124382415657</v>
      </c>
      <c r="I217" s="375">
        <v>1</v>
      </c>
      <c r="J217" s="377">
        <f>H217*I217</f>
        <v>0.72492124382415657</v>
      </c>
      <c r="K217" s="378">
        <f>J217^2</f>
        <v>0.52551080974756226</v>
      </c>
      <c r="L217" s="379">
        <f>K217^2/G217</f>
        <v>5.5232322232307719E-3</v>
      </c>
      <c r="N217" s="396"/>
      <c r="O217" s="396"/>
      <c r="P217" s="396"/>
      <c r="Q217" s="396"/>
      <c r="R217" s="396"/>
      <c r="S217" s="396"/>
      <c r="T217" s="396"/>
      <c r="U217" s="396"/>
      <c r="V217" s="396"/>
      <c r="W217" s="469"/>
      <c r="X217" s="77"/>
      <c r="Y217" s="402"/>
    </row>
    <row r="218" spans="1:25" x14ac:dyDescent="0.35">
      <c r="A218" s="402"/>
      <c r="B218" s="380" t="s">
        <v>207</v>
      </c>
      <c r="C218" s="19" t="str">
        <f>C217</f>
        <v>µA</v>
      </c>
      <c r="D218" s="375" t="s">
        <v>208</v>
      </c>
      <c r="E218" s="382">
        <f>'Sert Time Electronics'!Y128</f>
        <v>0.5</v>
      </c>
      <c r="F218" s="377">
        <f>SQRT(3)</f>
        <v>1.7320508075688772</v>
      </c>
      <c r="G218" s="375">
        <v>50</v>
      </c>
      <c r="H218" s="377">
        <f>E218/F218</f>
        <v>0.28867513459481292</v>
      </c>
      <c r="I218" s="375">
        <v>1</v>
      </c>
      <c r="J218" s="377">
        <f>H218*I218</f>
        <v>0.28867513459481292</v>
      </c>
      <c r="K218" s="378">
        <f>J218^2</f>
        <v>8.3333333333333356E-2</v>
      </c>
      <c r="L218" s="379">
        <f>K218^2/G218</f>
        <v>1.3888888888888897E-4</v>
      </c>
      <c r="N218" s="396"/>
      <c r="O218" s="396"/>
      <c r="P218" s="396"/>
      <c r="Q218" s="396"/>
      <c r="R218" s="396"/>
      <c r="S218" s="396"/>
      <c r="T218" s="396"/>
      <c r="U218" s="396"/>
      <c r="V218" s="396"/>
      <c r="W218" s="469"/>
      <c r="X218" s="77"/>
      <c r="Y218" s="402"/>
    </row>
    <row r="219" spans="1:25" x14ac:dyDescent="0.35">
      <c r="A219" s="402"/>
      <c r="B219" s="383" t="s">
        <v>209</v>
      </c>
      <c r="C219" s="19" t="str">
        <f>C218</f>
        <v>µA</v>
      </c>
      <c r="D219" s="375" t="s">
        <v>208</v>
      </c>
      <c r="E219" s="381">
        <f>'Sert Time Electronics'!Z128</f>
        <v>0.48328082921610427</v>
      </c>
      <c r="F219" s="377">
        <f>SQRT(3)</f>
        <v>1.7320508075688772</v>
      </c>
      <c r="G219" s="375">
        <v>50</v>
      </c>
      <c r="H219" s="377">
        <f>E219/F219</f>
        <v>0.27902231684210338</v>
      </c>
      <c r="I219" s="375">
        <v>1</v>
      </c>
      <c r="J219" s="377">
        <f>H219*I219</f>
        <v>0.27902231684210338</v>
      </c>
      <c r="K219" s="378">
        <f>J219^2</f>
        <v>7.7853453295935127E-2</v>
      </c>
      <c r="L219" s="379">
        <f>K219^2/G219</f>
        <v>1.2122320380204703E-4</v>
      </c>
      <c r="N219" s="396"/>
      <c r="O219" s="396"/>
      <c r="P219" s="396"/>
      <c r="Q219" s="396"/>
      <c r="R219" s="396"/>
      <c r="S219" s="396"/>
      <c r="T219" s="396"/>
      <c r="U219" s="396"/>
      <c r="V219" s="396"/>
      <c r="W219" s="469"/>
      <c r="X219" s="77"/>
      <c r="Y219" s="402"/>
    </row>
    <row r="220" spans="1:25" x14ac:dyDescent="0.35">
      <c r="A220" s="402"/>
      <c r="B220" s="374" t="s">
        <v>210</v>
      </c>
      <c r="C220" s="384"/>
      <c r="D220" s="384"/>
      <c r="E220" s="384"/>
      <c r="F220" s="384"/>
      <c r="G220" s="384"/>
      <c r="H220" s="384"/>
      <c r="I220" s="384"/>
      <c r="J220" s="384"/>
      <c r="K220" s="378">
        <f>SUM(K216:K219)</f>
        <v>0.74669759637683075</v>
      </c>
      <c r="L220" s="379">
        <f>SUM(L216:L219)</f>
        <v>6.6833443159217088E-3</v>
      </c>
      <c r="N220" s="396"/>
      <c r="O220" s="396"/>
      <c r="P220" s="396"/>
      <c r="Q220" s="396"/>
      <c r="R220" s="396"/>
      <c r="S220" s="396"/>
      <c r="T220" s="396"/>
      <c r="U220" s="396"/>
      <c r="V220" s="396"/>
      <c r="W220" s="469"/>
      <c r="X220" s="77"/>
      <c r="Y220" s="402"/>
    </row>
    <row r="221" spans="1:25" ht="15" x14ac:dyDescent="0.4">
      <c r="A221" s="402"/>
      <c r="B221" s="374" t="s">
        <v>211</v>
      </c>
      <c r="C221" s="384"/>
      <c r="D221" s="384"/>
      <c r="E221" s="384"/>
      <c r="F221" s="384"/>
      <c r="G221" s="384"/>
      <c r="H221" s="385" t="s">
        <v>212</v>
      </c>
      <c r="I221" s="386"/>
      <c r="J221" s="384"/>
      <c r="K221" s="387">
        <f>SQRT(K220)</f>
        <v>0.86411665669447124</v>
      </c>
      <c r="L221" s="388"/>
      <c r="N221" s="396"/>
      <c r="O221" s="396"/>
      <c r="P221" s="396"/>
      <c r="Q221" s="396"/>
      <c r="R221" s="396"/>
      <c r="S221" s="396"/>
      <c r="T221" s="396"/>
      <c r="U221" s="396"/>
      <c r="V221" s="396"/>
      <c r="W221" s="469"/>
      <c r="X221" s="77"/>
      <c r="Y221" s="402"/>
    </row>
    <row r="222" spans="1:25" ht="16.5" x14ac:dyDescent="0.4">
      <c r="A222" s="402"/>
      <c r="B222" s="374" t="s">
        <v>213</v>
      </c>
      <c r="C222" s="384"/>
      <c r="D222" s="384"/>
      <c r="E222" s="384"/>
      <c r="F222" s="384"/>
      <c r="G222" s="384"/>
      <c r="H222" s="389" t="s">
        <v>214</v>
      </c>
      <c r="I222" s="390"/>
      <c r="J222" s="384"/>
      <c r="K222" s="375">
        <f>K221^4/L220</f>
        <v>83.424895393563574</v>
      </c>
      <c r="L222" s="388"/>
      <c r="N222" s="396"/>
      <c r="O222" s="396"/>
      <c r="P222" s="396"/>
      <c r="Q222" s="396"/>
      <c r="R222" s="396"/>
      <c r="S222" s="396"/>
      <c r="T222" s="396"/>
      <c r="U222" s="396"/>
      <c r="V222" s="396"/>
      <c r="W222" s="469"/>
      <c r="X222" s="77"/>
      <c r="Y222" s="402"/>
    </row>
    <row r="223" spans="1:25" x14ac:dyDescent="0.35">
      <c r="A223" s="402"/>
      <c r="B223" s="374" t="s">
        <v>215</v>
      </c>
      <c r="C223" s="384"/>
      <c r="D223" s="384"/>
      <c r="E223" s="384"/>
      <c r="F223" s="384"/>
      <c r="G223" s="384"/>
      <c r="H223" s="391" t="s">
        <v>216</v>
      </c>
      <c r="I223" s="392"/>
      <c r="J223" s="384"/>
      <c r="K223" s="377">
        <f>1.95996+(2.37356/K222)+(2.818745/K222^2)+(2.546662/K222^3)+(1.761829/K222^4)+(0.245458/K222^5)+(1.000764/K222^6)</f>
        <v>1.9888208904930831</v>
      </c>
      <c r="L223" s="393">
        <f>TINV(0.05,K222)</f>
        <v>1.9889597801751635</v>
      </c>
      <c r="M223" s="402"/>
      <c r="N223" s="402"/>
      <c r="O223" s="402"/>
      <c r="P223" s="402"/>
      <c r="Q223" s="402"/>
      <c r="R223" s="402"/>
      <c r="S223" s="402"/>
      <c r="T223" s="402"/>
      <c r="U223" s="402"/>
      <c r="V223" s="402"/>
      <c r="W223" s="402"/>
      <c r="X223" s="402"/>
      <c r="Y223" s="402"/>
    </row>
    <row r="224" spans="1:25" ht="15.5" x14ac:dyDescent="0.35">
      <c r="A224" s="402"/>
      <c r="B224" s="374" t="s">
        <v>217</v>
      </c>
      <c r="C224" s="384"/>
      <c r="D224" s="384"/>
      <c r="E224" s="384"/>
      <c r="F224" s="384"/>
      <c r="G224" s="384"/>
      <c r="H224" s="394" t="s">
        <v>218</v>
      </c>
      <c r="I224" s="395"/>
      <c r="J224" s="384"/>
      <c r="K224" s="398">
        <f>K223*K221</f>
        <v>1.7185732586570042</v>
      </c>
      <c r="L224" s="19" t="str">
        <f>D214</f>
        <v>µA</v>
      </c>
      <c r="M224" s="402"/>
      <c r="N224" s="402"/>
      <c r="O224" s="402"/>
      <c r="P224" s="402"/>
      <c r="Q224" s="402"/>
      <c r="R224" s="402"/>
      <c r="S224" s="402"/>
      <c r="T224" s="402"/>
      <c r="U224" s="402"/>
      <c r="V224" s="402"/>
      <c r="W224" s="402"/>
      <c r="X224" s="402"/>
      <c r="Y224" s="402"/>
    </row>
    <row r="225" spans="1:62" x14ac:dyDescent="0.35">
      <c r="A225" s="402"/>
      <c r="B225" s="396"/>
      <c r="C225" s="396"/>
      <c r="D225" s="396"/>
      <c r="E225" s="396"/>
      <c r="F225" s="396"/>
      <c r="G225" s="396"/>
      <c r="H225" s="396"/>
      <c r="I225" s="396"/>
      <c r="J225" s="396"/>
      <c r="K225" s="388">
        <f>(K224/C214)*100</f>
        <v>0.17185732586570041</v>
      </c>
      <c r="L225" s="19" t="s">
        <v>219</v>
      </c>
    </row>
    <row r="231" spans="1:62" x14ac:dyDescent="0.35">
      <c r="M231" s="402"/>
      <c r="N231" s="402"/>
      <c r="O231" s="402"/>
      <c r="P231" s="402"/>
      <c r="Q231" s="402"/>
      <c r="R231" s="402"/>
      <c r="S231" s="402"/>
      <c r="T231" s="402"/>
      <c r="U231" s="402"/>
      <c r="V231" s="402"/>
      <c r="W231" s="402"/>
      <c r="X231" s="402"/>
      <c r="Y231" s="402"/>
      <c r="Z231" s="402"/>
      <c r="AA231" s="402"/>
      <c r="AB231" s="402"/>
      <c r="AC231" s="402"/>
      <c r="AD231" s="402"/>
      <c r="AE231" s="402"/>
      <c r="AF231" s="402"/>
      <c r="AG231" s="402"/>
      <c r="AH231" s="402"/>
      <c r="AI231" s="402"/>
      <c r="AJ231" s="402"/>
      <c r="AK231" s="402"/>
      <c r="AL231" s="402"/>
      <c r="AM231" s="402"/>
      <c r="AN231" s="402"/>
      <c r="AO231" s="402"/>
      <c r="AP231" s="402"/>
      <c r="AQ231" s="402"/>
      <c r="AR231" s="402"/>
      <c r="AS231" s="402"/>
      <c r="AT231" s="402"/>
      <c r="AU231" s="402"/>
      <c r="AV231" s="402"/>
      <c r="AW231" s="402"/>
      <c r="AX231" s="402"/>
      <c r="AY231" s="402"/>
      <c r="AZ231" s="402"/>
      <c r="BA231" s="402"/>
      <c r="BB231" s="402"/>
      <c r="BC231" s="402"/>
      <c r="BD231" s="402"/>
      <c r="BE231" s="402"/>
      <c r="BF231" s="402"/>
      <c r="BG231" s="402"/>
      <c r="BH231" s="402"/>
      <c r="BI231" s="402"/>
      <c r="BJ231" s="402"/>
    </row>
    <row r="232" spans="1:62" x14ac:dyDescent="0.35">
      <c r="M232" s="402"/>
      <c r="N232" s="402"/>
      <c r="O232" s="402"/>
      <c r="P232" s="402"/>
      <c r="Q232" s="402"/>
      <c r="R232" s="402"/>
      <c r="S232" s="402"/>
      <c r="T232" s="402"/>
      <c r="U232" s="402"/>
      <c r="V232" s="402"/>
      <c r="W232" s="402"/>
      <c r="X232" s="402"/>
      <c r="Y232" s="402"/>
      <c r="Z232" s="402"/>
      <c r="AA232" s="402"/>
      <c r="AB232" s="402"/>
      <c r="AC232" s="402"/>
      <c r="AD232" s="402"/>
      <c r="AE232" s="402"/>
      <c r="AF232" s="402"/>
      <c r="AG232" s="402"/>
      <c r="AH232" s="402"/>
      <c r="AI232" s="402"/>
      <c r="AJ232" s="402"/>
      <c r="AK232" s="402"/>
      <c r="AL232" s="402"/>
      <c r="AM232" s="402"/>
      <c r="AN232" s="402"/>
      <c r="AO232" s="402"/>
      <c r="AP232" s="402"/>
      <c r="AQ232" s="402"/>
      <c r="AR232" s="402"/>
      <c r="AS232" s="402"/>
      <c r="AT232" s="402"/>
      <c r="AU232" s="402"/>
      <c r="AV232" s="402"/>
      <c r="AW232" s="402"/>
      <c r="AX232" s="402"/>
      <c r="AY232" s="402"/>
      <c r="AZ232" s="402"/>
      <c r="BA232" s="402"/>
      <c r="BB232" s="402"/>
      <c r="BC232" s="402"/>
      <c r="BD232" s="402"/>
      <c r="BE232" s="402"/>
      <c r="BF232" s="402"/>
      <c r="BG232" s="402"/>
      <c r="BH232" s="402"/>
      <c r="BI232" s="402"/>
      <c r="BJ232" s="402"/>
    </row>
    <row r="233" spans="1:62" x14ac:dyDescent="0.35">
      <c r="M233" s="402"/>
      <c r="N233" s="402"/>
      <c r="O233" s="402"/>
      <c r="P233" s="402"/>
      <c r="Q233" s="402"/>
      <c r="R233" s="402"/>
      <c r="S233" s="402"/>
      <c r="T233" s="402"/>
      <c r="U233" s="402"/>
      <c r="V233" s="402"/>
      <c r="W233" s="402"/>
      <c r="X233" s="402"/>
      <c r="Y233" s="402"/>
      <c r="Z233" s="402"/>
      <c r="AA233" s="402"/>
      <c r="AB233" s="402"/>
      <c r="AC233" s="402"/>
      <c r="AD233" s="402"/>
      <c r="AE233" s="402"/>
      <c r="AF233" s="402"/>
      <c r="AG233" s="402"/>
      <c r="AH233" s="402"/>
      <c r="AI233" s="402"/>
      <c r="AJ233" s="402"/>
      <c r="AK233" s="402"/>
      <c r="AL233" s="402"/>
      <c r="AM233" s="402"/>
      <c r="AN233" s="402"/>
      <c r="AO233" s="402"/>
      <c r="AP233" s="402"/>
      <c r="AQ233" s="402"/>
      <c r="AR233" s="402"/>
      <c r="AS233" s="402"/>
      <c r="AT233" s="402"/>
      <c r="AU233" s="402"/>
      <c r="AV233" s="402"/>
      <c r="AW233" s="402"/>
      <c r="AX233" s="402"/>
      <c r="AY233" s="402"/>
      <c r="AZ233" s="402"/>
      <c r="BA233" s="402"/>
      <c r="BB233" s="402"/>
      <c r="BC233" s="402"/>
      <c r="BD233" s="402"/>
      <c r="BE233" s="402"/>
      <c r="BF233" s="402"/>
      <c r="BG233" s="402"/>
      <c r="BH233" s="402"/>
      <c r="BI233" s="402"/>
      <c r="BJ233" s="402"/>
    </row>
    <row r="234" spans="1:62" x14ac:dyDescent="0.35">
      <c r="A234" s="467" t="str">
        <f>ID!B67</f>
        <v>4.</v>
      </c>
      <c r="B234" s="468" t="str">
        <f>ID!C67</f>
        <v>Kalibrasi Patient / Electroda Leakage Current</v>
      </c>
      <c r="C234" s="402"/>
      <c r="D234" s="402"/>
      <c r="E234" s="402"/>
      <c r="F234" s="402"/>
      <c r="G234" s="402"/>
      <c r="H234" s="402"/>
      <c r="I234" s="402"/>
      <c r="J234" s="402"/>
      <c r="K234" s="402"/>
      <c r="L234" s="402"/>
      <c r="M234" s="402"/>
      <c r="N234" s="402"/>
      <c r="O234" s="402"/>
      <c r="P234" s="402"/>
      <c r="Q234" s="402"/>
      <c r="R234" s="402"/>
      <c r="S234" s="402"/>
      <c r="T234" s="402"/>
      <c r="U234" s="402"/>
      <c r="V234" s="402"/>
      <c r="W234" s="402"/>
      <c r="X234" s="402"/>
      <c r="Y234" s="402"/>
      <c r="Z234" s="402"/>
      <c r="AA234" s="402"/>
      <c r="AB234" s="402"/>
      <c r="AC234" s="402"/>
      <c r="AD234" s="402"/>
      <c r="AE234" s="402"/>
      <c r="AF234" s="402"/>
      <c r="AG234" s="402"/>
      <c r="AH234" s="402"/>
      <c r="AI234" s="402"/>
      <c r="AJ234" s="402"/>
      <c r="AK234" s="402"/>
      <c r="AL234" s="402"/>
      <c r="AM234" s="402"/>
      <c r="AN234" s="402"/>
      <c r="AO234" s="402"/>
      <c r="AP234" s="402"/>
      <c r="AQ234" s="402"/>
      <c r="AR234" s="402"/>
      <c r="AS234" s="402"/>
      <c r="AT234" s="402"/>
      <c r="AU234" s="402"/>
      <c r="AV234" s="402"/>
      <c r="AW234" s="402"/>
      <c r="AX234" s="402"/>
      <c r="AY234" s="402"/>
      <c r="AZ234" s="402"/>
      <c r="BA234" s="402"/>
      <c r="BB234" s="402"/>
      <c r="BC234" s="402"/>
      <c r="BD234" s="402"/>
      <c r="BE234" s="402"/>
      <c r="BF234" s="402"/>
      <c r="BG234" s="402"/>
      <c r="BH234" s="402"/>
      <c r="BI234" s="402"/>
      <c r="BJ234" s="402"/>
    </row>
    <row r="235" spans="1:62" x14ac:dyDescent="0.35">
      <c r="A235" s="467"/>
      <c r="B235" s="403" t="str">
        <f>'Sert Time Electronics'!P130</f>
        <v>R Terhadap Pembumian</v>
      </c>
      <c r="C235" s="402"/>
      <c r="D235" s="402"/>
      <c r="E235" s="402"/>
      <c r="F235" s="402"/>
      <c r="G235" s="402"/>
      <c r="H235" s="402"/>
      <c r="I235" s="402"/>
      <c r="J235" s="402"/>
      <c r="K235" s="402"/>
      <c r="L235" s="402"/>
      <c r="N235" s="403" t="str">
        <f>ID!D78</f>
        <v>F Terhadap Pembumian</v>
      </c>
      <c r="O235" s="402"/>
      <c r="P235" s="402"/>
      <c r="Q235" s="402"/>
      <c r="R235" s="402"/>
      <c r="S235" s="402"/>
      <c r="T235" s="402"/>
      <c r="U235" s="402"/>
      <c r="V235" s="402"/>
      <c r="W235" s="402"/>
      <c r="X235" s="402"/>
      <c r="Z235" s="403" t="str">
        <f>ID!D85</f>
        <v>L Terhadap Pembumian</v>
      </c>
      <c r="AA235" s="402"/>
      <c r="AB235" s="402"/>
      <c r="AC235" s="402"/>
      <c r="AD235" s="402"/>
      <c r="AE235" s="402"/>
      <c r="AF235" s="402"/>
      <c r="AG235" s="402"/>
      <c r="AH235" s="402"/>
      <c r="AI235" s="402"/>
      <c r="AJ235" s="402"/>
      <c r="AL235" s="403" t="str">
        <f>ID!D92</f>
        <v>N Terhadap Pembumian</v>
      </c>
      <c r="AM235" s="402"/>
      <c r="AN235" s="402"/>
      <c r="AO235" s="402"/>
      <c r="AP235" s="402"/>
      <c r="AQ235" s="402"/>
      <c r="AR235" s="402"/>
      <c r="AS235" s="402"/>
      <c r="AT235" s="402"/>
      <c r="AU235" s="402"/>
      <c r="AV235" s="402"/>
      <c r="AX235" s="403" t="str">
        <f>ID!D99</f>
        <v>V1 - V6 Terhadap Pembumian</v>
      </c>
      <c r="AY235" s="402"/>
      <c r="AZ235" s="402"/>
      <c r="BA235" s="402"/>
      <c r="BB235" s="402"/>
      <c r="BC235" s="402"/>
      <c r="BD235" s="402"/>
      <c r="BE235" s="402"/>
      <c r="BF235" s="402"/>
      <c r="BG235" s="402"/>
      <c r="BH235" s="402"/>
      <c r="BI235" s="402"/>
    </row>
    <row r="236" spans="1:62" x14ac:dyDescent="0.35">
      <c r="A236" s="402"/>
      <c r="B236" s="396" t="s">
        <v>193</v>
      </c>
      <c r="C236" s="77">
        <f>ID!D72</f>
        <v>0</v>
      </c>
      <c r="D236" s="397" t="s">
        <v>222</v>
      </c>
      <c r="N236" s="396" t="s">
        <v>193</v>
      </c>
      <c r="O236" s="77">
        <f>ID!D79</f>
        <v>0</v>
      </c>
      <c r="P236" s="397" t="s">
        <v>222</v>
      </c>
      <c r="Z236" s="396" t="s">
        <v>193</v>
      </c>
      <c r="AA236" s="77">
        <f>ID!D86</f>
        <v>0</v>
      </c>
      <c r="AB236" s="397" t="s">
        <v>222</v>
      </c>
      <c r="AL236" s="396" t="s">
        <v>193</v>
      </c>
      <c r="AM236" s="77">
        <f>ID!D93</f>
        <v>0</v>
      </c>
      <c r="AN236" s="397" t="s">
        <v>222</v>
      </c>
      <c r="AX236" s="396" t="s">
        <v>193</v>
      </c>
      <c r="AY236" s="77">
        <f>ID!D100</f>
        <v>0</v>
      </c>
      <c r="AZ236" s="397" t="s">
        <v>222</v>
      </c>
      <c r="BI236" s="402"/>
    </row>
    <row r="237" spans="1:62" x14ac:dyDescent="0.35">
      <c r="A237" s="402"/>
      <c r="B237" s="372" t="s">
        <v>194</v>
      </c>
      <c r="C237" s="373" t="s">
        <v>72</v>
      </c>
      <c r="D237" s="373" t="s">
        <v>195</v>
      </c>
      <c r="E237" s="372" t="s">
        <v>196</v>
      </c>
      <c r="F237" s="372" t="s">
        <v>197</v>
      </c>
      <c r="G237" s="372" t="s">
        <v>198</v>
      </c>
      <c r="H237" s="372" t="s">
        <v>199</v>
      </c>
      <c r="I237" s="372" t="s">
        <v>200</v>
      </c>
      <c r="J237" s="372" t="s">
        <v>201</v>
      </c>
      <c r="K237" s="372" t="s">
        <v>202</v>
      </c>
      <c r="L237" s="373" t="s">
        <v>203</v>
      </c>
      <c r="N237" s="372" t="s">
        <v>194</v>
      </c>
      <c r="O237" s="373" t="s">
        <v>72</v>
      </c>
      <c r="P237" s="373" t="s">
        <v>195</v>
      </c>
      <c r="Q237" s="372" t="s">
        <v>196</v>
      </c>
      <c r="R237" s="372" t="s">
        <v>197</v>
      </c>
      <c r="S237" s="372" t="s">
        <v>198</v>
      </c>
      <c r="T237" s="372" t="s">
        <v>199</v>
      </c>
      <c r="U237" s="372" t="s">
        <v>200</v>
      </c>
      <c r="V237" s="372" t="s">
        <v>201</v>
      </c>
      <c r="W237" s="372" t="s">
        <v>202</v>
      </c>
      <c r="X237" s="373" t="s">
        <v>203</v>
      </c>
      <c r="Z237" s="372" t="s">
        <v>194</v>
      </c>
      <c r="AA237" s="373" t="s">
        <v>72</v>
      </c>
      <c r="AB237" s="373" t="s">
        <v>195</v>
      </c>
      <c r="AC237" s="372" t="s">
        <v>196</v>
      </c>
      <c r="AD237" s="372" t="s">
        <v>197</v>
      </c>
      <c r="AE237" s="372" t="s">
        <v>198</v>
      </c>
      <c r="AF237" s="372" t="s">
        <v>199</v>
      </c>
      <c r="AG237" s="372" t="s">
        <v>200</v>
      </c>
      <c r="AH237" s="372" t="s">
        <v>201</v>
      </c>
      <c r="AI237" s="372" t="s">
        <v>202</v>
      </c>
      <c r="AJ237" s="373" t="s">
        <v>203</v>
      </c>
      <c r="AL237" s="372" t="s">
        <v>194</v>
      </c>
      <c r="AM237" s="373" t="s">
        <v>72</v>
      </c>
      <c r="AN237" s="373" t="s">
        <v>195</v>
      </c>
      <c r="AO237" s="372" t="s">
        <v>196</v>
      </c>
      <c r="AP237" s="372" t="s">
        <v>197</v>
      </c>
      <c r="AQ237" s="372" t="s">
        <v>198</v>
      </c>
      <c r="AR237" s="372" t="s">
        <v>199</v>
      </c>
      <c r="AS237" s="372" t="s">
        <v>200</v>
      </c>
      <c r="AT237" s="372" t="s">
        <v>201</v>
      </c>
      <c r="AU237" s="372" t="s">
        <v>202</v>
      </c>
      <c r="AV237" s="373" t="s">
        <v>203</v>
      </c>
      <c r="AX237" s="372" t="s">
        <v>194</v>
      </c>
      <c r="AY237" s="373" t="s">
        <v>72</v>
      </c>
      <c r="AZ237" s="373" t="s">
        <v>195</v>
      </c>
      <c r="BA237" s="372" t="s">
        <v>196</v>
      </c>
      <c r="BB237" s="372" t="s">
        <v>197</v>
      </c>
      <c r="BC237" s="372" t="s">
        <v>198</v>
      </c>
      <c r="BD237" s="372" t="s">
        <v>199</v>
      </c>
      <c r="BE237" s="372" t="s">
        <v>200</v>
      </c>
      <c r="BF237" s="372" t="s">
        <v>201</v>
      </c>
      <c r="BG237" s="372" t="s">
        <v>202</v>
      </c>
      <c r="BH237" s="373" t="s">
        <v>203</v>
      </c>
      <c r="BI237" s="402"/>
    </row>
    <row r="238" spans="1:62" x14ac:dyDescent="0.35">
      <c r="A238" s="402"/>
      <c r="B238" s="374" t="s">
        <v>223</v>
      </c>
      <c r="C238" s="19" t="str">
        <f>D236</f>
        <v>µA</v>
      </c>
      <c r="D238" s="375" t="s">
        <v>205</v>
      </c>
      <c r="E238" s="376">
        <f>'Sert Time Electronics'!X132</f>
        <v>0</v>
      </c>
      <c r="F238" s="377">
        <f>SQRT(5)</f>
        <v>2.2360679774997898</v>
      </c>
      <c r="G238" s="375">
        <f>5-1</f>
        <v>4</v>
      </c>
      <c r="H238" s="377">
        <f>E238/F238</f>
        <v>0</v>
      </c>
      <c r="I238" s="375">
        <v>1</v>
      </c>
      <c r="J238" s="377">
        <f>H238*I238</f>
        <v>0</v>
      </c>
      <c r="K238" s="378">
        <f>J238^2</f>
        <v>0</v>
      </c>
      <c r="L238" s="379">
        <f>K238^2/G238</f>
        <v>0</v>
      </c>
      <c r="N238" s="374" t="s">
        <v>223</v>
      </c>
      <c r="O238" s="19" t="str">
        <f>P236</f>
        <v>µA</v>
      </c>
      <c r="P238" s="375" t="s">
        <v>205</v>
      </c>
      <c r="Q238" s="376">
        <f>'Sert Time Electronics'!X140</f>
        <v>0</v>
      </c>
      <c r="R238" s="377">
        <f>SQRT(5)</f>
        <v>2.2360679774997898</v>
      </c>
      <c r="S238" s="375">
        <f>5-1</f>
        <v>4</v>
      </c>
      <c r="T238" s="377">
        <f>Q238/R238</f>
        <v>0</v>
      </c>
      <c r="U238" s="375">
        <v>1</v>
      </c>
      <c r="V238" s="377">
        <f>T238*U238</f>
        <v>0</v>
      </c>
      <c r="W238" s="378">
        <f>V238^2</f>
        <v>0</v>
      </c>
      <c r="X238" s="379">
        <f>W238^2/S238</f>
        <v>0</v>
      </c>
      <c r="Z238" s="374" t="s">
        <v>223</v>
      </c>
      <c r="AA238" s="19" t="str">
        <f>AB236</f>
        <v>µA</v>
      </c>
      <c r="AB238" s="375" t="s">
        <v>205</v>
      </c>
      <c r="AC238" s="376">
        <f>'Sert Time Electronics'!X148</f>
        <v>0</v>
      </c>
      <c r="AD238" s="377">
        <f>SQRT(5)</f>
        <v>2.2360679774997898</v>
      </c>
      <c r="AE238" s="375">
        <f>5-1</f>
        <v>4</v>
      </c>
      <c r="AF238" s="377">
        <f>AC238/AD238</f>
        <v>0</v>
      </c>
      <c r="AG238" s="375">
        <v>1</v>
      </c>
      <c r="AH238" s="377">
        <f>AF238*AG238</f>
        <v>0</v>
      </c>
      <c r="AI238" s="378">
        <f>AH238^2</f>
        <v>0</v>
      </c>
      <c r="AJ238" s="379">
        <f>AI238^2/AE238</f>
        <v>0</v>
      </c>
      <c r="AL238" s="374" t="s">
        <v>223</v>
      </c>
      <c r="AM238" s="19" t="str">
        <f>AN236</f>
        <v>µA</v>
      </c>
      <c r="AN238" s="375" t="s">
        <v>205</v>
      </c>
      <c r="AO238" s="376">
        <f>'Sert Time Electronics'!X156</f>
        <v>0</v>
      </c>
      <c r="AP238" s="377">
        <f>SQRT(5)</f>
        <v>2.2360679774997898</v>
      </c>
      <c r="AQ238" s="375">
        <f>5-1</f>
        <v>4</v>
      </c>
      <c r="AR238" s="377">
        <f>AO238/AP238</f>
        <v>0</v>
      </c>
      <c r="AS238" s="375">
        <v>1</v>
      </c>
      <c r="AT238" s="377">
        <f>AR238*AS238</f>
        <v>0</v>
      </c>
      <c r="AU238" s="378">
        <f>AT238^2</f>
        <v>0</v>
      </c>
      <c r="AV238" s="379">
        <f>AU238^2/AQ238</f>
        <v>0</v>
      </c>
      <c r="AX238" s="374" t="s">
        <v>223</v>
      </c>
      <c r="AY238" s="19" t="str">
        <f>AZ236</f>
        <v>µA</v>
      </c>
      <c r="AZ238" s="375" t="s">
        <v>205</v>
      </c>
      <c r="BA238" s="376">
        <f>'Sert Time Electronics'!X164</f>
        <v>0</v>
      </c>
      <c r="BB238" s="377">
        <f>SQRT(5)</f>
        <v>2.2360679774997898</v>
      </c>
      <c r="BC238" s="375">
        <f>5-1</f>
        <v>4</v>
      </c>
      <c r="BD238" s="377">
        <f>BA238/BB238</f>
        <v>0</v>
      </c>
      <c r="BE238" s="375">
        <v>1</v>
      </c>
      <c r="BF238" s="377">
        <f>BD238*BE238</f>
        <v>0</v>
      </c>
      <c r="BG238" s="378">
        <f>BF238^2</f>
        <v>0</v>
      </c>
      <c r="BH238" s="379">
        <f>BG238^2/BC238</f>
        <v>0</v>
      </c>
      <c r="BI238" s="402"/>
    </row>
    <row r="239" spans="1:62" x14ac:dyDescent="0.35">
      <c r="A239" s="402"/>
      <c r="B239" s="380" t="s">
        <v>206</v>
      </c>
      <c r="C239" s="19" t="str">
        <f>C238</f>
        <v>µA</v>
      </c>
      <c r="D239" s="375" t="s">
        <v>205</v>
      </c>
      <c r="E239" s="381">
        <f>'Sert Time Electronics'!AA132</f>
        <v>5.1932188400600132E-4</v>
      </c>
      <c r="F239" s="377">
        <v>2</v>
      </c>
      <c r="G239" s="375">
        <f>0.5*(100/10)^2</f>
        <v>50</v>
      </c>
      <c r="H239" s="377">
        <f>E239/F239</f>
        <v>2.5966094200300066E-4</v>
      </c>
      <c r="I239" s="375">
        <v>1</v>
      </c>
      <c r="J239" s="377">
        <f>H239*I239</f>
        <v>2.5966094200300066E-4</v>
      </c>
      <c r="K239" s="378">
        <f>J239^2</f>
        <v>6.7423804801885667E-8</v>
      </c>
      <c r="L239" s="379">
        <f>K239^2/G239</f>
        <v>9.0919389079255608E-17</v>
      </c>
      <c r="N239" s="380" t="s">
        <v>206</v>
      </c>
      <c r="O239" s="19" t="str">
        <f>O238</f>
        <v>µA</v>
      </c>
      <c r="P239" s="375" t="s">
        <v>205</v>
      </c>
      <c r="Q239" s="381">
        <f>'Sert Time Electronics'!AA140</f>
        <v>5.1932188400600132E-4</v>
      </c>
      <c r="R239" s="377">
        <v>2</v>
      </c>
      <c r="S239" s="375">
        <f>0.5*(100/10)^2</f>
        <v>50</v>
      </c>
      <c r="T239" s="377">
        <f>Q239/R239</f>
        <v>2.5966094200300066E-4</v>
      </c>
      <c r="U239" s="375">
        <v>1</v>
      </c>
      <c r="V239" s="377">
        <f>T239*U239</f>
        <v>2.5966094200300066E-4</v>
      </c>
      <c r="W239" s="378">
        <f>V239^2</f>
        <v>6.7423804801885667E-8</v>
      </c>
      <c r="X239" s="379">
        <f>W239^2/S239</f>
        <v>9.0919389079255608E-17</v>
      </c>
      <c r="Z239" s="380" t="s">
        <v>206</v>
      </c>
      <c r="AA239" s="19" t="str">
        <f>AA238</f>
        <v>µA</v>
      </c>
      <c r="AB239" s="375" t="s">
        <v>205</v>
      </c>
      <c r="AC239" s="381">
        <f>'Sert Time Electronics'!AA148</f>
        <v>5.1932188400600132E-4</v>
      </c>
      <c r="AD239" s="377">
        <v>2</v>
      </c>
      <c r="AE239" s="375">
        <f>0.5*(100/10)^2</f>
        <v>50</v>
      </c>
      <c r="AF239" s="377">
        <f>AC239/AD239</f>
        <v>2.5966094200300066E-4</v>
      </c>
      <c r="AG239" s="375">
        <v>1</v>
      </c>
      <c r="AH239" s="377">
        <f>AF239*AG239</f>
        <v>2.5966094200300066E-4</v>
      </c>
      <c r="AI239" s="378">
        <f>AH239^2</f>
        <v>6.7423804801885667E-8</v>
      </c>
      <c r="AJ239" s="379">
        <f>AI239^2/AE239</f>
        <v>9.0919389079255608E-17</v>
      </c>
      <c r="AL239" s="380" t="s">
        <v>206</v>
      </c>
      <c r="AM239" s="19" t="str">
        <f>AM238</f>
        <v>µA</v>
      </c>
      <c r="AN239" s="375" t="s">
        <v>205</v>
      </c>
      <c r="AO239" s="381">
        <f>'Sert Time Electronics'!AA156</f>
        <v>5.1932188400600132E-4</v>
      </c>
      <c r="AP239" s="377">
        <v>2</v>
      </c>
      <c r="AQ239" s="375">
        <f>0.5*(100/10)^2</f>
        <v>50</v>
      </c>
      <c r="AR239" s="377">
        <f>AO239/AP239</f>
        <v>2.5966094200300066E-4</v>
      </c>
      <c r="AS239" s="375">
        <v>1</v>
      </c>
      <c r="AT239" s="377">
        <f>AR239*AS239</f>
        <v>2.5966094200300066E-4</v>
      </c>
      <c r="AU239" s="378">
        <f>AT239^2</f>
        <v>6.7423804801885667E-8</v>
      </c>
      <c r="AV239" s="379">
        <f>AU239^2/AQ239</f>
        <v>9.0919389079255608E-17</v>
      </c>
      <c r="AX239" s="380" t="s">
        <v>206</v>
      </c>
      <c r="AY239" s="19" t="str">
        <f>AY238</f>
        <v>µA</v>
      </c>
      <c r="AZ239" s="375" t="s">
        <v>205</v>
      </c>
      <c r="BA239" s="381">
        <f>'Sert Time Electronics'!AA164</f>
        <v>5.1932188400600132E-4</v>
      </c>
      <c r="BB239" s="377">
        <v>2</v>
      </c>
      <c r="BC239" s="375">
        <f>0.5*(100/10)^2</f>
        <v>50</v>
      </c>
      <c r="BD239" s="377">
        <f>BA239/BB239</f>
        <v>2.5966094200300066E-4</v>
      </c>
      <c r="BE239" s="375">
        <v>1</v>
      </c>
      <c r="BF239" s="377">
        <f>BD239*BE239</f>
        <v>2.5966094200300066E-4</v>
      </c>
      <c r="BG239" s="378">
        <f>BF239^2</f>
        <v>6.7423804801885667E-8</v>
      </c>
      <c r="BH239" s="379">
        <f>BG239^2/BC239</f>
        <v>9.0919389079255608E-17</v>
      </c>
      <c r="BI239" s="402"/>
    </row>
    <row r="240" spans="1:62" x14ac:dyDescent="0.35">
      <c r="A240" s="402"/>
      <c r="B240" s="380" t="s">
        <v>207</v>
      </c>
      <c r="C240" s="19" t="str">
        <f>C239</f>
        <v>µA</v>
      </c>
      <c r="D240" s="375" t="s">
        <v>208</v>
      </c>
      <c r="E240" s="382">
        <f>'Sert Time Electronics'!Y132</f>
        <v>0.05</v>
      </c>
      <c r="F240" s="377">
        <f>SQRT(3)</f>
        <v>1.7320508075688772</v>
      </c>
      <c r="G240" s="375">
        <v>50</v>
      </c>
      <c r="H240" s="377">
        <f>E240/F240</f>
        <v>2.8867513459481291E-2</v>
      </c>
      <c r="I240" s="375">
        <v>1</v>
      </c>
      <c r="J240" s="377">
        <f>H240*I240</f>
        <v>2.8867513459481291E-2</v>
      </c>
      <c r="K240" s="378">
        <f>J240^2</f>
        <v>8.333333333333335E-4</v>
      </c>
      <c r="L240" s="379">
        <f>K240^2/G240</f>
        <v>1.3888888888888894E-8</v>
      </c>
      <c r="N240" s="380" t="s">
        <v>207</v>
      </c>
      <c r="O240" s="19" t="str">
        <f>O239</f>
        <v>µA</v>
      </c>
      <c r="P240" s="375" t="s">
        <v>208</v>
      </c>
      <c r="Q240" s="382">
        <f>'Sert Time Electronics'!Y140</f>
        <v>0.05</v>
      </c>
      <c r="R240" s="377">
        <f>SQRT(3)</f>
        <v>1.7320508075688772</v>
      </c>
      <c r="S240" s="375">
        <v>50</v>
      </c>
      <c r="T240" s="377">
        <f>Q240/R240</f>
        <v>2.8867513459481291E-2</v>
      </c>
      <c r="U240" s="375">
        <v>1</v>
      </c>
      <c r="V240" s="377">
        <f>T240*U240</f>
        <v>2.8867513459481291E-2</v>
      </c>
      <c r="W240" s="378">
        <f>V240^2</f>
        <v>8.333333333333335E-4</v>
      </c>
      <c r="X240" s="379">
        <f>W240^2/S240</f>
        <v>1.3888888888888894E-8</v>
      </c>
      <c r="Z240" s="380" t="s">
        <v>207</v>
      </c>
      <c r="AA240" s="19" t="str">
        <f>AA239</f>
        <v>µA</v>
      </c>
      <c r="AB240" s="375" t="s">
        <v>208</v>
      </c>
      <c r="AC240" s="382">
        <f>'Sert Time Electronics'!Y148</f>
        <v>0.05</v>
      </c>
      <c r="AD240" s="377">
        <f>SQRT(3)</f>
        <v>1.7320508075688772</v>
      </c>
      <c r="AE240" s="375">
        <v>50</v>
      </c>
      <c r="AF240" s="377">
        <f>AC240/AD240</f>
        <v>2.8867513459481291E-2</v>
      </c>
      <c r="AG240" s="375">
        <v>1</v>
      </c>
      <c r="AH240" s="377">
        <f>AF240*AG240</f>
        <v>2.8867513459481291E-2</v>
      </c>
      <c r="AI240" s="378">
        <f>AH240^2</f>
        <v>8.333333333333335E-4</v>
      </c>
      <c r="AJ240" s="379">
        <f>AI240^2/AE240</f>
        <v>1.3888888888888894E-8</v>
      </c>
      <c r="AL240" s="380" t="s">
        <v>207</v>
      </c>
      <c r="AM240" s="19" t="str">
        <f>AM239</f>
        <v>µA</v>
      </c>
      <c r="AN240" s="375" t="s">
        <v>208</v>
      </c>
      <c r="AO240" s="382">
        <f>'Sert Time Electronics'!Y156</f>
        <v>0.05</v>
      </c>
      <c r="AP240" s="377">
        <f>SQRT(3)</f>
        <v>1.7320508075688772</v>
      </c>
      <c r="AQ240" s="375">
        <v>50</v>
      </c>
      <c r="AR240" s="377">
        <f>AO240/AP240</f>
        <v>2.8867513459481291E-2</v>
      </c>
      <c r="AS240" s="375">
        <v>1</v>
      </c>
      <c r="AT240" s="377">
        <f>AR240*AS240</f>
        <v>2.8867513459481291E-2</v>
      </c>
      <c r="AU240" s="378">
        <f>AT240^2</f>
        <v>8.333333333333335E-4</v>
      </c>
      <c r="AV240" s="379">
        <f>AU240^2/AQ240</f>
        <v>1.3888888888888894E-8</v>
      </c>
      <c r="AX240" s="380" t="s">
        <v>207</v>
      </c>
      <c r="AY240" s="19" t="str">
        <f>AY239</f>
        <v>µA</v>
      </c>
      <c r="AZ240" s="375" t="s">
        <v>208</v>
      </c>
      <c r="BA240" s="382">
        <f>'Sert Time Electronics'!Y164</f>
        <v>0.05</v>
      </c>
      <c r="BB240" s="377">
        <f>SQRT(3)</f>
        <v>1.7320508075688772</v>
      </c>
      <c r="BC240" s="375">
        <v>50</v>
      </c>
      <c r="BD240" s="377">
        <f>BA240/BB240</f>
        <v>2.8867513459481291E-2</v>
      </c>
      <c r="BE240" s="375">
        <v>1</v>
      </c>
      <c r="BF240" s="377">
        <f>BD240*BE240</f>
        <v>2.8867513459481291E-2</v>
      </c>
      <c r="BG240" s="378">
        <f>BF240^2</f>
        <v>8.333333333333335E-4</v>
      </c>
      <c r="BH240" s="379">
        <f>BG240^2/BC240</f>
        <v>1.3888888888888894E-8</v>
      </c>
      <c r="BI240" s="402"/>
    </row>
    <row r="241" spans="1:61" x14ac:dyDescent="0.35">
      <c r="A241" s="402"/>
      <c r="B241" s="383" t="s">
        <v>209</v>
      </c>
      <c r="C241" s="19" t="str">
        <f>C240</f>
        <v>µA</v>
      </c>
      <c r="D241" s="375" t="s">
        <v>208</v>
      </c>
      <c r="E241" s="381">
        <f>'Sert Time Electronics'!Z132</f>
        <v>1.7310729466867635E-4</v>
      </c>
      <c r="F241" s="377">
        <f>SQRT(3)</f>
        <v>1.7320508075688772</v>
      </c>
      <c r="G241" s="375">
        <v>50</v>
      </c>
      <c r="H241" s="377">
        <f>E241/F241</f>
        <v>9.9943543175648166E-5</v>
      </c>
      <c r="I241" s="375">
        <v>1</v>
      </c>
      <c r="J241" s="377">
        <f>H241*I241</f>
        <v>9.9943543175648166E-5</v>
      </c>
      <c r="K241" s="378">
        <f>J241^2</f>
        <v>9.9887118225026496E-9</v>
      </c>
      <c r="L241" s="379">
        <f>K241^2/G241</f>
        <v>1.995487277460084E-18</v>
      </c>
      <c r="N241" s="383" t="s">
        <v>209</v>
      </c>
      <c r="O241" s="19" t="str">
        <f>O240</f>
        <v>µA</v>
      </c>
      <c r="P241" s="375" t="s">
        <v>208</v>
      </c>
      <c r="Q241" s="381">
        <f>'Sert Time Electronics'!Z140</f>
        <v>1.7310729466867635E-4</v>
      </c>
      <c r="R241" s="377">
        <f>SQRT(3)</f>
        <v>1.7320508075688772</v>
      </c>
      <c r="S241" s="375">
        <v>50</v>
      </c>
      <c r="T241" s="377">
        <f>Q241/R241</f>
        <v>9.9943543175648166E-5</v>
      </c>
      <c r="U241" s="375">
        <v>1</v>
      </c>
      <c r="V241" s="377">
        <f>T241*U241</f>
        <v>9.9943543175648166E-5</v>
      </c>
      <c r="W241" s="378">
        <f>V241^2</f>
        <v>9.9887118225026496E-9</v>
      </c>
      <c r="X241" s="379">
        <f>W241^2/S241</f>
        <v>1.995487277460084E-18</v>
      </c>
      <c r="Z241" s="383" t="s">
        <v>209</v>
      </c>
      <c r="AA241" s="19" t="str">
        <f>AA240</f>
        <v>µA</v>
      </c>
      <c r="AB241" s="375" t="s">
        <v>208</v>
      </c>
      <c r="AC241" s="381">
        <f>'Sert Time Electronics'!Z148</f>
        <v>1.7310729466867635E-4</v>
      </c>
      <c r="AD241" s="377">
        <f>SQRT(3)</f>
        <v>1.7320508075688772</v>
      </c>
      <c r="AE241" s="375">
        <v>50</v>
      </c>
      <c r="AF241" s="377">
        <f>AC241/AD241</f>
        <v>9.9943543175648166E-5</v>
      </c>
      <c r="AG241" s="375">
        <v>1</v>
      </c>
      <c r="AH241" s="377">
        <f>AF241*AG241</f>
        <v>9.9943543175648166E-5</v>
      </c>
      <c r="AI241" s="378">
        <f>AH241^2</f>
        <v>9.9887118225026496E-9</v>
      </c>
      <c r="AJ241" s="379">
        <f>AI241^2/AE241</f>
        <v>1.995487277460084E-18</v>
      </c>
      <c r="AL241" s="383" t="s">
        <v>209</v>
      </c>
      <c r="AM241" s="19" t="str">
        <f>AM240</f>
        <v>µA</v>
      </c>
      <c r="AN241" s="375" t="s">
        <v>208</v>
      </c>
      <c r="AO241" s="381">
        <f>'Sert Time Electronics'!Z156</f>
        <v>1.7310729466867635E-4</v>
      </c>
      <c r="AP241" s="377">
        <f>SQRT(3)</f>
        <v>1.7320508075688772</v>
      </c>
      <c r="AQ241" s="375">
        <v>50</v>
      </c>
      <c r="AR241" s="377">
        <f>AO241/AP241</f>
        <v>9.9943543175648166E-5</v>
      </c>
      <c r="AS241" s="375">
        <v>1</v>
      </c>
      <c r="AT241" s="377">
        <f>AR241*AS241</f>
        <v>9.9943543175648166E-5</v>
      </c>
      <c r="AU241" s="378">
        <f>AT241^2</f>
        <v>9.9887118225026496E-9</v>
      </c>
      <c r="AV241" s="379">
        <f>AU241^2/AQ241</f>
        <v>1.995487277460084E-18</v>
      </c>
      <c r="AX241" s="383" t="s">
        <v>209</v>
      </c>
      <c r="AY241" s="19" t="str">
        <f>AY240</f>
        <v>µA</v>
      </c>
      <c r="AZ241" s="375" t="s">
        <v>208</v>
      </c>
      <c r="BA241" s="381">
        <f>'Sert Time Electronics'!Z164</f>
        <v>1.7310729466867635E-4</v>
      </c>
      <c r="BB241" s="377">
        <f>SQRT(3)</f>
        <v>1.7320508075688772</v>
      </c>
      <c r="BC241" s="375">
        <v>50</v>
      </c>
      <c r="BD241" s="377">
        <f>BA241/BB241</f>
        <v>9.9943543175648166E-5</v>
      </c>
      <c r="BE241" s="375">
        <v>1</v>
      </c>
      <c r="BF241" s="377">
        <f>BD241*BE241</f>
        <v>9.9943543175648166E-5</v>
      </c>
      <c r="BG241" s="378">
        <f>BF241^2</f>
        <v>9.9887118225026496E-9</v>
      </c>
      <c r="BH241" s="379">
        <f>BG241^2/BC241</f>
        <v>1.995487277460084E-18</v>
      </c>
      <c r="BI241" s="402"/>
    </row>
    <row r="242" spans="1:61" x14ac:dyDescent="0.35">
      <c r="A242" s="402"/>
      <c r="B242" s="374" t="s">
        <v>210</v>
      </c>
      <c r="C242" s="384"/>
      <c r="D242" s="384"/>
      <c r="E242" s="384"/>
      <c r="F242" s="384"/>
      <c r="G242" s="384"/>
      <c r="H242" s="384"/>
      <c r="I242" s="384"/>
      <c r="J242" s="384"/>
      <c r="K242" s="378">
        <f>SUM(K238:K241)</f>
        <v>8.3341074584995789E-4</v>
      </c>
      <c r="L242" s="379">
        <f>SUM(L238:L241)</f>
        <v>1.3888888981803769E-8</v>
      </c>
      <c r="N242" s="374" t="s">
        <v>210</v>
      </c>
      <c r="O242" s="384"/>
      <c r="P242" s="384"/>
      <c r="Q242" s="384"/>
      <c r="R242" s="384"/>
      <c r="S242" s="384"/>
      <c r="T242" s="384"/>
      <c r="U242" s="384"/>
      <c r="V242" s="384"/>
      <c r="W242" s="378">
        <f>SUM(W238:W241)</f>
        <v>8.3341074584995789E-4</v>
      </c>
      <c r="X242" s="379">
        <f>SUM(X238:X241)</f>
        <v>1.3888888981803769E-8</v>
      </c>
      <c r="Z242" s="374" t="s">
        <v>210</v>
      </c>
      <c r="AA242" s="384"/>
      <c r="AB242" s="384"/>
      <c r="AC242" s="384"/>
      <c r="AD242" s="384"/>
      <c r="AE242" s="384"/>
      <c r="AF242" s="384"/>
      <c r="AG242" s="384"/>
      <c r="AH242" s="384"/>
      <c r="AI242" s="378">
        <f>SUM(AI238:AI241)</f>
        <v>8.3341074584995789E-4</v>
      </c>
      <c r="AJ242" s="379">
        <f>SUM(AJ238:AJ241)</f>
        <v>1.3888888981803769E-8</v>
      </c>
      <c r="AL242" s="374" t="s">
        <v>210</v>
      </c>
      <c r="AM242" s="384"/>
      <c r="AN242" s="384"/>
      <c r="AO242" s="384"/>
      <c r="AP242" s="384"/>
      <c r="AQ242" s="384"/>
      <c r="AR242" s="384"/>
      <c r="AS242" s="384"/>
      <c r="AT242" s="384"/>
      <c r="AU242" s="378">
        <f>SUM(AU238:AU241)</f>
        <v>8.3341074584995789E-4</v>
      </c>
      <c r="AV242" s="379">
        <f>SUM(AV238:AV241)</f>
        <v>1.3888888981803769E-8</v>
      </c>
      <c r="AX242" s="374" t="s">
        <v>210</v>
      </c>
      <c r="AY242" s="384"/>
      <c r="AZ242" s="384"/>
      <c r="BA242" s="384"/>
      <c r="BB242" s="384"/>
      <c r="BC242" s="384"/>
      <c r="BD242" s="384"/>
      <c r="BE242" s="384"/>
      <c r="BF242" s="384"/>
      <c r="BG242" s="378">
        <f>SUM(BG238:BG241)</f>
        <v>8.3341074584995789E-4</v>
      </c>
      <c r="BH242" s="379">
        <f>SUM(BH238:BH241)</f>
        <v>1.3888888981803769E-8</v>
      </c>
      <c r="BI242" s="402"/>
    </row>
    <row r="243" spans="1:61" ht="15" x14ac:dyDescent="0.4">
      <c r="A243" s="402"/>
      <c r="B243" s="374" t="s">
        <v>211</v>
      </c>
      <c r="C243" s="384"/>
      <c r="D243" s="384"/>
      <c r="E243" s="384"/>
      <c r="F243" s="384"/>
      <c r="G243" s="384"/>
      <c r="H243" s="385" t="s">
        <v>212</v>
      </c>
      <c r="I243" s="386"/>
      <c r="J243" s="384"/>
      <c r="K243" s="387">
        <f>SQRT(K242)</f>
        <v>2.8868854252463119E-2</v>
      </c>
      <c r="L243" s="388"/>
      <c r="N243" s="374" t="s">
        <v>211</v>
      </c>
      <c r="O243" s="384"/>
      <c r="P243" s="384"/>
      <c r="Q243" s="384"/>
      <c r="R243" s="384"/>
      <c r="S243" s="384"/>
      <c r="T243" s="385" t="s">
        <v>212</v>
      </c>
      <c r="U243" s="386"/>
      <c r="V243" s="384"/>
      <c r="W243" s="387">
        <f>SQRT(W242)</f>
        <v>2.8868854252463119E-2</v>
      </c>
      <c r="X243" s="388"/>
      <c r="Z243" s="374" t="s">
        <v>211</v>
      </c>
      <c r="AA243" s="384"/>
      <c r="AB243" s="384"/>
      <c r="AC243" s="384"/>
      <c r="AD243" s="384"/>
      <c r="AE243" s="384"/>
      <c r="AF243" s="385" t="s">
        <v>212</v>
      </c>
      <c r="AG243" s="386"/>
      <c r="AH243" s="384"/>
      <c r="AI243" s="387">
        <f>SQRT(AI242)</f>
        <v>2.8868854252463119E-2</v>
      </c>
      <c r="AJ243" s="388"/>
      <c r="AL243" s="374" t="s">
        <v>211</v>
      </c>
      <c r="AM243" s="384"/>
      <c r="AN243" s="384"/>
      <c r="AO243" s="384"/>
      <c r="AP243" s="384"/>
      <c r="AQ243" s="384"/>
      <c r="AR243" s="385" t="s">
        <v>212</v>
      </c>
      <c r="AS243" s="386"/>
      <c r="AT243" s="384"/>
      <c r="AU243" s="387">
        <f>SQRT(AU242)</f>
        <v>2.8868854252463119E-2</v>
      </c>
      <c r="AV243" s="388"/>
      <c r="AX243" s="374" t="s">
        <v>211</v>
      </c>
      <c r="AY243" s="384"/>
      <c r="AZ243" s="384"/>
      <c r="BA243" s="384"/>
      <c r="BB243" s="384"/>
      <c r="BC243" s="384"/>
      <c r="BD243" s="385" t="s">
        <v>212</v>
      </c>
      <c r="BE243" s="386"/>
      <c r="BF243" s="384"/>
      <c r="BG243" s="387">
        <f>SQRT(BG242)</f>
        <v>2.8868854252463119E-2</v>
      </c>
      <c r="BH243" s="388"/>
      <c r="BI243" s="402"/>
    </row>
    <row r="244" spans="1:61" ht="16.5" x14ac:dyDescent="0.4">
      <c r="A244" s="402"/>
      <c r="B244" s="374" t="s">
        <v>213</v>
      </c>
      <c r="C244" s="384"/>
      <c r="D244" s="384"/>
      <c r="E244" s="384"/>
      <c r="F244" s="384"/>
      <c r="G244" s="384"/>
      <c r="H244" s="389" t="s">
        <v>214</v>
      </c>
      <c r="I244" s="390"/>
      <c r="J244" s="384"/>
      <c r="K244" s="375">
        <f>K243^4/L242</f>
        <v>50.009289598913469</v>
      </c>
      <c r="L244" s="388"/>
      <c r="N244" s="374" t="s">
        <v>213</v>
      </c>
      <c r="O244" s="384"/>
      <c r="P244" s="384"/>
      <c r="Q244" s="384"/>
      <c r="R244" s="384"/>
      <c r="S244" s="384"/>
      <c r="T244" s="389" t="s">
        <v>214</v>
      </c>
      <c r="U244" s="390"/>
      <c r="V244" s="384"/>
      <c r="W244" s="375">
        <f>W243^4/X242</f>
        <v>50.009289598913469</v>
      </c>
      <c r="X244" s="388"/>
      <c r="Z244" s="374" t="s">
        <v>213</v>
      </c>
      <c r="AA244" s="384"/>
      <c r="AB244" s="384"/>
      <c r="AC244" s="384"/>
      <c r="AD244" s="384"/>
      <c r="AE244" s="384"/>
      <c r="AF244" s="389" t="s">
        <v>214</v>
      </c>
      <c r="AG244" s="390"/>
      <c r="AH244" s="384"/>
      <c r="AI244" s="375">
        <f>AI243^4/AJ242</f>
        <v>50.009289598913469</v>
      </c>
      <c r="AJ244" s="388"/>
      <c r="AL244" s="374" t="s">
        <v>213</v>
      </c>
      <c r="AM244" s="384"/>
      <c r="AN244" s="384"/>
      <c r="AO244" s="384"/>
      <c r="AP244" s="384"/>
      <c r="AQ244" s="384"/>
      <c r="AR244" s="389" t="s">
        <v>214</v>
      </c>
      <c r="AS244" s="390"/>
      <c r="AT244" s="384"/>
      <c r="AU244" s="375">
        <f>AU243^4/AV242</f>
        <v>50.009289598913469</v>
      </c>
      <c r="AV244" s="388"/>
      <c r="AX244" s="374" t="s">
        <v>213</v>
      </c>
      <c r="AY244" s="384"/>
      <c r="AZ244" s="384"/>
      <c r="BA244" s="384"/>
      <c r="BB244" s="384"/>
      <c r="BC244" s="384"/>
      <c r="BD244" s="389" t="s">
        <v>214</v>
      </c>
      <c r="BE244" s="390"/>
      <c r="BF244" s="384"/>
      <c r="BG244" s="375">
        <f>BG243^4/BH242</f>
        <v>50.009289598913469</v>
      </c>
      <c r="BH244" s="388"/>
      <c r="BI244" s="402"/>
    </row>
    <row r="245" spans="1:61" x14ac:dyDescent="0.35">
      <c r="A245" s="402"/>
      <c r="B245" s="374" t="s">
        <v>215</v>
      </c>
      <c r="C245" s="384"/>
      <c r="D245" s="384"/>
      <c r="E245" s="384"/>
      <c r="F245" s="384"/>
      <c r="G245" s="384"/>
      <c r="H245" s="391" t="s">
        <v>216</v>
      </c>
      <c r="I245" s="392"/>
      <c r="J245" s="384"/>
      <c r="K245" s="377">
        <f>1.95996+(2.37356/K244)+(2.818745/K244^2)+(2.546662/K244^3)+(1.761829/K244^4)+(0.245458/K244^5)+(1.000764/K244^6)</f>
        <v>2.0085701055033329</v>
      </c>
      <c r="L245" s="393">
        <f>TINV(0.05,K244)</f>
        <v>2.0085591121007611</v>
      </c>
      <c r="N245" s="374" t="s">
        <v>215</v>
      </c>
      <c r="O245" s="384"/>
      <c r="P245" s="384"/>
      <c r="Q245" s="384"/>
      <c r="R245" s="384"/>
      <c r="S245" s="384"/>
      <c r="T245" s="391" t="s">
        <v>216</v>
      </c>
      <c r="U245" s="392"/>
      <c r="V245" s="384"/>
      <c r="W245" s="377">
        <f>1.95996+(2.37356/W244)+(2.818745/W244^2)+(2.546662/W244^3)+(1.761829/W244^4)+(0.245458/W244^5)+(1.000764/W244^6)</f>
        <v>2.0085701055033329</v>
      </c>
      <c r="X245" s="393">
        <f>TINV(0.05,W244)</f>
        <v>2.0085591121007611</v>
      </c>
      <c r="Z245" s="374" t="s">
        <v>215</v>
      </c>
      <c r="AA245" s="384"/>
      <c r="AB245" s="384"/>
      <c r="AC245" s="384"/>
      <c r="AD245" s="384"/>
      <c r="AE245" s="384"/>
      <c r="AF245" s="391" t="s">
        <v>216</v>
      </c>
      <c r="AG245" s="392"/>
      <c r="AH245" s="384"/>
      <c r="AI245" s="377">
        <f>1.95996+(2.37356/AI244)+(2.818745/AI244^2)+(2.546662/AI244^3)+(1.761829/AI244^4)+(0.245458/AI244^5)+(1.000764/AI244^6)</f>
        <v>2.0085701055033329</v>
      </c>
      <c r="AJ245" s="393">
        <f>TINV(0.05,AI244)</f>
        <v>2.0085591121007611</v>
      </c>
      <c r="AL245" s="374" t="s">
        <v>215</v>
      </c>
      <c r="AM245" s="384"/>
      <c r="AN245" s="384"/>
      <c r="AO245" s="384"/>
      <c r="AP245" s="384"/>
      <c r="AQ245" s="384"/>
      <c r="AR245" s="391" t="s">
        <v>216</v>
      </c>
      <c r="AS245" s="392"/>
      <c r="AT245" s="384"/>
      <c r="AU245" s="377">
        <f>1.95996+(2.37356/AU244)+(2.818745/AU244^2)+(2.546662/AU244^3)+(1.761829/AU244^4)+(0.245458/AU244^5)+(1.000764/AU244^6)</f>
        <v>2.0085701055033329</v>
      </c>
      <c r="AV245" s="393">
        <f>TINV(0.05,AU244)</f>
        <v>2.0085591121007611</v>
      </c>
      <c r="AX245" s="374" t="s">
        <v>215</v>
      </c>
      <c r="AY245" s="384"/>
      <c r="AZ245" s="384"/>
      <c r="BA245" s="384"/>
      <c r="BB245" s="384"/>
      <c r="BC245" s="384"/>
      <c r="BD245" s="391" t="s">
        <v>216</v>
      </c>
      <c r="BE245" s="392"/>
      <c r="BF245" s="384"/>
      <c r="BG245" s="377">
        <f>1.95996+(2.37356/BG244)+(2.818745/BG244^2)+(2.546662/BG244^3)+(1.761829/BG244^4)+(0.245458/BG244^5)+(1.000764/BG244^6)</f>
        <v>2.0085701055033329</v>
      </c>
      <c r="BH245" s="393">
        <f>TINV(0.05,BG244)</f>
        <v>2.0085591121007611</v>
      </c>
      <c r="BI245" s="402"/>
    </row>
    <row r="246" spans="1:61" ht="15.5" x14ac:dyDescent="0.35">
      <c r="A246" s="402"/>
      <c r="B246" s="374" t="s">
        <v>217</v>
      </c>
      <c r="C246" s="384"/>
      <c r="D246" s="384"/>
      <c r="E246" s="384"/>
      <c r="F246" s="384"/>
      <c r="G246" s="384"/>
      <c r="H246" s="394" t="s">
        <v>218</v>
      </c>
      <c r="I246" s="395"/>
      <c r="J246" s="384"/>
      <c r="K246" s="398">
        <f>K245*K243</f>
        <v>5.7985117631630188E-2</v>
      </c>
      <c r="L246" s="19" t="str">
        <f>D236</f>
        <v>µA</v>
      </c>
      <c r="N246" s="374" t="s">
        <v>217</v>
      </c>
      <c r="O246" s="384"/>
      <c r="P246" s="384"/>
      <c r="Q246" s="384"/>
      <c r="R246" s="384"/>
      <c r="S246" s="384"/>
      <c r="T246" s="394" t="s">
        <v>218</v>
      </c>
      <c r="U246" s="395"/>
      <c r="V246" s="384"/>
      <c r="W246" s="398">
        <f>W245*W243</f>
        <v>5.7985117631630188E-2</v>
      </c>
      <c r="X246" s="19" t="str">
        <f>P236</f>
        <v>µA</v>
      </c>
      <c r="Z246" s="374" t="s">
        <v>217</v>
      </c>
      <c r="AA246" s="384"/>
      <c r="AB246" s="384"/>
      <c r="AC246" s="384"/>
      <c r="AD246" s="384"/>
      <c r="AE246" s="384"/>
      <c r="AF246" s="394" t="s">
        <v>218</v>
      </c>
      <c r="AG246" s="395"/>
      <c r="AH246" s="384"/>
      <c r="AI246" s="398">
        <f>AI245*AI243</f>
        <v>5.7985117631630188E-2</v>
      </c>
      <c r="AJ246" s="19" t="str">
        <f>AB236</f>
        <v>µA</v>
      </c>
      <c r="AL246" s="374" t="s">
        <v>217</v>
      </c>
      <c r="AM246" s="384"/>
      <c r="AN246" s="384"/>
      <c r="AO246" s="384"/>
      <c r="AP246" s="384"/>
      <c r="AQ246" s="384"/>
      <c r="AR246" s="394" t="s">
        <v>218</v>
      </c>
      <c r="AS246" s="395"/>
      <c r="AT246" s="384"/>
      <c r="AU246" s="398">
        <f>AU245*AU243</f>
        <v>5.7985117631630188E-2</v>
      </c>
      <c r="AV246" s="19" t="str">
        <f>AN236</f>
        <v>µA</v>
      </c>
      <c r="AX246" s="374" t="s">
        <v>217</v>
      </c>
      <c r="AY246" s="384"/>
      <c r="AZ246" s="384"/>
      <c r="BA246" s="384"/>
      <c r="BB246" s="384"/>
      <c r="BC246" s="384"/>
      <c r="BD246" s="394" t="s">
        <v>218</v>
      </c>
      <c r="BE246" s="395"/>
      <c r="BF246" s="384"/>
      <c r="BG246" s="398">
        <f>BG245*BG243</f>
        <v>5.7985117631630188E-2</v>
      </c>
      <c r="BH246" s="19" t="str">
        <f>AZ236</f>
        <v>µA</v>
      </c>
      <c r="BI246" s="402"/>
    </row>
    <row r="247" spans="1:61" x14ac:dyDescent="0.35">
      <c r="A247" s="402"/>
      <c r="B247" s="396"/>
      <c r="C247" s="396"/>
      <c r="D247" s="396"/>
      <c r="E247" s="396"/>
      <c r="F247" s="396"/>
      <c r="G247" s="396"/>
      <c r="H247" s="396"/>
      <c r="I247" s="396"/>
      <c r="J247" s="396"/>
      <c r="K247" s="388"/>
      <c r="L247" s="19" t="s">
        <v>219</v>
      </c>
      <c r="N247" s="396"/>
      <c r="O247" s="396"/>
      <c r="P247" s="396"/>
      <c r="Q247" s="396"/>
      <c r="R247" s="396"/>
      <c r="S247" s="396"/>
      <c r="T247" s="396"/>
      <c r="U247" s="396"/>
      <c r="V247" s="396"/>
      <c r="W247" s="388"/>
      <c r="X247" s="19" t="s">
        <v>219</v>
      </c>
      <c r="Z247" s="396"/>
      <c r="AA247" s="396"/>
      <c r="AB247" s="396"/>
      <c r="AC247" s="396"/>
      <c r="AD247" s="396"/>
      <c r="AE247" s="396"/>
      <c r="AF247" s="396"/>
      <c r="AG247" s="396"/>
      <c r="AH247" s="396"/>
      <c r="AI247" s="388"/>
      <c r="AJ247" s="19" t="s">
        <v>219</v>
      </c>
      <c r="AL247" s="396"/>
      <c r="AM247" s="396"/>
      <c r="AN247" s="396"/>
      <c r="AO247" s="396"/>
      <c r="AP247" s="396"/>
      <c r="AQ247" s="396"/>
      <c r="AR247" s="396"/>
      <c r="AS247" s="396"/>
      <c r="AT247" s="396"/>
      <c r="AU247" s="388"/>
      <c r="AV247" s="19" t="s">
        <v>219</v>
      </c>
      <c r="AX247" s="396"/>
      <c r="AY247" s="396"/>
      <c r="AZ247" s="396"/>
      <c r="BA247" s="396"/>
      <c r="BB247" s="396"/>
      <c r="BC247" s="396"/>
      <c r="BD247" s="396"/>
      <c r="BE247" s="396"/>
      <c r="BF247" s="396"/>
      <c r="BG247" s="388"/>
      <c r="BH247" s="19" t="s">
        <v>219</v>
      </c>
      <c r="BI247" s="402"/>
    </row>
    <row r="248" spans="1:61" x14ac:dyDescent="0.35">
      <c r="A248" s="402"/>
      <c r="B248" s="396" t="s">
        <v>193</v>
      </c>
      <c r="C248" s="77">
        <f>ID!D73</f>
        <v>1</v>
      </c>
      <c r="D248" s="397" t="s">
        <v>222</v>
      </c>
      <c r="N248" s="396" t="s">
        <v>193</v>
      </c>
      <c r="O248" s="77">
        <f>ID!D80</f>
        <v>1</v>
      </c>
      <c r="P248" s="397" t="s">
        <v>222</v>
      </c>
      <c r="Z248" s="396" t="s">
        <v>193</v>
      </c>
      <c r="AA248" s="77">
        <f>ID!D87</f>
        <v>1</v>
      </c>
      <c r="AB248" s="397" t="s">
        <v>222</v>
      </c>
      <c r="AL248" s="396" t="s">
        <v>193</v>
      </c>
      <c r="AM248" s="77">
        <f>ID!D94</f>
        <v>1</v>
      </c>
      <c r="AN248" s="397" t="s">
        <v>222</v>
      </c>
      <c r="AX248" s="396" t="s">
        <v>193</v>
      </c>
      <c r="AY248" s="77">
        <f>ID!D101</f>
        <v>1</v>
      </c>
      <c r="AZ248" s="397" t="s">
        <v>222</v>
      </c>
      <c r="BI248" s="402"/>
    </row>
    <row r="249" spans="1:61" x14ac:dyDescent="0.35">
      <c r="A249" s="402"/>
      <c r="B249" s="372" t="s">
        <v>194</v>
      </c>
      <c r="C249" s="373" t="s">
        <v>72</v>
      </c>
      <c r="D249" s="373" t="s">
        <v>195</v>
      </c>
      <c r="E249" s="372" t="s">
        <v>196</v>
      </c>
      <c r="F249" s="372" t="s">
        <v>197</v>
      </c>
      <c r="G249" s="372" t="s">
        <v>198</v>
      </c>
      <c r="H249" s="372" t="s">
        <v>199</v>
      </c>
      <c r="I249" s="372" t="s">
        <v>200</v>
      </c>
      <c r="J249" s="372" t="s">
        <v>201</v>
      </c>
      <c r="K249" s="372" t="s">
        <v>202</v>
      </c>
      <c r="L249" s="373" t="s">
        <v>203</v>
      </c>
      <c r="N249" s="372" t="s">
        <v>194</v>
      </c>
      <c r="O249" s="373" t="s">
        <v>72</v>
      </c>
      <c r="P249" s="373" t="s">
        <v>195</v>
      </c>
      <c r="Q249" s="372" t="s">
        <v>196</v>
      </c>
      <c r="R249" s="372" t="s">
        <v>197</v>
      </c>
      <c r="S249" s="372" t="s">
        <v>198</v>
      </c>
      <c r="T249" s="372" t="s">
        <v>199</v>
      </c>
      <c r="U249" s="372" t="s">
        <v>200</v>
      </c>
      <c r="V249" s="372" t="s">
        <v>201</v>
      </c>
      <c r="W249" s="372" t="s">
        <v>202</v>
      </c>
      <c r="X249" s="373" t="s">
        <v>203</v>
      </c>
      <c r="Z249" s="372" t="s">
        <v>194</v>
      </c>
      <c r="AA249" s="373" t="s">
        <v>72</v>
      </c>
      <c r="AB249" s="373" t="s">
        <v>195</v>
      </c>
      <c r="AC249" s="372" t="s">
        <v>196</v>
      </c>
      <c r="AD249" s="372" t="s">
        <v>197</v>
      </c>
      <c r="AE249" s="372" t="s">
        <v>198</v>
      </c>
      <c r="AF249" s="372" t="s">
        <v>199</v>
      </c>
      <c r="AG249" s="372" t="s">
        <v>200</v>
      </c>
      <c r="AH249" s="372" t="s">
        <v>201</v>
      </c>
      <c r="AI249" s="372" t="s">
        <v>202</v>
      </c>
      <c r="AJ249" s="373" t="s">
        <v>203</v>
      </c>
      <c r="AL249" s="372" t="s">
        <v>194</v>
      </c>
      <c r="AM249" s="373" t="s">
        <v>72</v>
      </c>
      <c r="AN249" s="373" t="s">
        <v>195</v>
      </c>
      <c r="AO249" s="372" t="s">
        <v>196</v>
      </c>
      <c r="AP249" s="372" t="s">
        <v>197</v>
      </c>
      <c r="AQ249" s="372" t="s">
        <v>198</v>
      </c>
      <c r="AR249" s="372" t="s">
        <v>199</v>
      </c>
      <c r="AS249" s="372" t="s">
        <v>200</v>
      </c>
      <c r="AT249" s="372" t="s">
        <v>201</v>
      </c>
      <c r="AU249" s="372" t="s">
        <v>202</v>
      </c>
      <c r="AV249" s="373" t="s">
        <v>203</v>
      </c>
      <c r="AX249" s="372" t="s">
        <v>194</v>
      </c>
      <c r="AY249" s="373" t="s">
        <v>72</v>
      </c>
      <c r="AZ249" s="373" t="s">
        <v>195</v>
      </c>
      <c r="BA249" s="372" t="s">
        <v>196</v>
      </c>
      <c r="BB249" s="372" t="s">
        <v>197</v>
      </c>
      <c r="BC249" s="372" t="s">
        <v>198</v>
      </c>
      <c r="BD249" s="372" t="s">
        <v>199</v>
      </c>
      <c r="BE249" s="372" t="s">
        <v>200</v>
      </c>
      <c r="BF249" s="372" t="s">
        <v>201</v>
      </c>
      <c r="BG249" s="372" t="s">
        <v>202</v>
      </c>
      <c r="BH249" s="373" t="s">
        <v>203</v>
      </c>
      <c r="BI249" s="402"/>
    </row>
    <row r="250" spans="1:61" x14ac:dyDescent="0.35">
      <c r="A250" s="402"/>
      <c r="B250" s="374" t="s">
        <v>223</v>
      </c>
      <c r="C250" s="19" t="str">
        <f>D248</f>
        <v>µA</v>
      </c>
      <c r="D250" s="375" t="s">
        <v>205</v>
      </c>
      <c r="E250" s="376">
        <f>'Sert Time Electronics'!X133</f>
        <v>0.19493588689617936</v>
      </c>
      <c r="F250" s="377">
        <f>SQRT(5)</f>
        <v>2.2360679774997898</v>
      </c>
      <c r="G250" s="375">
        <f>5-1</f>
        <v>4</v>
      </c>
      <c r="H250" s="377">
        <f>E250/F250</f>
        <v>8.7177978870813508E-2</v>
      </c>
      <c r="I250" s="375">
        <v>1</v>
      </c>
      <c r="J250" s="377">
        <f>H250*I250</f>
        <v>8.7177978870813508E-2</v>
      </c>
      <c r="K250" s="378">
        <f>J250^2</f>
        <v>7.6000000000000061E-3</v>
      </c>
      <c r="L250" s="379">
        <f>K250^2/G250</f>
        <v>1.4440000000000023E-5</v>
      </c>
      <c r="N250" s="374" t="s">
        <v>223</v>
      </c>
      <c r="O250" s="19" t="str">
        <f>P248</f>
        <v>µA</v>
      </c>
      <c r="P250" s="375" t="s">
        <v>205</v>
      </c>
      <c r="Q250" s="376">
        <f>'Sert Time Electronics'!X141</f>
        <v>0.32710854467592249</v>
      </c>
      <c r="R250" s="377">
        <f>SQRT(5)</f>
        <v>2.2360679774997898</v>
      </c>
      <c r="S250" s="375">
        <f>5-1</f>
        <v>4</v>
      </c>
      <c r="T250" s="377">
        <f>Q250/R250</f>
        <v>0.1462873883832779</v>
      </c>
      <c r="U250" s="375">
        <v>1</v>
      </c>
      <c r="V250" s="377">
        <f>T250*U250</f>
        <v>0.1462873883832779</v>
      </c>
      <c r="W250" s="378">
        <f>V250^2</f>
        <v>2.1399999999999988E-2</v>
      </c>
      <c r="X250" s="379">
        <f>W250^2/S250</f>
        <v>1.1448999999999987E-4</v>
      </c>
      <c r="Z250" s="374" t="s">
        <v>223</v>
      </c>
      <c r="AA250" s="19" t="str">
        <f>AB248</f>
        <v>µA</v>
      </c>
      <c r="AB250" s="375" t="s">
        <v>205</v>
      </c>
      <c r="AC250" s="376">
        <f>'Sert Time Electronics'!X149</f>
        <v>0.19235384061671382</v>
      </c>
      <c r="AD250" s="377">
        <f>SQRT(5)</f>
        <v>2.2360679774997898</v>
      </c>
      <c r="AE250" s="375">
        <f>5-1</f>
        <v>4</v>
      </c>
      <c r="AF250" s="377">
        <f>AC250/AD250</f>
        <v>8.6023252670426431E-2</v>
      </c>
      <c r="AG250" s="375">
        <v>1</v>
      </c>
      <c r="AH250" s="377">
        <f>AF250*AG250</f>
        <v>8.6023252670426431E-2</v>
      </c>
      <c r="AI250" s="378">
        <f>AH250^2</f>
        <v>7.4000000000000281E-3</v>
      </c>
      <c r="AJ250" s="379">
        <f>AI250^2/AE250</f>
        <v>1.3690000000000104E-5</v>
      </c>
      <c r="AL250" s="374" t="s">
        <v>223</v>
      </c>
      <c r="AM250" s="19" t="str">
        <f>AN248</f>
        <v>µA</v>
      </c>
      <c r="AN250" s="375" t="s">
        <v>205</v>
      </c>
      <c r="AO250" s="376">
        <f>'Sert Time Electronics'!X157</f>
        <v>0.19235384061671382</v>
      </c>
      <c r="AP250" s="377">
        <f>SQRT(5)</f>
        <v>2.2360679774997898</v>
      </c>
      <c r="AQ250" s="375">
        <f>5-1</f>
        <v>4</v>
      </c>
      <c r="AR250" s="377">
        <f>AO250/AP250</f>
        <v>8.6023252670426431E-2</v>
      </c>
      <c r="AS250" s="375">
        <v>1</v>
      </c>
      <c r="AT250" s="377">
        <f>AR250*AS250</f>
        <v>8.6023252670426431E-2</v>
      </c>
      <c r="AU250" s="378">
        <f>AT250^2</f>
        <v>7.4000000000000281E-3</v>
      </c>
      <c r="AV250" s="379">
        <f>AU250^2/AQ250</f>
        <v>1.3690000000000104E-5</v>
      </c>
      <c r="AX250" s="374" t="s">
        <v>223</v>
      </c>
      <c r="AY250" s="19" t="str">
        <f>AZ248</f>
        <v>µA</v>
      </c>
      <c r="AZ250" s="375" t="s">
        <v>205</v>
      </c>
      <c r="BA250" s="376">
        <f>'Sert Time Electronics'!X165</f>
        <v>0.19235384061671382</v>
      </c>
      <c r="BB250" s="377">
        <f>SQRT(5)</f>
        <v>2.2360679774997898</v>
      </c>
      <c r="BC250" s="375">
        <f>5-1</f>
        <v>4</v>
      </c>
      <c r="BD250" s="377">
        <f>BA250/BB250</f>
        <v>8.6023252670426431E-2</v>
      </c>
      <c r="BE250" s="375">
        <v>1</v>
      </c>
      <c r="BF250" s="377">
        <f>BD250*BE250</f>
        <v>8.6023252670426431E-2</v>
      </c>
      <c r="BG250" s="378">
        <f>BF250^2</f>
        <v>7.4000000000000281E-3</v>
      </c>
      <c r="BH250" s="379">
        <f>BG250^2/BC250</f>
        <v>1.3690000000000104E-5</v>
      </c>
      <c r="BI250" s="402"/>
    </row>
    <row r="251" spans="1:61" x14ac:dyDescent="0.35">
      <c r="A251" s="402"/>
      <c r="B251" s="380" t="s">
        <v>206</v>
      </c>
      <c r="C251" s="19" t="str">
        <f>C250</f>
        <v>µA</v>
      </c>
      <c r="D251" s="375" t="s">
        <v>205</v>
      </c>
      <c r="E251" s="381">
        <f>'Sert Time Electronics'!AA133</f>
        <v>2.1741980949147657E-3</v>
      </c>
      <c r="F251" s="377">
        <v>2</v>
      </c>
      <c r="G251" s="375">
        <f>0.5*(100/10)^2</f>
        <v>50</v>
      </c>
      <c r="H251" s="377">
        <f>E251/F251</f>
        <v>1.0870990474573829E-3</v>
      </c>
      <c r="I251" s="375">
        <v>1</v>
      </c>
      <c r="J251" s="377">
        <f>H251*I251</f>
        <v>1.0870990474573829E-3</v>
      </c>
      <c r="K251" s="378">
        <f>J251^2</f>
        <v>1.1817843389827492E-6</v>
      </c>
      <c r="L251" s="379">
        <f>K251^2/G251</f>
        <v>2.7932284477297873E-14</v>
      </c>
      <c r="N251" s="380" t="s">
        <v>206</v>
      </c>
      <c r="O251" s="19" t="str">
        <f>O250</f>
        <v>µA</v>
      </c>
      <c r="P251" s="375" t="s">
        <v>205</v>
      </c>
      <c r="Q251" s="381">
        <f>'Sert Time Electronics'!AA141</f>
        <v>2.0000005990296324E-3</v>
      </c>
      <c r="R251" s="377">
        <v>2</v>
      </c>
      <c r="S251" s="375">
        <f>0.5*(100/10)^2</f>
        <v>50</v>
      </c>
      <c r="T251" s="377">
        <f>Q251/R251</f>
        <v>1.0000002995148162E-3</v>
      </c>
      <c r="U251" s="375">
        <v>1</v>
      </c>
      <c r="V251" s="377">
        <f>T251*U251</f>
        <v>1.0000002995148162E-3</v>
      </c>
      <c r="W251" s="378">
        <f>V251^2</f>
        <v>1.0000005990297221E-6</v>
      </c>
      <c r="X251" s="379">
        <f>W251^2/S251</f>
        <v>2.0000023961196057E-14</v>
      </c>
      <c r="Z251" s="380" t="s">
        <v>206</v>
      </c>
      <c r="AA251" s="19" t="str">
        <f>AA250</f>
        <v>µA</v>
      </c>
      <c r="AB251" s="375" t="s">
        <v>205</v>
      </c>
      <c r="AC251" s="381">
        <f>'Sert Time Electronics'!AA149</f>
        <v>2.0000005990296324E-3</v>
      </c>
      <c r="AD251" s="377">
        <v>2</v>
      </c>
      <c r="AE251" s="375">
        <f>0.5*(100/10)^2</f>
        <v>50</v>
      </c>
      <c r="AF251" s="377">
        <f>AC251/AD251</f>
        <v>1.0000002995148162E-3</v>
      </c>
      <c r="AG251" s="375">
        <v>1</v>
      </c>
      <c r="AH251" s="377">
        <f>AF251*AG251</f>
        <v>1.0000002995148162E-3</v>
      </c>
      <c r="AI251" s="378">
        <f>AH251^2</f>
        <v>1.0000005990297221E-6</v>
      </c>
      <c r="AJ251" s="379">
        <f>AI251^2/AE251</f>
        <v>2.0000023961196057E-14</v>
      </c>
      <c r="AL251" s="380" t="s">
        <v>206</v>
      </c>
      <c r="AM251" s="19" t="str">
        <f>AM250</f>
        <v>µA</v>
      </c>
      <c r="AN251" s="375" t="s">
        <v>205</v>
      </c>
      <c r="AO251" s="381">
        <f>'Sert Time Electronics'!AA157</f>
        <v>2.0000005990296324E-3</v>
      </c>
      <c r="AP251" s="377">
        <v>2</v>
      </c>
      <c r="AQ251" s="375">
        <f>0.5*(100/10)^2</f>
        <v>50</v>
      </c>
      <c r="AR251" s="377">
        <f>AO251/AP251</f>
        <v>1.0000002995148162E-3</v>
      </c>
      <c r="AS251" s="375">
        <v>1</v>
      </c>
      <c r="AT251" s="377">
        <f>AR251*AS251</f>
        <v>1.0000002995148162E-3</v>
      </c>
      <c r="AU251" s="378">
        <f>AT251^2</f>
        <v>1.0000005990297221E-6</v>
      </c>
      <c r="AV251" s="379">
        <f>AU251^2/AQ251</f>
        <v>2.0000023961196057E-14</v>
      </c>
      <c r="AX251" s="380" t="s">
        <v>206</v>
      </c>
      <c r="AY251" s="19" t="str">
        <f>AY250</f>
        <v>µA</v>
      </c>
      <c r="AZ251" s="375" t="s">
        <v>205</v>
      </c>
      <c r="BA251" s="381">
        <f>'Sert Time Electronics'!AA165</f>
        <v>2.0000005990296324E-3</v>
      </c>
      <c r="BB251" s="377">
        <v>2</v>
      </c>
      <c r="BC251" s="375">
        <f>0.5*(100/10)^2</f>
        <v>50</v>
      </c>
      <c r="BD251" s="377">
        <f>BA251/BB251</f>
        <v>1.0000002995148162E-3</v>
      </c>
      <c r="BE251" s="375">
        <v>1</v>
      </c>
      <c r="BF251" s="377">
        <f>BD251*BE251</f>
        <v>1.0000002995148162E-3</v>
      </c>
      <c r="BG251" s="378">
        <f>BF251^2</f>
        <v>1.0000005990297221E-6</v>
      </c>
      <c r="BH251" s="379">
        <f>BG251^2/BC251</f>
        <v>2.0000023961196057E-14</v>
      </c>
      <c r="BI251" s="402"/>
    </row>
    <row r="252" spans="1:61" x14ac:dyDescent="0.35">
      <c r="A252" s="402"/>
      <c r="B252" s="380" t="s">
        <v>207</v>
      </c>
      <c r="C252" s="19" t="str">
        <f>C251</f>
        <v>µA</v>
      </c>
      <c r="D252" s="375" t="s">
        <v>208</v>
      </c>
      <c r="E252" s="382">
        <f>'Sert Time Electronics'!Y133</f>
        <v>0.05</v>
      </c>
      <c r="F252" s="377">
        <f>SQRT(3)</f>
        <v>1.7320508075688772</v>
      </c>
      <c r="G252" s="375">
        <v>50</v>
      </c>
      <c r="H252" s="377">
        <f>E252/F252</f>
        <v>2.8867513459481291E-2</v>
      </c>
      <c r="I252" s="375">
        <v>1</v>
      </c>
      <c r="J252" s="377">
        <f>H252*I252</f>
        <v>2.8867513459481291E-2</v>
      </c>
      <c r="K252" s="378">
        <f>J252^2</f>
        <v>8.333333333333335E-4</v>
      </c>
      <c r="L252" s="379">
        <f>K252^2/G252</f>
        <v>1.3888888888888894E-8</v>
      </c>
      <c r="N252" s="380" t="s">
        <v>207</v>
      </c>
      <c r="O252" s="19" t="str">
        <f>O251</f>
        <v>µA</v>
      </c>
      <c r="P252" s="375" t="s">
        <v>208</v>
      </c>
      <c r="Q252" s="382">
        <f>'Sert Time Electronics'!Y141</f>
        <v>0.05</v>
      </c>
      <c r="R252" s="377">
        <f>SQRT(3)</f>
        <v>1.7320508075688772</v>
      </c>
      <c r="S252" s="375">
        <v>50</v>
      </c>
      <c r="T252" s="377">
        <f>Q252/R252</f>
        <v>2.8867513459481291E-2</v>
      </c>
      <c r="U252" s="375">
        <v>1</v>
      </c>
      <c r="V252" s="377">
        <f>T252*U252</f>
        <v>2.8867513459481291E-2</v>
      </c>
      <c r="W252" s="378">
        <f>V252^2</f>
        <v>8.333333333333335E-4</v>
      </c>
      <c r="X252" s="379">
        <f>W252^2/S252</f>
        <v>1.3888888888888894E-8</v>
      </c>
      <c r="Z252" s="380" t="s">
        <v>207</v>
      </c>
      <c r="AA252" s="19" t="str">
        <f>AA251</f>
        <v>µA</v>
      </c>
      <c r="AB252" s="375" t="s">
        <v>208</v>
      </c>
      <c r="AC252" s="382">
        <f>'Sert Time Electronics'!Y149</f>
        <v>0.05</v>
      </c>
      <c r="AD252" s="377">
        <f>SQRT(3)</f>
        <v>1.7320508075688772</v>
      </c>
      <c r="AE252" s="375">
        <v>50</v>
      </c>
      <c r="AF252" s="377">
        <f>AC252/AD252</f>
        <v>2.8867513459481291E-2</v>
      </c>
      <c r="AG252" s="375">
        <v>1</v>
      </c>
      <c r="AH252" s="377">
        <f>AF252*AG252</f>
        <v>2.8867513459481291E-2</v>
      </c>
      <c r="AI252" s="378">
        <f>AH252^2</f>
        <v>8.333333333333335E-4</v>
      </c>
      <c r="AJ252" s="379">
        <f>AI252^2/AE252</f>
        <v>1.3888888888888894E-8</v>
      </c>
      <c r="AL252" s="380" t="s">
        <v>207</v>
      </c>
      <c r="AM252" s="19" t="str">
        <f>AM251</f>
        <v>µA</v>
      </c>
      <c r="AN252" s="375" t="s">
        <v>208</v>
      </c>
      <c r="AO252" s="382">
        <f>'Sert Time Electronics'!Y157</f>
        <v>0.05</v>
      </c>
      <c r="AP252" s="377">
        <f>SQRT(3)</f>
        <v>1.7320508075688772</v>
      </c>
      <c r="AQ252" s="375">
        <v>50</v>
      </c>
      <c r="AR252" s="377">
        <f>AO252/AP252</f>
        <v>2.8867513459481291E-2</v>
      </c>
      <c r="AS252" s="375">
        <v>1</v>
      </c>
      <c r="AT252" s="377">
        <f>AR252*AS252</f>
        <v>2.8867513459481291E-2</v>
      </c>
      <c r="AU252" s="378">
        <f>AT252^2</f>
        <v>8.333333333333335E-4</v>
      </c>
      <c r="AV252" s="379">
        <f>AU252^2/AQ252</f>
        <v>1.3888888888888894E-8</v>
      </c>
      <c r="AX252" s="380" t="s">
        <v>207</v>
      </c>
      <c r="AY252" s="19" t="str">
        <f>AY251</f>
        <v>µA</v>
      </c>
      <c r="AZ252" s="375" t="s">
        <v>208</v>
      </c>
      <c r="BA252" s="382">
        <f>'Sert Time Electronics'!Y165</f>
        <v>0.05</v>
      </c>
      <c r="BB252" s="377">
        <f>SQRT(3)</f>
        <v>1.7320508075688772</v>
      </c>
      <c r="BC252" s="375">
        <v>50</v>
      </c>
      <c r="BD252" s="377">
        <f>BA252/BB252</f>
        <v>2.8867513459481291E-2</v>
      </c>
      <c r="BE252" s="375">
        <v>1</v>
      </c>
      <c r="BF252" s="377">
        <f>BD252*BE252</f>
        <v>2.8867513459481291E-2</v>
      </c>
      <c r="BG252" s="378">
        <f>BF252^2</f>
        <v>8.333333333333335E-4</v>
      </c>
      <c r="BH252" s="379">
        <f>BG252^2/BC252</f>
        <v>1.3888888888888894E-8</v>
      </c>
      <c r="BI252" s="402"/>
    </row>
    <row r="253" spans="1:61" x14ac:dyDescent="0.35">
      <c r="A253" s="402"/>
      <c r="B253" s="383" t="s">
        <v>209</v>
      </c>
      <c r="C253" s="19" t="str">
        <f>C252</f>
        <v>µA</v>
      </c>
      <c r="D253" s="375" t="s">
        <v>208</v>
      </c>
      <c r="E253" s="381">
        <f>'Sert Time Electronics'!Z133</f>
        <v>7.2473269830493109E-4</v>
      </c>
      <c r="F253" s="377">
        <f>SQRT(3)</f>
        <v>1.7320508075688772</v>
      </c>
      <c r="G253" s="375">
        <v>50</v>
      </c>
      <c r="H253" s="377">
        <f>E253/F253</f>
        <v>4.184246184568758E-4</v>
      </c>
      <c r="I253" s="375">
        <v>1</v>
      </c>
      <c r="J253" s="377">
        <f>H253*I253</f>
        <v>4.184246184568758E-4</v>
      </c>
      <c r="K253" s="378">
        <f>J253^2</f>
        <v>1.7507916133078209E-7</v>
      </c>
      <c r="L253" s="379">
        <f>K253^2/G253</f>
        <v>6.1305425464580046E-16</v>
      </c>
      <c r="N253" s="383" t="s">
        <v>209</v>
      </c>
      <c r="O253" s="19" t="str">
        <f>O252</f>
        <v>µA</v>
      </c>
      <c r="P253" s="375" t="s">
        <v>208</v>
      </c>
      <c r="Q253" s="381">
        <f>'Sert Time Electronics'!Z141</f>
        <v>6.6666686634321993E-4</v>
      </c>
      <c r="R253" s="377">
        <f>SQRT(3)</f>
        <v>1.7320508075688772</v>
      </c>
      <c r="S253" s="375">
        <v>50</v>
      </c>
      <c r="T253" s="377">
        <f>Q253/R253</f>
        <v>3.8490029474306229E-4</v>
      </c>
      <c r="U253" s="375">
        <v>1</v>
      </c>
      <c r="V253" s="377">
        <f>T253*U253</f>
        <v>3.8490029474306229E-4</v>
      </c>
      <c r="W253" s="378">
        <f>V253^2</f>
        <v>1.4814823689329621E-7</v>
      </c>
      <c r="X253" s="379">
        <f>W253^2/S253</f>
        <v>4.3895800189184425E-16</v>
      </c>
      <c r="Z253" s="383" t="s">
        <v>209</v>
      </c>
      <c r="AA253" s="19" t="str">
        <f>AA252</f>
        <v>µA</v>
      </c>
      <c r="AB253" s="375" t="s">
        <v>208</v>
      </c>
      <c r="AC253" s="381">
        <f>'Sert Time Electronics'!Z149</f>
        <v>6.6666686634321993E-4</v>
      </c>
      <c r="AD253" s="377">
        <f>SQRT(3)</f>
        <v>1.7320508075688772</v>
      </c>
      <c r="AE253" s="375">
        <v>50</v>
      </c>
      <c r="AF253" s="377">
        <f>AC253/AD253</f>
        <v>3.8490029474306229E-4</v>
      </c>
      <c r="AG253" s="375">
        <v>1</v>
      </c>
      <c r="AH253" s="377">
        <f>AF253*AG253</f>
        <v>3.8490029474306229E-4</v>
      </c>
      <c r="AI253" s="378">
        <f>AH253^2</f>
        <v>1.4814823689329621E-7</v>
      </c>
      <c r="AJ253" s="379">
        <f>AI253^2/AE253</f>
        <v>4.3895800189184425E-16</v>
      </c>
      <c r="AL253" s="383" t="s">
        <v>209</v>
      </c>
      <c r="AM253" s="19" t="str">
        <f>AM252</f>
        <v>µA</v>
      </c>
      <c r="AN253" s="375" t="s">
        <v>208</v>
      </c>
      <c r="AO253" s="381">
        <f>'Sert Time Electronics'!Z157</f>
        <v>6.6666686634321993E-4</v>
      </c>
      <c r="AP253" s="377">
        <f>SQRT(3)</f>
        <v>1.7320508075688772</v>
      </c>
      <c r="AQ253" s="375">
        <v>50</v>
      </c>
      <c r="AR253" s="377">
        <f>AO253/AP253</f>
        <v>3.8490029474306229E-4</v>
      </c>
      <c r="AS253" s="375">
        <v>1</v>
      </c>
      <c r="AT253" s="377">
        <f>AR253*AS253</f>
        <v>3.8490029474306229E-4</v>
      </c>
      <c r="AU253" s="378">
        <f>AT253^2</f>
        <v>1.4814823689329621E-7</v>
      </c>
      <c r="AV253" s="379">
        <f>AU253^2/AQ253</f>
        <v>4.3895800189184425E-16</v>
      </c>
      <c r="AX253" s="383" t="s">
        <v>209</v>
      </c>
      <c r="AY253" s="19" t="str">
        <f>AY252</f>
        <v>µA</v>
      </c>
      <c r="AZ253" s="375" t="s">
        <v>208</v>
      </c>
      <c r="BA253" s="381">
        <f>'Sert Time Electronics'!Z165</f>
        <v>6.6666686634321993E-4</v>
      </c>
      <c r="BB253" s="377">
        <f>SQRT(3)</f>
        <v>1.7320508075688772</v>
      </c>
      <c r="BC253" s="375">
        <v>50</v>
      </c>
      <c r="BD253" s="377">
        <f>BA253/BB253</f>
        <v>3.8490029474306229E-4</v>
      </c>
      <c r="BE253" s="375">
        <v>1</v>
      </c>
      <c r="BF253" s="377">
        <f>BD253*BE253</f>
        <v>3.8490029474306229E-4</v>
      </c>
      <c r="BG253" s="378">
        <f>BF253^2</f>
        <v>1.4814823689329621E-7</v>
      </c>
      <c r="BH253" s="379">
        <f>BG253^2/BC253</f>
        <v>4.3895800189184425E-16</v>
      </c>
      <c r="BI253" s="402"/>
    </row>
    <row r="254" spans="1:61" x14ac:dyDescent="0.35">
      <c r="A254" s="402"/>
      <c r="B254" s="374" t="s">
        <v>210</v>
      </c>
      <c r="C254" s="384"/>
      <c r="D254" s="384"/>
      <c r="E254" s="384"/>
      <c r="F254" s="384"/>
      <c r="G254" s="384"/>
      <c r="H254" s="384"/>
      <c r="I254" s="384"/>
      <c r="J254" s="384"/>
      <c r="K254" s="378">
        <f>SUM(K250:K253)</f>
        <v>8.4346901968336534E-3</v>
      </c>
      <c r="L254" s="379">
        <f>SUM(L250:L253)</f>
        <v>1.4453888917434251E-5</v>
      </c>
      <c r="N254" s="374" t="s">
        <v>210</v>
      </c>
      <c r="O254" s="384"/>
      <c r="P254" s="384"/>
      <c r="Q254" s="384"/>
      <c r="R254" s="384"/>
      <c r="S254" s="384"/>
      <c r="T254" s="384"/>
      <c r="U254" s="384"/>
      <c r="V254" s="384"/>
      <c r="W254" s="378">
        <f>SUM(W250:W253)</f>
        <v>2.2234481482169242E-2</v>
      </c>
      <c r="X254" s="379">
        <f>SUM(X250:X253)</f>
        <v>1.1450388890932774E-4</v>
      </c>
      <c r="Z254" s="374" t="s">
        <v>210</v>
      </c>
      <c r="AA254" s="384"/>
      <c r="AB254" s="384"/>
      <c r="AC254" s="384"/>
      <c r="AD254" s="384"/>
      <c r="AE254" s="384"/>
      <c r="AF254" s="384"/>
      <c r="AG254" s="384"/>
      <c r="AH254" s="384"/>
      <c r="AI254" s="378">
        <f>SUM(AI250:AI253)</f>
        <v>8.2344814821692855E-3</v>
      </c>
      <c r="AJ254" s="379">
        <f>SUM(AJ250:AJ253)</f>
        <v>1.3703888909327975E-5</v>
      </c>
      <c r="AL254" s="374" t="s">
        <v>210</v>
      </c>
      <c r="AM254" s="384"/>
      <c r="AN254" s="384"/>
      <c r="AO254" s="384"/>
      <c r="AP254" s="384"/>
      <c r="AQ254" s="384"/>
      <c r="AR254" s="384"/>
      <c r="AS254" s="384"/>
      <c r="AT254" s="384"/>
      <c r="AU254" s="378">
        <f>SUM(AU250:AU253)</f>
        <v>8.2344814821692855E-3</v>
      </c>
      <c r="AV254" s="379">
        <f>SUM(AV250:AV253)</f>
        <v>1.3703888909327975E-5</v>
      </c>
      <c r="AX254" s="374" t="s">
        <v>210</v>
      </c>
      <c r="AY254" s="384"/>
      <c r="AZ254" s="384"/>
      <c r="BA254" s="384"/>
      <c r="BB254" s="384"/>
      <c r="BC254" s="384"/>
      <c r="BD254" s="384"/>
      <c r="BE254" s="384"/>
      <c r="BF254" s="384"/>
      <c r="BG254" s="378">
        <f>SUM(BG250:BG253)</f>
        <v>8.2344814821692855E-3</v>
      </c>
      <c r="BH254" s="379">
        <f>SUM(BH250:BH253)</f>
        <v>1.3703888909327975E-5</v>
      </c>
      <c r="BI254" s="402"/>
    </row>
    <row r="255" spans="1:61" ht="15" x14ac:dyDescent="0.4">
      <c r="A255" s="402"/>
      <c r="B255" s="374" t="s">
        <v>211</v>
      </c>
      <c r="C255" s="384"/>
      <c r="D255" s="384"/>
      <c r="E255" s="384"/>
      <c r="F255" s="384"/>
      <c r="G255" s="384"/>
      <c r="H255" s="385" t="s">
        <v>212</v>
      </c>
      <c r="I255" s="386"/>
      <c r="J255" s="384"/>
      <c r="K255" s="387">
        <f>SQRT(K254)</f>
        <v>9.184056944963731E-2</v>
      </c>
      <c r="L255" s="388"/>
      <c r="N255" s="374" t="s">
        <v>211</v>
      </c>
      <c r="O255" s="384"/>
      <c r="P255" s="384"/>
      <c r="Q255" s="384"/>
      <c r="R255" s="384"/>
      <c r="S255" s="384"/>
      <c r="T255" s="385" t="s">
        <v>212</v>
      </c>
      <c r="U255" s="386"/>
      <c r="V255" s="384"/>
      <c r="W255" s="387">
        <f>SQRT(W254)</f>
        <v>0.14911231163847352</v>
      </c>
      <c r="X255" s="388"/>
      <c r="Z255" s="374" t="s">
        <v>211</v>
      </c>
      <c r="AA255" s="384"/>
      <c r="AB255" s="384"/>
      <c r="AC255" s="384"/>
      <c r="AD255" s="384"/>
      <c r="AE255" s="384"/>
      <c r="AF255" s="385" t="s">
        <v>212</v>
      </c>
      <c r="AG255" s="386"/>
      <c r="AH255" s="384"/>
      <c r="AI255" s="387">
        <f>SQRT(AI254)</f>
        <v>9.0744043783431233E-2</v>
      </c>
      <c r="AJ255" s="388"/>
      <c r="AL255" s="374" t="s">
        <v>211</v>
      </c>
      <c r="AM255" s="384"/>
      <c r="AN255" s="384"/>
      <c r="AO255" s="384"/>
      <c r="AP255" s="384"/>
      <c r="AQ255" s="384"/>
      <c r="AR255" s="385" t="s">
        <v>212</v>
      </c>
      <c r="AS255" s="386"/>
      <c r="AT255" s="384"/>
      <c r="AU255" s="387">
        <f>SQRT(AU254)</f>
        <v>9.0744043783431233E-2</v>
      </c>
      <c r="AV255" s="388"/>
      <c r="AX255" s="374" t="s">
        <v>211</v>
      </c>
      <c r="AY255" s="384"/>
      <c r="AZ255" s="384"/>
      <c r="BA255" s="384"/>
      <c r="BB255" s="384"/>
      <c r="BC255" s="384"/>
      <c r="BD255" s="385" t="s">
        <v>212</v>
      </c>
      <c r="BE255" s="386"/>
      <c r="BF255" s="384"/>
      <c r="BG255" s="387">
        <f>SQRT(BG254)</f>
        <v>9.0744043783431233E-2</v>
      </c>
      <c r="BH255" s="388"/>
      <c r="BI255" s="402"/>
    </row>
    <row r="256" spans="1:61" ht="16.5" x14ac:dyDescent="0.4">
      <c r="A256" s="402"/>
      <c r="B256" s="374" t="s">
        <v>213</v>
      </c>
      <c r="C256" s="384"/>
      <c r="D256" s="384"/>
      <c r="E256" s="384"/>
      <c r="F256" s="384"/>
      <c r="G256" s="384"/>
      <c r="H256" s="389" t="s">
        <v>214</v>
      </c>
      <c r="I256" s="390"/>
      <c r="J256" s="384"/>
      <c r="K256" s="375">
        <f>K255^4/L254</f>
        <v>4.9221354282547445</v>
      </c>
      <c r="L256" s="388"/>
      <c r="N256" s="374" t="s">
        <v>213</v>
      </c>
      <c r="O256" s="384"/>
      <c r="P256" s="384"/>
      <c r="Q256" s="384"/>
      <c r="R256" s="384"/>
      <c r="S256" s="384"/>
      <c r="T256" s="389" t="s">
        <v>214</v>
      </c>
      <c r="U256" s="390"/>
      <c r="V256" s="384"/>
      <c r="W256" s="375">
        <f>W255^4/X254</f>
        <v>4.3175142040145547</v>
      </c>
      <c r="X256" s="388"/>
      <c r="Z256" s="374" t="s">
        <v>213</v>
      </c>
      <c r="AA256" s="384"/>
      <c r="AB256" s="384"/>
      <c r="AC256" s="384"/>
      <c r="AD256" s="384"/>
      <c r="AE256" s="384"/>
      <c r="AF256" s="389" t="s">
        <v>214</v>
      </c>
      <c r="AG256" s="390"/>
      <c r="AH256" s="384"/>
      <c r="AI256" s="375">
        <f>AI255^4/AJ254</f>
        <v>4.947988540248172</v>
      </c>
      <c r="AJ256" s="388"/>
      <c r="AL256" s="374" t="s">
        <v>213</v>
      </c>
      <c r="AM256" s="384"/>
      <c r="AN256" s="384"/>
      <c r="AO256" s="384"/>
      <c r="AP256" s="384"/>
      <c r="AQ256" s="384"/>
      <c r="AR256" s="389" t="s">
        <v>214</v>
      </c>
      <c r="AS256" s="390"/>
      <c r="AT256" s="384"/>
      <c r="AU256" s="375">
        <f>AU255^4/AV254</f>
        <v>4.947988540248172</v>
      </c>
      <c r="AV256" s="388"/>
      <c r="AX256" s="374" t="s">
        <v>213</v>
      </c>
      <c r="AY256" s="384"/>
      <c r="AZ256" s="384"/>
      <c r="BA256" s="384"/>
      <c r="BB256" s="384"/>
      <c r="BC256" s="384"/>
      <c r="BD256" s="389" t="s">
        <v>214</v>
      </c>
      <c r="BE256" s="390"/>
      <c r="BF256" s="384"/>
      <c r="BG256" s="375">
        <f>BG255^4/BH254</f>
        <v>4.947988540248172</v>
      </c>
      <c r="BH256" s="388"/>
      <c r="BI256" s="402"/>
    </row>
    <row r="257" spans="1:61" x14ac:dyDescent="0.35">
      <c r="A257" s="402"/>
      <c r="B257" s="374" t="s">
        <v>215</v>
      </c>
      <c r="C257" s="384"/>
      <c r="D257" s="384"/>
      <c r="E257" s="384"/>
      <c r="F257" s="384"/>
      <c r="G257" s="384"/>
      <c r="H257" s="391" t="s">
        <v>216</v>
      </c>
      <c r="I257" s="392"/>
      <c r="J257" s="384"/>
      <c r="K257" s="377">
        <f>1.95996+(2.37356/K256)+(2.818745/K256^2)+(2.546662/K256^3)+(1.761829/K256^4)+(0.245458/K256^5)+(1.000764/K256^6)</f>
        <v>2.5830393029524852</v>
      </c>
      <c r="L257" s="393">
        <f>TINV(0.05,K256)</f>
        <v>2.7764451051977934</v>
      </c>
      <c r="N257" s="374" t="s">
        <v>215</v>
      </c>
      <c r="O257" s="384"/>
      <c r="P257" s="384"/>
      <c r="Q257" s="384"/>
      <c r="R257" s="384"/>
      <c r="S257" s="384"/>
      <c r="T257" s="391" t="s">
        <v>216</v>
      </c>
      <c r="U257" s="392"/>
      <c r="V257" s="384"/>
      <c r="W257" s="377">
        <f>1.95996+(2.37356/W256)+(2.818745/W256^2)+(2.546662/W256^3)+(1.761829/W256^4)+(0.245458/W256^5)+(1.000764/W256^6)</f>
        <v>2.6979550031905477</v>
      </c>
      <c r="X257" s="393">
        <f>TINV(0.05,W256)</f>
        <v>2.7764451051977934</v>
      </c>
      <c r="Z257" s="374" t="s">
        <v>215</v>
      </c>
      <c r="AA257" s="384"/>
      <c r="AB257" s="384"/>
      <c r="AC257" s="384"/>
      <c r="AD257" s="384"/>
      <c r="AE257" s="384"/>
      <c r="AF257" s="391" t="s">
        <v>216</v>
      </c>
      <c r="AG257" s="392"/>
      <c r="AH257" s="384"/>
      <c r="AI257" s="377">
        <f>1.95996+(2.37356/AI256)+(2.818745/AI256^2)+(2.546662/AI256^3)+(1.761829/AI256^4)+(0.245458/AI256^5)+(1.000764/AI256^6)</f>
        <v>2.5789074647466537</v>
      </c>
      <c r="AJ257" s="393">
        <f>TINV(0.05,AI256)</f>
        <v>2.7764451051977934</v>
      </c>
      <c r="AL257" s="374" t="s">
        <v>215</v>
      </c>
      <c r="AM257" s="384"/>
      <c r="AN257" s="384"/>
      <c r="AO257" s="384"/>
      <c r="AP257" s="384"/>
      <c r="AQ257" s="384"/>
      <c r="AR257" s="391" t="s">
        <v>216</v>
      </c>
      <c r="AS257" s="392"/>
      <c r="AT257" s="384"/>
      <c r="AU257" s="377">
        <f>1.95996+(2.37356/AU256)+(2.818745/AU256^2)+(2.546662/AU256^3)+(1.761829/AU256^4)+(0.245458/AU256^5)+(1.000764/AU256^6)</f>
        <v>2.5789074647466537</v>
      </c>
      <c r="AV257" s="393">
        <f>TINV(0.05,AU256)</f>
        <v>2.7764451051977934</v>
      </c>
      <c r="AX257" s="374" t="s">
        <v>215</v>
      </c>
      <c r="AY257" s="384"/>
      <c r="AZ257" s="384"/>
      <c r="BA257" s="384"/>
      <c r="BB257" s="384"/>
      <c r="BC257" s="384"/>
      <c r="BD257" s="391" t="s">
        <v>216</v>
      </c>
      <c r="BE257" s="392"/>
      <c r="BF257" s="384"/>
      <c r="BG257" s="377">
        <f>1.95996+(2.37356/BG256)+(2.818745/BG256^2)+(2.546662/BG256^3)+(1.761829/BG256^4)+(0.245458/BG256^5)+(1.000764/BG256^6)</f>
        <v>2.5789074647466537</v>
      </c>
      <c r="BH257" s="393">
        <f>TINV(0.05,BG256)</f>
        <v>2.7764451051977934</v>
      </c>
      <c r="BI257" s="402"/>
    </row>
    <row r="258" spans="1:61" ht="15.5" x14ac:dyDescent="0.35">
      <c r="A258" s="402"/>
      <c r="B258" s="374" t="s">
        <v>217</v>
      </c>
      <c r="C258" s="384"/>
      <c r="D258" s="384"/>
      <c r="E258" s="384"/>
      <c r="F258" s="384"/>
      <c r="G258" s="384"/>
      <c r="H258" s="394" t="s">
        <v>218</v>
      </c>
      <c r="I258" s="395"/>
      <c r="J258" s="384"/>
      <c r="K258" s="398">
        <f>K257*K255</f>
        <v>0.23722780049395045</v>
      </c>
      <c r="L258" s="19" t="str">
        <f>D248</f>
        <v>µA</v>
      </c>
      <c r="N258" s="374" t="s">
        <v>217</v>
      </c>
      <c r="O258" s="384"/>
      <c r="P258" s="384"/>
      <c r="Q258" s="384"/>
      <c r="R258" s="384"/>
      <c r="S258" s="384"/>
      <c r="T258" s="394" t="s">
        <v>218</v>
      </c>
      <c r="U258" s="395"/>
      <c r="V258" s="384"/>
      <c r="W258" s="398">
        <f>W257*W255</f>
        <v>0.40229830722232779</v>
      </c>
      <c r="X258" s="19" t="str">
        <f>P248</f>
        <v>µA</v>
      </c>
      <c r="Z258" s="374" t="s">
        <v>217</v>
      </c>
      <c r="AA258" s="384"/>
      <c r="AB258" s="384"/>
      <c r="AC258" s="384"/>
      <c r="AD258" s="384"/>
      <c r="AE258" s="384"/>
      <c r="AF258" s="394" t="s">
        <v>218</v>
      </c>
      <c r="AG258" s="395"/>
      <c r="AH258" s="384"/>
      <c r="AI258" s="398">
        <f>AI257*AI255</f>
        <v>0.23402049189438798</v>
      </c>
      <c r="AJ258" s="19" t="str">
        <f>AB248</f>
        <v>µA</v>
      </c>
      <c r="AL258" s="374" t="s">
        <v>217</v>
      </c>
      <c r="AM258" s="384"/>
      <c r="AN258" s="384"/>
      <c r="AO258" s="384"/>
      <c r="AP258" s="384"/>
      <c r="AQ258" s="384"/>
      <c r="AR258" s="394" t="s">
        <v>218</v>
      </c>
      <c r="AS258" s="395"/>
      <c r="AT258" s="384"/>
      <c r="AU258" s="398">
        <f>AU257*AU255</f>
        <v>0.23402049189438798</v>
      </c>
      <c r="AV258" s="19" t="str">
        <f>AN248</f>
        <v>µA</v>
      </c>
      <c r="AX258" s="374" t="s">
        <v>217</v>
      </c>
      <c r="AY258" s="384"/>
      <c r="AZ258" s="384"/>
      <c r="BA258" s="384"/>
      <c r="BB258" s="384"/>
      <c r="BC258" s="384"/>
      <c r="BD258" s="394" t="s">
        <v>218</v>
      </c>
      <c r="BE258" s="395"/>
      <c r="BF258" s="384"/>
      <c r="BG258" s="398">
        <f>BG257*BG255</f>
        <v>0.23402049189438798</v>
      </c>
      <c r="BH258" s="19" t="str">
        <f>AZ248</f>
        <v>µA</v>
      </c>
      <c r="BI258" s="402"/>
    </row>
    <row r="259" spans="1:61" x14ac:dyDescent="0.35">
      <c r="A259" s="402"/>
      <c r="B259" s="396"/>
      <c r="C259" s="396"/>
      <c r="D259" s="396"/>
      <c r="E259" s="396"/>
      <c r="F259" s="396"/>
      <c r="G259" s="396"/>
      <c r="H259" s="396"/>
      <c r="I259" s="396"/>
      <c r="J259" s="396"/>
      <c r="K259" s="388">
        <f>(K258/C248)*100</f>
        <v>23.722780049395045</v>
      </c>
      <c r="L259" s="19" t="s">
        <v>219</v>
      </c>
      <c r="N259" s="396"/>
      <c r="O259" s="396"/>
      <c r="P259" s="396"/>
      <c r="Q259" s="396"/>
      <c r="R259" s="396"/>
      <c r="S259" s="396"/>
      <c r="T259" s="396"/>
      <c r="U259" s="396"/>
      <c r="V259" s="396"/>
      <c r="W259" s="388">
        <f>(W258/O248)*100</f>
        <v>40.229830722232776</v>
      </c>
      <c r="X259" s="19" t="s">
        <v>219</v>
      </c>
      <c r="Z259" s="396"/>
      <c r="AA259" s="396"/>
      <c r="AB259" s="396"/>
      <c r="AC259" s="396"/>
      <c r="AD259" s="396"/>
      <c r="AE259" s="396"/>
      <c r="AF259" s="396"/>
      <c r="AG259" s="396"/>
      <c r="AH259" s="396"/>
      <c r="AI259" s="388">
        <f>(AI258/AA248)*100</f>
        <v>23.402049189438799</v>
      </c>
      <c r="AJ259" s="19" t="s">
        <v>219</v>
      </c>
      <c r="AL259" s="396"/>
      <c r="AM259" s="396"/>
      <c r="AN259" s="396"/>
      <c r="AO259" s="396"/>
      <c r="AP259" s="396"/>
      <c r="AQ259" s="396"/>
      <c r="AR259" s="396"/>
      <c r="AS259" s="396"/>
      <c r="AT259" s="396"/>
      <c r="AU259" s="388">
        <f>(AU258/AM248)*100</f>
        <v>23.402049189438799</v>
      </c>
      <c r="AV259" s="19" t="s">
        <v>219</v>
      </c>
      <c r="AX259" s="396"/>
      <c r="AY259" s="396"/>
      <c r="AZ259" s="396"/>
      <c r="BA259" s="396"/>
      <c r="BB259" s="396"/>
      <c r="BC259" s="396"/>
      <c r="BD259" s="396"/>
      <c r="BE259" s="396"/>
      <c r="BF259" s="396"/>
      <c r="BG259" s="388">
        <f>(BG258/AY248)*100</f>
        <v>23.402049189438799</v>
      </c>
      <c r="BH259" s="19" t="s">
        <v>219</v>
      </c>
      <c r="BI259" s="402"/>
    </row>
    <row r="260" spans="1:61" x14ac:dyDescent="0.35">
      <c r="A260" s="402"/>
      <c r="B260" s="396" t="s">
        <v>193</v>
      </c>
      <c r="C260" s="77">
        <f>ID!D74</f>
        <v>50</v>
      </c>
      <c r="D260" s="397" t="s">
        <v>222</v>
      </c>
      <c r="N260" s="396" t="s">
        <v>193</v>
      </c>
      <c r="O260" s="77">
        <f>ID!D81</f>
        <v>50</v>
      </c>
      <c r="P260" s="397" t="s">
        <v>222</v>
      </c>
      <c r="Z260" s="396" t="s">
        <v>193</v>
      </c>
      <c r="AA260" s="77">
        <f>ID!D88</f>
        <v>50</v>
      </c>
      <c r="AB260" s="397" t="s">
        <v>222</v>
      </c>
      <c r="AL260" s="396" t="s">
        <v>193</v>
      </c>
      <c r="AM260" s="77">
        <f>ID!D95</f>
        <v>50</v>
      </c>
      <c r="AN260" s="397" t="s">
        <v>222</v>
      </c>
      <c r="AX260" s="396" t="s">
        <v>193</v>
      </c>
      <c r="AY260" s="77">
        <f>ID!D102</f>
        <v>50</v>
      </c>
      <c r="AZ260" s="397" t="s">
        <v>222</v>
      </c>
      <c r="BI260" s="402"/>
    </row>
    <row r="261" spans="1:61" x14ac:dyDescent="0.35">
      <c r="A261" s="402"/>
      <c r="B261" s="372" t="s">
        <v>194</v>
      </c>
      <c r="C261" s="373" t="s">
        <v>72</v>
      </c>
      <c r="D261" s="373" t="s">
        <v>195</v>
      </c>
      <c r="E261" s="372" t="s">
        <v>196</v>
      </c>
      <c r="F261" s="372" t="s">
        <v>197</v>
      </c>
      <c r="G261" s="372" t="s">
        <v>198</v>
      </c>
      <c r="H261" s="372" t="s">
        <v>199</v>
      </c>
      <c r="I261" s="372" t="s">
        <v>200</v>
      </c>
      <c r="J261" s="372" t="s">
        <v>201</v>
      </c>
      <c r="K261" s="372" t="s">
        <v>202</v>
      </c>
      <c r="L261" s="373" t="s">
        <v>203</v>
      </c>
      <c r="N261" s="372" t="s">
        <v>194</v>
      </c>
      <c r="O261" s="373" t="s">
        <v>72</v>
      </c>
      <c r="P261" s="373" t="s">
        <v>195</v>
      </c>
      <c r="Q261" s="372" t="s">
        <v>196</v>
      </c>
      <c r="R261" s="372" t="s">
        <v>197</v>
      </c>
      <c r="S261" s="372" t="s">
        <v>198</v>
      </c>
      <c r="T261" s="372" t="s">
        <v>199</v>
      </c>
      <c r="U261" s="372" t="s">
        <v>200</v>
      </c>
      <c r="V261" s="372" t="s">
        <v>201</v>
      </c>
      <c r="W261" s="372" t="s">
        <v>202</v>
      </c>
      <c r="X261" s="373" t="s">
        <v>203</v>
      </c>
      <c r="Z261" s="372" t="s">
        <v>194</v>
      </c>
      <c r="AA261" s="373" t="s">
        <v>72</v>
      </c>
      <c r="AB261" s="373" t="s">
        <v>195</v>
      </c>
      <c r="AC261" s="372" t="s">
        <v>196</v>
      </c>
      <c r="AD261" s="372" t="s">
        <v>197</v>
      </c>
      <c r="AE261" s="372" t="s">
        <v>198</v>
      </c>
      <c r="AF261" s="372" t="s">
        <v>199</v>
      </c>
      <c r="AG261" s="372" t="s">
        <v>200</v>
      </c>
      <c r="AH261" s="372" t="s">
        <v>201</v>
      </c>
      <c r="AI261" s="372" t="s">
        <v>202</v>
      </c>
      <c r="AJ261" s="373" t="s">
        <v>203</v>
      </c>
      <c r="AL261" s="372" t="s">
        <v>194</v>
      </c>
      <c r="AM261" s="373" t="s">
        <v>72</v>
      </c>
      <c r="AN261" s="373" t="s">
        <v>195</v>
      </c>
      <c r="AO261" s="372" t="s">
        <v>196</v>
      </c>
      <c r="AP261" s="372" t="s">
        <v>197</v>
      </c>
      <c r="AQ261" s="372" t="s">
        <v>198</v>
      </c>
      <c r="AR261" s="372" t="s">
        <v>199</v>
      </c>
      <c r="AS261" s="372" t="s">
        <v>200</v>
      </c>
      <c r="AT261" s="372" t="s">
        <v>201</v>
      </c>
      <c r="AU261" s="372" t="s">
        <v>202</v>
      </c>
      <c r="AV261" s="373" t="s">
        <v>203</v>
      </c>
      <c r="AX261" s="372" t="s">
        <v>194</v>
      </c>
      <c r="AY261" s="373" t="s">
        <v>72</v>
      </c>
      <c r="AZ261" s="373" t="s">
        <v>195</v>
      </c>
      <c r="BA261" s="372" t="s">
        <v>196</v>
      </c>
      <c r="BB261" s="372" t="s">
        <v>197</v>
      </c>
      <c r="BC261" s="372" t="s">
        <v>198</v>
      </c>
      <c r="BD261" s="372" t="s">
        <v>199</v>
      </c>
      <c r="BE261" s="372" t="s">
        <v>200</v>
      </c>
      <c r="BF261" s="372" t="s">
        <v>201</v>
      </c>
      <c r="BG261" s="372" t="s">
        <v>202</v>
      </c>
      <c r="BH261" s="373" t="s">
        <v>203</v>
      </c>
      <c r="BI261" s="402"/>
    </row>
    <row r="262" spans="1:61" x14ac:dyDescent="0.35">
      <c r="A262" s="402"/>
      <c r="B262" s="374" t="s">
        <v>223</v>
      </c>
      <c r="C262" s="19" t="str">
        <f>D260</f>
        <v>µA</v>
      </c>
      <c r="D262" s="375" t="s">
        <v>205</v>
      </c>
      <c r="E262" s="376">
        <f>'Sert Time Electronics'!X134</f>
        <v>0.16431676725155023</v>
      </c>
      <c r="F262" s="377">
        <f>SQRT(5)</f>
        <v>2.2360679774997898</v>
      </c>
      <c r="G262" s="375">
        <f>5-1</f>
        <v>4</v>
      </c>
      <c r="H262" s="377">
        <f>E262/F262</f>
        <v>7.3484692283495509E-2</v>
      </c>
      <c r="I262" s="375">
        <v>1</v>
      </c>
      <c r="J262" s="377">
        <f>H262*I262</f>
        <v>7.3484692283495509E-2</v>
      </c>
      <c r="K262" s="378">
        <f>J262^2</f>
        <v>5.4000000000000246E-3</v>
      </c>
      <c r="L262" s="379">
        <f>K262^2/G262</f>
        <v>7.2900000000000666E-6</v>
      </c>
      <c r="N262" s="374" t="s">
        <v>223</v>
      </c>
      <c r="O262" s="19" t="str">
        <f>P260</f>
        <v>µA</v>
      </c>
      <c r="P262" s="375" t="s">
        <v>205</v>
      </c>
      <c r="Q262" s="376">
        <f>'Sert Time Electronics'!X142</f>
        <v>0.2949576240750536</v>
      </c>
      <c r="R262" s="377">
        <f>SQRT(5)</f>
        <v>2.2360679774997898</v>
      </c>
      <c r="S262" s="375">
        <f>5-1</f>
        <v>4</v>
      </c>
      <c r="T262" s="377">
        <f>Q262/R262</f>
        <v>0.13190905958272967</v>
      </c>
      <c r="U262" s="375">
        <v>1</v>
      </c>
      <c r="V262" s="377">
        <f>T262*U262</f>
        <v>0.13190905958272967</v>
      </c>
      <c r="W262" s="378">
        <f>V262^2</f>
        <v>1.7400000000000124E-2</v>
      </c>
      <c r="X262" s="379">
        <f>W262^2/S262</f>
        <v>7.5690000000001073E-5</v>
      </c>
      <c r="Z262" s="374" t="s">
        <v>223</v>
      </c>
      <c r="AA262" s="19" t="str">
        <f>AB260</f>
        <v>µA</v>
      </c>
      <c r="AB262" s="375" t="s">
        <v>205</v>
      </c>
      <c r="AC262" s="376">
        <f>'Sert Time Electronics'!X150</f>
        <v>0.15811388300842122</v>
      </c>
      <c r="AD262" s="377">
        <f>SQRT(5)</f>
        <v>2.2360679774997898</v>
      </c>
      <c r="AE262" s="375">
        <f>5-1</f>
        <v>4</v>
      </c>
      <c r="AF262" s="377">
        <f>AC262/AD262</f>
        <v>7.0710678118655751E-2</v>
      </c>
      <c r="AG262" s="375">
        <v>1</v>
      </c>
      <c r="AH262" s="377">
        <f>AF262*AG262</f>
        <v>7.0710678118655751E-2</v>
      </c>
      <c r="AI262" s="378">
        <f>AH262^2</f>
        <v>5.0000000000001415E-3</v>
      </c>
      <c r="AJ262" s="379">
        <f>AI262^2/AE262</f>
        <v>6.2500000000003535E-6</v>
      </c>
      <c r="AL262" s="374" t="s">
        <v>223</v>
      </c>
      <c r="AM262" s="19" t="str">
        <f>AN260</f>
        <v>µA</v>
      </c>
      <c r="AN262" s="375" t="s">
        <v>205</v>
      </c>
      <c r="AO262" s="376">
        <f>'Sert Time Electronics'!X158</f>
        <v>0.15811388300842122</v>
      </c>
      <c r="AP262" s="377">
        <f>SQRT(5)</f>
        <v>2.2360679774997898</v>
      </c>
      <c r="AQ262" s="375">
        <f>5-1</f>
        <v>4</v>
      </c>
      <c r="AR262" s="377">
        <f>AO262/AP262</f>
        <v>7.0710678118655751E-2</v>
      </c>
      <c r="AS262" s="375">
        <v>1</v>
      </c>
      <c r="AT262" s="377">
        <f>AR262*AS262</f>
        <v>7.0710678118655751E-2</v>
      </c>
      <c r="AU262" s="378">
        <f>AT262^2</f>
        <v>5.0000000000001415E-3</v>
      </c>
      <c r="AV262" s="379">
        <f>AU262^2/AQ262</f>
        <v>6.2500000000003535E-6</v>
      </c>
      <c r="AX262" s="374" t="s">
        <v>223</v>
      </c>
      <c r="AY262" s="19" t="str">
        <f>AZ260</f>
        <v>µA</v>
      </c>
      <c r="AZ262" s="375" t="s">
        <v>205</v>
      </c>
      <c r="BA262" s="376">
        <f>'Sert Time Electronics'!X166</f>
        <v>0.15811388300842122</v>
      </c>
      <c r="BB262" s="377">
        <f>SQRT(5)</f>
        <v>2.2360679774997898</v>
      </c>
      <c r="BC262" s="375">
        <f>5-1</f>
        <v>4</v>
      </c>
      <c r="BD262" s="377">
        <f>BA262/BB262</f>
        <v>7.0710678118655751E-2</v>
      </c>
      <c r="BE262" s="375">
        <v>1</v>
      </c>
      <c r="BF262" s="377">
        <f>BD262*BE262</f>
        <v>7.0710678118655751E-2</v>
      </c>
      <c r="BG262" s="378">
        <f>BF262^2</f>
        <v>5.0000000000001415E-3</v>
      </c>
      <c r="BH262" s="379">
        <f>BG262^2/BC262</f>
        <v>6.2500000000003535E-6</v>
      </c>
      <c r="BI262" s="402"/>
    </row>
    <row r="263" spans="1:61" x14ac:dyDescent="0.35">
      <c r="A263" s="402"/>
      <c r="B263" s="380" t="s">
        <v>206</v>
      </c>
      <c r="C263" s="19" t="str">
        <f>C262</f>
        <v>µA</v>
      </c>
      <c r="D263" s="375" t="s">
        <v>205</v>
      </c>
      <c r="E263" s="381">
        <f>'Sert Time Electronics'!AA134</f>
        <v>7.3275809332029901E-2</v>
      </c>
      <c r="F263" s="377">
        <v>2</v>
      </c>
      <c r="G263" s="375">
        <f>0.5*(100/10)^2</f>
        <v>50</v>
      </c>
      <c r="H263" s="377">
        <f>E263/F263</f>
        <v>3.663790466601495E-2</v>
      </c>
      <c r="I263" s="375">
        <v>1</v>
      </c>
      <c r="J263" s="377">
        <f>H263*I263</f>
        <v>3.663790466601495E-2</v>
      </c>
      <c r="K263" s="378">
        <f>J263^2</f>
        <v>1.342336058316E-3</v>
      </c>
      <c r="L263" s="379">
        <f>K263^2/G263</f>
        <v>3.6037321869106712E-8</v>
      </c>
      <c r="N263" s="380" t="s">
        <v>206</v>
      </c>
      <c r="O263" s="19" t="str">
        <f>O262</f>
        <v>µA</v>
      </c>
      <c r="P263" s="375" t="s">
        <v>205</v>
      </c>
      <c r="Q263" s="381">
        <f>'Sert Time Electronics'!AA142</f>
        <v>7.2985480172221354E-2</v>
      </c>
      <c r="R263" s="377">
        <v>2</v>
      </c>
      <c r="S263" s="375">
        <f>0.5*(100/10)^2</f>
        <v>50</v>
      </c>
      <c r="T263" s="377">
        <f>Q263/R263</f>
        <v>3.6492740086110677E-2</v>
      </c>
      <c r="U263" s="375">
        <v>1</v>
      </c>
      <c r="V263" s="377">
        <f>T263*U263</f>
        <v>3.6492740086110677E-2</v>
      </c>
      <c r="W263" s="378">
        <f>V263^2</f>
        <v>1.3317200789924291E-3</v>
      </c>
      <c r="X263" s="379">
        <f>W263^2/S263</f>
        <v>3.5469567375832036E-8</v>
      </c>
      <c r="Z263" s="380" t="s">
        <v>206</v>
      </c>
      <c r="AA263" s="19" t="str">
        <f>AA262</f>
        <v>µA</v>
      </c>
      <c r="AB263" s="375" t="s">
        <v>205</v>
      </c>
      <c r="AC263" s="381">
        <f>'Sert Time Electronics'!AA150</f>
        <v>7.3101611836144789E-2</v>
      </c>
      <c r="AD263" s="377">
        <v>2</v>
      </c>
      <c r="AE263" s="375">
        <f>0.5*(100/10)^2</f>
        <v>50</v>
      </c>
      <c r="AF263" s="377">
        <f>AC263/AD263</f>
        <v>3.6550805918072395E-2</v>
      </c>
      <c r="AG263" s="375">
        <v>1</v>
      </c>
      <c r="AH263" s="377">
        <f>AF263*AG263</f>
        <v>3.6550805918072395E-2</v>
      </c>
      <c r="AI263" s="378">
        <f>AH263^2</f>
        <v>1.335961413260596E-3</v>
      </c>
      <c r="AJ263" s="379">
        <f>AI263^2/AE263</f>
        <v>3.5695857954424981E-8</v>
      </c>
      <c r="AL263" s="380" t="s">
        <v>206</v>
      </c>
      <c r="AM263" s="19" t="str">
        <f>AM262</f>
        <v>µA</v>
      </c>
      <c r="AN263" s="375" t="s">
        <v>205</v>
      </c>
      <c r="AO263" s="381">
        <f>'Sert Time Electronics'!AA158</f>
        <v>7.3101611836144789E-2</v>
      </c>
      <c r="AP263" s="377">
        <v>2</v>
      </c>
      <c r="AQ263" s="375">
        <f>0.5*(100/10)^2</f>
        <v>50</v>
      </c>
      <c r="AR263" s="377">
        <f>AO263/AP263</f>
        <v>3.6550805918072395E-2</v>
      </c>
      <c r="AS263" s="375">
        <v>1</v>
      </c>
      <c r="AT263" s="377">
        <f>AR263*AS263</f>
        <v>3.6550805918072395E-2</v>
      </c>
      <c r="AU263" s="378">
        <f>AT263^2</f>
        <v>1.335961413260596E-3</v>
      </c>
      <c r="AV263" s="379">
        <f>AU263^2/AQ263</f>
        <v>3.5695857954424981E-8</v>
      </c>
      <c r="AX263" s="380" t="s">
        <v>206</v>
      </c>
      <c r="AY263" s="19" t="str">
        <f>AY262</f>
        <v>µA</v>
      </c>
      <c r="AZ263" s="375" t="s">
        <v>205</v>
      </c>
      <c r="BA263" s="381">
        <f>'Sert Time Electronics'!AA166</f>
        <v>7.3101611836144789E-2</v>
      </c>
      <c r="BB263" s="377">
        <v>2</v>
      </c>
      <c r="BC263" s="375">
        <f>0.5*(100/10)^2</f>
        <v>50</v>
      </c>
      <c r="BD263" s="377">
        <f>BA263/BB263</f>
        <v>3.6550805918072395E-2</v>
      </c>
      <c r="BE263" s="375">
        <v>1</v>
      </c>
      <c r="BF263" s="377">
        <f>BD263*BE263</f>
        <v>3.6550805918072395E-2</v>
      </c>
      <c r="BG263" s="378">
        <f>BF263^2</f>
        <v>1.335961413260596E-3</v>
      </c>
      <c r="BH263" s="379">
        <f>BG263^2/BC263</f>
        <v>3.5695857954424981E-8</v>
      </c>
      <c r="BI263" s="402"/>
    </row>
    <row r="264" spans="1:61" x14ac:dyDescent="0.35">
      <c r="A264" s="402"/>
      <c r="B264" s="380" t="s">
        <v>207</v>
      </c>
      <c r="C264" s="19" t="str">
        <f>C263</f>
        <v>µA</v>
      </c>
      <c r="D264" s="375" t="s">
        <v>208</v>
      </c>
      <c r="E264" s="382">
        <f>'Sert Time Electronics'!Y134</f>
        <v>0.05</v>
      </c>
      <c r="F264" s="377">
        <f>SQRT(3)</f>
        <v>1.7320508075688772</v>
      </c>
      <c r="G264" s="375">
        <v>50</v>
      </c>
      <c r="H264" s="377">
        <f>E264/F264</f>
        <v>2.8867513459481291E-2</v>
      </c>
      <c r="I264" s="375">
        <v>1</v>
      </c>
      <c r="J264" s="377">
        <f>H264*I264</f>
        <v>2.8867513459481291E-2</v>
      </c>
      <c r="K264" s="378">
        <f>J264^2</f>
        <v>8.333333333333335E-4</v>
      </c>
      <c r="L264" s="379">
        <f>K264^2/G264</f>
        <v>1.3888888888888894E-8</v>
      </c>
      <c r="N264" s="380" t="s">
        <v>207</v>
      </c>
      <c r="O264" s="19" t="str">
        <f>O263</f>
        <v>µA</v>
      </c>
      <c r="P264" s="375" t="s">
        <v>208</v>
      </c>
      <c r="Q264" s="382">
        <f>'Sert Time Electronics'!Y142</f>
        <v>0.05</v>
      </c>
      <c r="R264" s="377">
        <f>SQRT(3)</f>
        <v>1.7320508075688772</v>
      </c>
      <c r="S264" s="375">
        <v>50</v>
      </c>
      <c r="T264" s="377">
        <f>Q264/R264</f>
        <v>2.8867513459481291E-2</v>
      </c>
      <c r="U264" s="375">
        <v>1</v>
      </c>
      <c r="V264" s="377">
        <f>T264*U264</f>
        <v>2.8867513459481291E-2</v>
      </c>
      <c r="W264" s="378">
        <f>V264^2</f>
        <v>8.333333333333335E-4</v>
      </c>
      <c r="X264" s="379">
        <f>W264^2/S264</f>
        <v>1.3888888888888894E-8</v>
      </c>
      <c r="Z264" s="380" t="s">
        <v>207</v>
      </c>
      <c r="AA264" s="19" t="str">
        <f>AA263</f>
        <v>µA</v>
      </c>
      <c r="AB264" s="375" t="s">
        <v>208</v>
      </c>
      <c r="AC264" s="382">
        <f>'Sert Time Electronics'!Y150</f>
        <v>0.05</v>
      </c>
      <c r="AD264" s="377">
        <f>SQRT(3)</f>
        <v>1.7320508075688772</v>
      </c>
      <c r="AE264" s="375">
        <v>50</v>
      </c>
      <c r="AF264" s="377">
        <f>AC264/AD264</f>
        <v>2.8867513459481291E-2</v>
      </c>
      <c r="AG264" s="375">
        <v>1</v>
      </c>
      <c r="AH264" s="377">
        <f>AF264*AG264</f>
        <v>2.8867513459481291E-2</v>
      </c>
      <c r="AI264" s="378">
        <f>AH264^2</f>
        <v>8.333333333333335E-4</v>
      </c>
      <c r="AJ264" s="379">
        <f>AI264^2/AE264</f>
        <v>1.3888888888888894E-8</v>
      </c>
      <c r="AL264" s="380" t="s">
        <v>207</v>
      </c>
      <c r="AM264" s="19" t="str">
        <f>AM263</f>
        <v>µA</v>
      </c>
      <c r="AN264" s="375" t="s">
        <v>208</v>
      </c>
      <c r="AO264" s="382">
        <f>'Sert Time Electronics'!Y158</f>
        <v>0.05</v>
      </c>
      <c r="AP264" s="377">
        <f>SQRT(3)</f>
        <v>1.7320508075688772</v>
      </c>
      <c r="AQ264" s="375">
        <v>50</v>
      </c>
      <c r="AR264" s="377">
        <f>AO264/AP264</f>
        <v>2.8867513459481291E-2</v>
      </c>
      <c r="AS264" s="375">
        <v>1</v>
      </c>
      <c r="AT264" s="377">
        <f>AR264*AS264</f>
        <v>2.8867513459481291E-2</v>
      </c>
      <c r="AU264" s="378">
        <f>AT264^2</f>
        <v>8.333333333333335E-4</v>
      </c>
      <c r="AV264" s="379">
        <f>AU264^2/AQ264</f>
        <v>1.3888888888888894E-8</v>
      </c>
      <c r="AX264" s="380" t="s">
        <v>207</v>
      </c>
      <c r="AY264" s="19" t="str">
        <f>AY263</f>
        <v>µA</v>
      </c>
      <c r="AZ264" s="375" t="s">
        <v>208</v>
      </c>
      <c r="BA264" s="382">
        <f>'Sert Time Electronics'!Y166</f>
        <v>0.05</v>
      </c>
      <c r="BB264" s="377">
        <f>SQRT(3)</f>
        <v>1.7320508075688772</v>
      </c>
      <c r="BC264" s="375">
        <v>50</v>
      </c>
      <c r="BD264" s="377">
        <f>BA264/BB264</f>
        <v>2.8867513459481291E-2</v>
      </c>
      <c r="BE264" s="375">
        <v>1</v>
      </c>
      <c r="BF264" s="377">
        <f>BD264*BE264</f>
        <v>2.8867513459481291E-2</v>
      </c>
      <c r="BG264" s="378">
        <f>BF264^2</f>
        <v>8.333333333333335E-4</v>
      </c>
      <c r="BH264" s="379">
        <f>BG264^2/BC264</f>
        <v>1.3888888888888894E-8</v>
      </c>
      <c r="BI264" s="402"/>
    </row>
    <row r="265" spans="1:61" x14ac:dyDescent="0.35">
      <c r="A265" s="402"/>
      <c r="B265" s="383" t="s">
        <v>209</v>
      </c>
      <c r="C265" s="19" t="str">
        <f>C264</f>
        <v>µA</v>
      </c>
      <c r="D265" s="375" t="s">
        <v>208</v>
      </c>
      <c r="E265" s="381">
        <f>'Sert Time Electronics'!Z134</f>
        <v>2.4425269777343304E-2</v>
      </c>
      <c r="F265" s="377">
        <f>SQRT(3)</f>
        <v>1.7320508075688772</v>
      </c>
      <c r="G265" s="375">
        <v>50</v>
      </c>
      <c r="H265" s="377">
        <f>E265/F265</f>
        <v>1.4101936080978388E-2</v>
      </c>
      <c r="I265" s="375">
        <v>1</v>
      </c>
      <c r="J265" s="377">
        <f>H265*I265</f>
        <v>1.4101936080978388E-2</v>
      </c>
      <c r="K265" s="378">
        <f>J265^2</f>
        <v>1.988646012320001E-4</v>
      </c>
      <c r="L265" s="379">
        <f>K265^2/G265</f>
        <v>7.9094259246324824E-10</v>
      </c>
      <c r="N265" s="383" t="s">
        <v>209</v>
      </c>
      <c r="O265" s="19" t="str">
        <f>O264</f>
        <v>µA</v>
      </c>
      <c r="P265" s="375" t="s">
        <v>208</v>
      </c>
      <c r="Q265" s="381">
        <f>'Sert Time Electronics'!Z142</f>
        <v>2.4328493390740457E-2</v>
      </c>
      <c r="R265" s="377">
        <f>SQRT(3)</f>
        <v>1.7320508075688772</v>
      </c>
      <c r="S265" s="375">
        <v>50</v>
      </c>
      <c r="T265" s="377">
        <f>Q265/R265</f>
        <v>1.4046062208122035E-2</v>
      </c>
      <c r="U265" s="375">
        <v>1</v>
      </c>
      <c r="V265" s="377">
        <f>T265*U265</f>
        <v>1.4046062208122035E-2</v>
      </c>
      <c r="W265" s="378">
        <f>V265^2</f>
        <v>1.9729186355443406E-4</v>
      </c>
      <c r="X265" s="379">
        <f>W265^2/S265</f>
        <v>7.7848158849562847E-10</v>
      </c>
      <c r="Z265" s="383" t="s">
        <v>209</v>
      </c>
      <c r="AA265" s="19" t="str">
        <f>AA264</f>
        <v>µA</v>
      </c>
      <c r="AB265" s="375" t="s">
        <v>208</v>
      </c>
      <c r="AC265" s="381">
        <f>'Sert Time Electronics'!Z150</f>
        <v>2.43672039453816E-2</v>
      </c>
      <c r="AD265" s="377">
        <f>SQRT(3)</f>
        <v>1.7320508075688772</v>
      </c>
      <c r="AE265" s="375">
        <v>50</v>
      </c>
      <c r="AF265" s="377">
        <f>AC265/AD265</f>
        <v>1.4068411757264579E-2</v>
      </c>
      <c r="AG265" s="375">
        <v>1</v>
      </c>
      <c r="AH265" s="377">
        <f>AF265*AG265</f>
        <v>1.4068411757264579E-2</v>
      </c>
      <c r="AI265" s="378">
        <f>AH265^2</f>
        <v>1.9792020937194022E-4</v>
      </c>
      <c r="AJ265" s="379">
        <f>AI265^2/AE265</f>
        <v>7.8344818555665305E-10</v>
      </c>
      <c r="AL265" s="383" t="s">
        <v>209</v>
      </c>
      <c r="AM265" s="19" t="str">
        <f>AM264</f>
        <v>µA</v>
      </c>
      <c r="AN265" s="375" t="s">
        <v>208</v>
      </c>
      <c r="AO265" s="381">
        <f>'Sert Time Electronics'!Z158</f>
        <v>2.43672039453816E-2</v>
      </c>
      <c r="AP265" s="377">
        <f>SQRT(3)</f>
        <v>1.7320508075688772</v>
      </c>
      <c r="AQ265" s="375">
        <v>50</v>
      </c>
      <c r="AR265" s="377">
        <f>AO265/AP265</f>
        <v>1.4068411757264579E-2</v>
      </c>
      <c r="AS265" s="375">
        <v>1</v>
      </c>
      <c r="AT265" s="377">
        <f>AR265*AS265</f>
        <v>1.4068411757264579E-2</v>
      </c>
      <c r="AU265" s="378">
        <f>AT265^2</f>
        <v>1.9792020937194022E-4</v>
      </c>
      <c r="AV265" s="379">
        <f>AU265^2/AQ265</f>
        <v>7.8344818555665305E-10</v>
      </c>
      <c r="AX265" s="383" t="s">
        <v>209</v>
      </c>
      <c r="AY265" s="19" t="str">
        <f>AY264</f>
        <v>µA</v>
      </c>
      <c r="AZ265" s="375" t="s">
        <v>208</v>
      </c>
      <c r="BA265" s="381">
        <f>'Sert Time Electronics'!Z166</f>
        <v>2.43672039453816E-2</v>
      </c>
      <c r="BB265" s="377">
        <f>SQRT(3)</f>
        <v>1.7320508075688772</v>
      </c>
      <c r="BC265" s="375">
        <v>50</v>
      </c>
      <c r="BD265" s="377">
        <f>BA265/BB265</f>
        <v>1.4068411757264579E-2</v>
      </c>
      <c r="BE265" s="375">
        <v>1</v>
      </c>
      <c r="BF265" s="377">
        <f>BD265*BE265</f>
        <v>1.4068411757264579E-2</v>
      </c>
      <c r="BG265" s="378">
        <f>BF265^2</f>
        <v>1.9792020937194022E-4</v>
      </c>
      <c r="BH265" s="379">
        <f>BG265^2/BC265</f>
        <v>7.8344818555665305E-10</v>
      </c>
      <c r="BI265" s="402"/>
    </row>
    <row r="266" spans="1:61" x14ac:dyDescent="0.35">
      <c r="A266" s="402"/>
      <c r="B266" s="374" t="s">
        <v>210</v>
      </c>
      <c r="C266" s="384"/>
      <c r="D266" s="384"/>
      <c r="E266" s="384"/>
      <c r="F266" s="384"/>
      <c r="G266" s="384"/>
      <c r="H266" s="384"/>
      <c r="I266" s="384"/>
      <c r="J266" s="384"/>
      <c r="K266" s="378">
        <f>SUM(K262:K265)</f>
        <v>7.774533992881358E-3</v>
      </c>
      <c r="L266" s="379">
        <f>SUM(L262:L265)</f>
        <v>7.3407171533505257E-6</v>
      </c>
      <c r="N266" s="374" t="s">
        <v>210</v>
      </c>
      <c r="O266" s="384"/>
      <c r="P266" s="384"/>
      <c r="Q266" s="384"/>
      <c r="R266" s="384"/>
      <c r="S266" s="384"/>
      <c r="T266" s="384"/>
      <c r="U266" s="384"/>
      <c r="V266" s="384"/>
      <c r="W266" s="378">
        <f>SUM(W262:W265)</f>
        <v>1.9762345275880323E-2</v>
      </c>
      <c r="X266" s="379">
        <f>SUM(X262:X265)</f>
        <v>7.5740136937854288E-5</v>
      </c>
      <c r="Z266" s="374" t="s">
        <v>210</v>
      </c>
      <c r="AA266" s="384"/>
      <c r="AB266" s="384"/>
      <c r="AC266" s="384"/>
      <c r="AD266" s="384"/>
      <c r="AE266" s="384"/>
      <c r="AF266" s="384"/>
      <c r="AG266" s="384"/>
      <c r="AH266" s="384"/>
      <c r="AI266" s="378">
        <f>SUM(AI262:AI265)</f>
        <v>7.3672149559660116E-3</v>
      </c>
      <c r="AJ266" s="379">
        <f>SUM(AJ262:AJ265)</f>
        <v>6.3003681950292233E-6</v>
      </c>
      <c r="AL266" s="374" t="s">
        <v>210</v>
      </c>
      <c r="AM266" s="384"/>
      <c r="AN266" s="384"/>
      <c r="AO266" s="384"/>
      <c r="AP266" s="384"/>
      <c r="AQ266" s="384"/>
      <c r="AR266" s="384"/>
      <c r="AS266" s="384"/>
      <c r="AT266" s="384"/>
      <c r="AU266" s="378">
        <f>SUM(AU262:AU265)</f>
        <v>7.3672149559660116E-3</v>
      </c>
      <c r="AV266" s="379">
        <f>SUM(AV262:AV265)</f>
        <v>6.3003681950292233E-6</v>
      </c>
      <c r="AX266" s="374" t="s">
        <v>210</v>
      </c>
      <c r="AY266" s="384"/>
      <c r="AZ266" s="384"/>
      <c r="BA266" s="384"/>
      <c r="BB266" s="384"/>
      <c r="BC266" s="384"/>
      <c r="BD266" s="384"/>
      <c r="BE266" s="384"/>
      <c r="BF266" s="384"/>
      <c r="BG266" s="378">
        <f>SUM(BG262:BG265)</f>
        <v>7.3672149559660116E-3</v>
      </c>
      <c r="BH266" s="379">
        <f>SUM(BH262:BH265)</f>
        <v>6.3003681950292233E-6</v>
      </c>
      <c r="BI266" s="402"/>
    </row>
    <row r="267" spans="1:61" ht="15" x14ac:dyDescent="0.4">
      <c r="A267" s="402"/>
      <c r="B267" s="374" t="s">
        <v>211</v>
      </c>
      <c r="C267" s="384"/>
      <c r="D267" s="384"/>
      <c r="E267" s="384"/>
      <c r="F267" s="384"/>
      <c r="G267" s="384"/>
      <c r="H267" s="385" t="s">
        <v>212</v>
      </c>
      <c r="I267" s="386"/>
      <c r="J267" s="384"/>
      <c r="K267" s="387">
        <f>SQRT(K266)</f>
        <v>8.8173317919205907E-2</v>
      </c>
      <c r="L267" s="388"/>
      <c r="N267" s="374" t="s">
        <v>211</v>
      </c>
      <c r="O267" s="384"/>
      <c r="P267" s="384"/>
      <c r="Q267" s="384"/>
      <c r="R267" s="384"/>
      <c r="S267" s="384"/>
      <c r="T267" s="385" t="s">
        <v>212</v>
      </c>
      <c r="U267" s="386"/>
      <c r="V267" s="384"/>
      <c r="W267" s="387">
        <f>SQRT(W266)</f>
        <v>0.14057860888442567</v>
      </c>
      <c r="X267" s="388"/>
      <c r="Z267" s="374" t="s">
        <v>211</v>
      </c>
      <c r="AA267" s="384"/>
      <c r="AB267" s="384"/>
      <c r="AC267" s="384"/>
      <c r="AD267" s="384"/>
      <c r="AE267" s="384"/>
      <c r="AF267" s="385" t="s">
        <v>212</v>
      </c>
      <c r="AG267" s="386"/>
      <c r="AH267" s="384"/>
      <c r="AI267" s="387">
        <f>SQRT(AI266)</f>
        <v>8.5832481939916036E-2</v>
      </c>
      <c r="AJ267" s="388"/>
      <c r="AL267" s="374" t="s">
        <v>211</v>
      </c>
      <c r="AM267" s="384"/>
      <c r="AN267" s="384"/>
      <c r="AO267" s="384"/>
      <c r="AP267" s="384"/>
      <c r="AQ267" s="384"/>
      <c r="AR267" s="385" t="s">
        <v>212</v>
      </c>
      <c r="AS267" s="386"/>
      <c r="AT267" s="384"/>
      <c r="AU267" s="387">
        <f>SQRT(AU266)</f>
        <v>8.5832481939916036E-2</v>
      </c>
      <c r="AV267" s="388"/>
      <c r="AX267" s="374" t="s">
        <v>211</v>
      </c>
      <c r="AY267" s="384"/>
      <c r="AZ267" s="384"/>
      <c r="BA267" s="384"/>
      <c r="BB267" s="384"/>
      <c r="BC267" s="384"/>
      <c r="BD267" s="385" t="s">
        <v>212</v>
      </c>
      <c r="BE267" s="386"/>
      <c r="BF267" s="384"/>
      <c r="BG267" s="387">
        <f>SQRT(BG266)</f>
        <v>8.5832481939916036E-2</v>
      </c>
      <c r="BH267" s="388"/>
      <c r="BI267" s="402"/>
    </row>
    <row r="268" spans="1:61" ht="16.5" x14ac:dyDescent="0.4">
      <c r="A268" s="402"/>
      <c r="B268" s="374" t="s">
        <v>213</v>
      </c>
      <c r="C268" s="384"/>
      <c r="D268" s="384"/>
      <c r="E268" s="384"/>
      <c r="F268" s="384"/>
      <c r="G268" s="384"/>
      <c r="H268" s="389" t="s">
        <v>214</v>
      </c>
      <c r="I268" s="390"/>
      <c r="J268" s="384"/>
      <c r="K268" s="375">
        <f>K267^4/L266</f>
        <v>8.2339882526163741</v>
      </c>
      <c r="L268" s="388"/>
      <c r="N268" s="374" t="s">
        <v>213</v>
      </c>
      <c r="O268" s="384"/>
      <c r="P268" s="384"/>
      <c r="Q268" s="384"/>
      <c r="R268" s="384"/>
      <c r="S268" s="384"/>
      <c r="T268" s="389" t="s">
        <v>214</v>
      </c>
      <c r="U268" s="390"/>
      <c r="V268" s="384"/>
      <c r="W268" s="375">
        <f>W267^4/X266</f>
        <v>5.1564508144943098</v>
      </c>
      <c r="X268" s="388"/>
      <c r="Z268" s="374" t="s">
        <v>213</v>
      </c>
      <c r="AA268" s="384"/>
      <c r="AB268" s="384"/>
      <c r="AC268" s="384"/>
      <c r="AD268" s="384"/>
      <c r="AE268" s="384"/>
      <c r="AF268" s="389" t="s">
        <v>214</v>
      </c>
      <c r="AG268" s="390"/>
      <c r="AH268" s="384"/>
      <c r="AI268" s="375">
        <f>AI267^4/AJ266</f>
        <v>8.6147117957695087</v>
      </c>
      <c r="AJ268" s="388"/>
      <c r="AL268" s="374" t="s">
        <v>213</v>
      </c>
      <c r="AM268" s="384"/>
      <c r="AN268" s="384"/>
      <c r="AO268" s="384"/>
      <c r="AP268" s="384"/>
      <c r="AQ268" s="384"/>
      <c r="AR268" s="389" t="s">
        <v>214</v>
      </c>
      <c r="AS268" s="390"/>
      <c r="AT268" s="384"/>
      <c r="AU268" s="375">
        <f>AU267^4/AV266</f>
        <v>8.6147117957695087</v>
      </c>
      <c r="AV268" s="388"/>
      <c r="AX268" s="374" t="s">
        <v>213</v>
      </c>
      <c r="AY268" s="384"/>
      <c r="AZ268" s="384"/>
      <c r="BA268" s="384"/>
      <c r="BB268" s="384"/>
      <c r="BC268" s="384"/>
      <c r="BD268" s="389" t="s">
        <v>214</v>
      </c>
      <c r="BE268" s="390"/>
      <c r="BF268" s="384"/>
      <c r="BG268" s="375">
        <f>BG267^4/BH266</f>
        <v>8.6147117957695087</v>
      </c>
      <c r="BH268" s="388"/>
      <c r="BI268" s="402"/>
    </row>
    <row r="269" spans="1:61" x14ac:dyDescent="0.35">
      <c r="A269" s="402"/>
      <c r="B269" s="374" t="s">
        <v>215</v>
      </c>
      <c r="C269" s="384"/>
      <c r="D269" s="384"/>
      <c r="E269" s="384"/>
      <c r="F269" s="384"/>
      <c r="G269" s="384"/>
      <c r="H269" s="391" t="s">
        <v>216</v>
      </c>
      <c r="I269" s="392"/>
      <c r="J269" s="384"/>
      <c r="K269" s="377">
        <f>1.95996+(2.37356/K268)+(2.818745/K268^2)+(2.546662/K268^3)+(1.761829/K268^4)+(0.245458/K268^5)+(1.000764/K268^6)</f>
        <v>2.2947538291386271</v>
      </c>
      <c r="L269" s="393">
        <f>TINV(0.05,K268)</f>
        <v>2.3060041352041671</v>
      </c>
      <c r="N269" s="374" t="s">
        <v>215</v>
      </c>
      <c r="O269" s="384"/>
      <c r="P269" s="384"/>
      <c r="Q269" s="384"/>
      <c r="R269" s="384"/>
      <c r="S269" s="384"/>
      <c r="T269" s="391" t="s">
        <v>216</v>
      </c>
      <c r="U269" s="392"/>
      <c r="V269" s="384"/>
      <c r="W269" s="377">
        <f>1.95996+(2.37356/W268)+(2.818745/W268^2)+(2.546662/W268^3)+(1.761829/W268^4)+(0.245458/W268^5)+(1.000764/W268^6)</f>
        <v>2.5474678236469588</v>
      </c>
      <c r="X269" s="393">
        <f>TINV(0.05,W268)</f>
        <v>2.570581835636315</v>
      </c>
      <c r="Z269" s="374" t="s">
        <v>215</v>
      </c>
      <c r="AA269" s="384"/>
      <c r="AB269" s="384"/>
      <c r="AC269" s="384"/>
      <c r="AD269" s="384"/>
      <c r="AE269" s="384"/>
      <c r="AF269" s="391" t="s">
        <v>216</v>
      </c>
      <c r="AG269" s="392"/>
      <c r="AH269" s="384"/>
      <c r="AI269" s="377">
        <f>1.95996+(2.37356/AI268)+(2.818745/AI268^2)+(2.546662/AI268^3)+(1.761829/AI268^4)+(0.245458/AI268^5)+(1.000764/AI268^6)</f>
        <v>2.2777765741493319</v>
      </c>
      <c r="AJ269" s="393">
        <f>TINV(0.05,AI268)</f>
        <v>2.3060041352041671</v>
      </c>
      <c r="AL269" s="374" t="s">
        <v>215</v>
      </c>
      <c r="AM269" s="384"/>
      <c r="AN269" s="384"/>
      <c r="AO269" s="384"/>
      <c r="AP269" s="384"/>
      <c r="AQ269" s="384"/>
      <c r="AR269" s="391" t="s">
        <v>216</v>
      </c>
      <c r="AS269" s="392"/>
      <c r="AT269" s="384"/>
      <c r="AU269" s="377">
        <f>1.95996+(2.37356/AU268)+(2.818745/AU268^2)+(2.546662/AU268^3)+(1.761829/AU268^4)+(0.245458/AU268^5)+(1.000764/AU268^6)</f>
        <v>2.2777765741493319</v>
      </c>
      <c r="AV269" s="393">
        <f>TINV(0.05,AU268)</f>
        <v>2.3060041352041671</v>
      </c>
      <c r="AX269" s="374" t="s">
        <v>215</v>
      </c>
      <c r="AY269" s="384"/>
      <c r="AZ269" s="384"/>
      <c r="BA269" s="384"/>
      <c r="BB269" s="384"/>
      <c r="BC269" s="384"/>
      <c r="BD269" s="391" t="s">
        <v>216</v>
      </c>
      <c r="BE269" s="392"/>
      <c r="BF269" s="384"/>
      <c r="BG269" s="377">
        <f>1.95996+(2.37356/BG268)+(2.818745/BG268^2)+(2.546662/BG268^3)+(1.761829/BG268^4)+(0.245458/BG268^5)+(1.000764/BG268^6)</f>
        <v>2.2777765741493319</v>
      </c>
      <c r="BH269" s="393">
        <f>TINV(0.05,BG268)</f>
        <v>2.3060041352041671</v>
      </c>
      <c r="BI269" s="402"/>
    </row>
    <row r="270" spans="1:61" ht="15.5" x14ac:dyDescent="0.35">
      <c r="A270" s="402"/>
      <c r="B270" s="374" t="s">
        <v>217</v>
      </c>
      <c r="C270" s="384"/>
      <c r="D270" s="384"/>
      <c r="E270" s="384"/>
      <c r="F270" s="384"/>
      <c r="G270" s="384"/>
      <c r="H270" s="394" t="s">
        <v>218</v>
      </c>
      <c r="I270" s="395"/>
      <c r="J270" s="384"/>
      <c r="K270" s="398">
        <f>K269*K267</f>
        <v>0.20233605892295528</v>
      </c>
      <c r="L270" s="19" t="str">
        <f>D260</f>
        <v>µA</v>
      </c>
      <c r="N270" s="374" t="s">
        <v>217</v>
      </c>
      <c r="O270" s="384"/>
      <c r="P270" s="384"/>
      <c r="Q270" s="384"/>
      <c r="R270" s="384"/>
      <c r="S270" s="384"/>
      <c r="T270" s="394" t="s">
        <v>218</v>
      </c>
      <c r="U270" s="395"/>
      <c r="V270" s="384"/>
      <c r="W270" s="398">
        <f>W269*W267</f>
        <v>0.35811948282612488</v>
      </c>
      <c r="X270" s="19" t="str">
        <f>P260</f>
        <v>µA</v>
      </c>
      <c r="Z270" s="374" t="s">
        <v>217</v>
      </c>
      <c r="AA270" s="384"/>
      <c r="AB270" s="384"/>
      <c r="AC270" s="384"/>
      <c r="AD270" s="384"/>
      <c r="AE270" s="384"/>
      <c r="AF270" s="394" t="s">
        <v>218</v>
      </c>
      <c r="AG270" s="395"/>
      <c r="AH270" s="384"/>
      <c r="AI270" s="398">
        <f>AI269*AI267</f>
        <v>0.19550721666383636</v>
      </c>
      <c r="AJ270" s="19" t="str">
        <f>AB260</f>
        <v>µA</v>
      </c>
      <c r="AL270" s="374" t="s">
        <v>217</v>
      </c>
      <c r="AM270" s="384"/>
      <c r="AN270" s="384"/>
      <c r="AO270" s="384"/>
      <c r="AP270" s="384"/>
      <c r="AQ270" s="384"/>
      <c r="AR270" s="394" t="s">
        <v>218</v>
      </c>
      <c r="AS270" s="395"/>
      <c r="AT270" s="384"/>
      <c r="AU270" s="398">
        <f>AU269*AU267</f>
        <v>0.19550721666383636</v>
      </c>
      <c r="AV270" s="19" t="str">
        <f>AN260</f>
        <v>µA</v>
      </c>
      <c r="AX270" s="374" t="s">
        <v>217</v>
      </c>
      <c r="AY270" s="384"/>
      <c r="AZ270" s="384"/>
      <c r="BA270" s="384"/>
      <c r="BB270" s="384"/>
      <c r="BC270" s="384"/>
      <c r="BD270" s="394" t="s">
        <v>218</v>
      </c>
      <c r="BE270" s="395"/>
      <c r="BF270" s="384"/>
      <c r="BG270" s="398">
        <f>BG269*BG267</f>
        <v>0.19550721666383636</v>
      </c>
      <c r="BH270" s="19" t="str">
        <f>AZ260</f>
        <v>µA</v>
      </c>
      <c r="BI270" s="402"/>
    </row>
    <row r="271" spans="1:61" x14ac:dyDescent="0.35">
      <c r="A271" s="402"/>
      <c r="B271" s="396"/>
      <c r="C271" s="396"/>
      <c r="D271" s="396"/>
      <c r="E271" s="396"/>
      <c r="F271" s="396"/>
      <c r="G271" s="396"/>
      <c r="H271" s="396"/>
      <c r="I271" s="396"/>
      <c r="J271" s="396"/>
      <c r="K271" s="388">
        <f>(K270/C260)*100</f>
        <v>0.40467211784591056</v>
      </c>
      <c r="L271" s="19" t="s">
        <v>219</v>
      </c>
      <c r="N271" s="396"/>
      <c r="O271" s="396"/>
      <c r="P271" s="396"/>
      <c r="Q271" s="396"/>
      <c r="R271" s="396"/>
      <c r="S271" s="396"/>
      <c r="T271" s="396"/>
      <c r="U271" s="396"/>
      <c r="V271" s="396"/>
      <c r="W271" s="388">
        <f>(W270/O260)*100</f>
        <v>0.71623896565224976</v>
      </c>
      <c r="X271" s="19" t="s">
        <v>219</v>
      </c>
      <c r="Z271" s="396"/>
      <c r="AA271" s="396"/>
      <c r="AB271" s="396"/>
      <c r="AC271" s="396"/>
      <c r="AD271" s="396"/>
      <c r="AE271" s="396"/>
      <c r="AF271" s="396"/>
      <c r="AG271" s="396"/>
      <c r="AH271" s="396"/>
      <c r="AI271" s="388">
        <f>(AI270/AA260)*100</f>
        <v>0.39101443332767272</v>
      </c>
      <c r="AJ271" s="19" t="s">
        <v>219</v>
      </c>
      <c r="AL271" s="396"/>
      <c r="AM271" s="396"/>
      <c r="AN271" s="396"/>
      <c r="AO271" s="396"/>
      <c r="AP271" s="396"/>
      <c r="AQ271" s="396"/>
      <c r="AR271" s="396"/>
      <c r="AS271" s="396"/>
      <c r="AT271" s="396"/>
      <c r="AU271" s="388">
        <f>(AU270/AM260)*100</f>
        <v>0.39101443332767272</v>
      </c>
      <c r="AV271" s="19" t="s">
        <v>219</v>
      </c>
      <c r="AX271" s="396"/>
      <c r="AY271" s="396"/>
      <c r="AZ271" s="396"/>
      <c r="BA271" s="396"/>
      <c r="BB271" s="396"/>
      <c r="BC271" s="396"/>
      <c r="BD271" s="396"/>
      <c r="BE271" s="396"/>
      <c r="BF271" s="396"/>
      <c r="BG271" s="388">
        <f>(BG270/AY260)*100</f>
        <v>0.39101443332767272</v>
      </c>
      <c r="BH271" s="19" t="s">
        <v>219</v>
      </c>
      <c r="BI271" s="402"/>
    </row>
    <row r="272" spans="1:61" x14ac:dyDescent="0.35">
      <c r="A272" s="402"/>
      <c r="B272" s="396" t="s">
        <v>193</v>
      </c>
      <c r="C272" s="77">
        <f>ID!D75</f>
        <v>100</v>
      </c>
      <c r="D272" s="397" t="s">
        <v>222</v>
      </c>
      <c r="N272" s="396" t="s">
        <v>193</v>
      </c>
      <c r="O272" s="77">
        <f>ID!D82</f>
        <v>100</v>
      </c>
      <c r="P272" s="397" t="s">
        <v>222</v>
      </c>
      <c r="Z272" s="396" t="s">
        <v>193</v>
      </c>
      <c r="AA272" s="77">
        <f>ID!D89</f>
        <v>100</v>
      </c>
      <c r="AB272" s="397" t="s">
        <v>222</v>
      </c>
      <c r="AL272" s="396" t="s">
        <v>193</v>
      </c>
      <c r="AM272" s="77">
        <f>ID!D96</f>
        <v>100</v>
      </c>
      <c r="AN272" s="397" t="s">
        <v>222</v>
      </c>
      <c r="AX272" s="396" t="s">
        <v>193</v>
      </c>
      <c r="AY272" s="77">
        <f>ID!D103</f>
        <v>100</v>
      </c>
      <c r="AZ272" s="397" t="s">
        <v>222</v>
      </c>
      <c r="BI272" s="402"/>
    </row>
    <row r="273" spans="1:61" x14ac:dyDescent="0.35">
      <c r="A273" s="402"/>
      <c r="B273" s="372" t="s">
        <v>194</v>
      </c>
      <c r="C273" s="373" t="s">
        <v>72</v>
      </c>
      <c r="D273" s="373" t="s">
        <v>195</v>
      </c>
      <c r="E273" s="372" t="s">
        <v>196</v>
      </c>
      <c r="F273" s="372" t="s">
        <v>197</v>
      </c>
      <c r="G273" s="372" t="s">
        <v>198</v>
      </c>
      <c r="H273" s="372" t="s">
        <v>199</v>
      </c>
      <c r="I273" s="372" t="s">
        <v>200</v>
      </c>
      <c r="J273" s="372" t="s">
        <v>201</v>
      </c>
      <c r="K273" s="372" t="s">
        <v>202</v>
      </c>
      <c r="L273" s="373" t="s">
        <v>203</v>
      </c>
      <c r="N273" s="372" t="s">
        <v>194</v>
      </c>
      <c r="O273" s="373" t="s">
        <v>72</v>
      </c>
      <c r="P273" s="373" t="s">
        <v>195</v>
      </c>
      <c r="Q273" s="372" t="s">
        <v>196</v>
      </c>
      <c r="R273" s="372" t="s">
        <v>197</v>
      </c>
      <c r="S273" s="372" t="s">
        <v>198</v>
      </c>
      <c r="T273" s="372" t="s">
        <v>199</v>
      </c>
      <c r="U273" s="372" t="s">
        <v>200</v>
      </c>
      <c r="V273" s="372" t="s">
        <v>201</v>
      </c>
      <c r="W273" s="372" t="s">
        <v>202</v>
      </c>
      <c r="X273" s="373" t="s">
        <v>203</v>
      </c>
      <c r="Z273" s="372" t="s">
        <v>194</v>
      </c>
      <c r="AA273" s="373" t="s">
        <v>72</v>
      </c>
      <c r="AB273" s="373" t="s">
        <v>195</v>
      </c>
      <c r="AC273" s="372" t="s">
        <v>196</v>
      </c>
      <c r="AD273" s="372" t="s">
        <v>197</v>
      </c>
      <c r="AE273" s="372" t="s">
        <v>198</v>
      </c>
      <c r="AF273" s="372" t="s">
        <v>199</v>
      </c>
      <c r="AG273" s="372" t="s">
        <v>200</v>
      </c>
      <c r="AH273" s="372" t="s">
        <v>201</v>
      </c>
      <c r="AI273" s="372" t="s">
        <v>202</v>
      </c>
      <c r="AJ273" s="373" t="s">
        <v>203</v>
      </c>
      <c r="AL273" s="372" t="s">
        <v>194</v>
      </c>
      <c r="AM273" s="373" t="s">
        <v>72</v>
      </c>
      <c r="AN273" s="373" t="s">
        <v>195</v>
      </c>
      <c r="AO273" s="372" t="s">
        <v>196</v>
      </c>
      <c r="AP273" s="372" t="s">
        <v>197</v>
      </c>
      <c r="AQ273" s="372" t="s">
        <v>198</v>
      </c>
      <c r="AR273" s="372" t="s">
        <v>199</v>
      </c>
      <c r="AS273" s="372" t="s">
        <v>200</v>
      </c>
      <c r="AT273" s="372" t="s">
        <v>201</v>
      </c>
      <c r="AU273" s="372" t="s">
        <v>202</v>
      </c>
      <c r="AV273" s="373" t="s">
        <v>203</v>
      </c>
      <c r="AX273" s="372" t="s">
        <v>194</v>
      </c>
      <c r="AY273" s="373" t="s">
        <v>72</v>
      </c>
      <c r="AZ273" s="373" t="s">
        <v>195</v>
      </c>
      <c r="BA273" s="372" t="s">
        <v>196</v>
      </c>
      <c r="BB273" s="372" t="s">
        <v>197</v>
      </c>
      <c r="BC273" s="372" t="s">
        <v>198</v>
      </c>
      <c r="BD273" s="372" t="s">
        <v>199</v>
      </c>
      <c r="BE273" s="372" t="s">
        <v>200</v>
      </c>
      <c r="BF273" s="372" t="s">
        <v>201</v>
      </c>
      <c r="BG273" s="372" t="s">
        <v>202</v>
      </c>
      <c r="BH273" s="373" t="s">
        <v>203</v>
      </c>
      <c r="BI273" s="402"/>
    </row>
    <row r="274" spans="1:61" x14ac:dyDescent="0.35">
      <c r="A274" s="402"/>
      <c r="B274" s="374" t="s">
        <v>223</v>
      </c>
      <c r="C274" s="19" t="str">
        <f>D272</f>
        <v>µA</v>
      </c>
      <c r="D274" s="375" t="s">
        <v>205</v>
      </c>
      <c r="E274" s="376">
        <f>'Sert Time Electronics'!X135</f>
        <v>0.24494897427831983</v>
      </c>
      <c r="F274" s="377">
        <f>SQRT(5)</f>
        <v>2.2360679774997898</v>
      </c>
      <c r="G274" s="375">
        <f>5-1</f>
        <v>4</v>
      </c>
      <c r="H274" s="377">
        <f>E274/F274</f>
        <v>0.10954451150103411</v>
      </c>
      <c r="I274" s="375">
        <v>1</v>
      </c>
      <c r="J274" s="377">
        <f>H274*I274</f>
        <v>0.10954451150103411</v>
      </c>
      <c r="K274" s="378">
        <f>J274^2</f>
        <v>1.2000000000000195E-2</v>
      </c>
      <c r="L274" s="379">
        <f>K274^2/G274</f>
        <v>3.6000000000001166E-5</v>
      </c>
      <c r="N274" s="374" t="s">
        <v>223</v>
      </c>
      <c r="O274" s="19" t="str">
        <f>P272</f>
        <v>µA</v>
      </c>
      <c r="P274" s="375" t="s">
        <v>205</v>
      </c>
      <c r="Q274" s="376">
        <f>'Sert Time Electronics'!X143</f>
        <v>0.24494897427831983</v>
      </c>
      <c r="R274" s="377">
        <f>SQRT(5)</f>
        <v>2.2360679774997898</v>
      </c>
      <c r="S274" s="375">
        <f>5-1</f>
        <v>4</v>
      </c>
      <c r="T274" s="377">
        <f>Q274/R274</f>
        <v>0.10954451150103411</v>
      </c>
      <c r="U274" s="375">
        <v>1</v>
      </c>
      <c r="V274" s="377">
        <f>T274*U274</f>
        <v>0.10954451150103411</v>
      </c>
      <c r="W274" s="378">
        <f>V274^2</f>
        <v>1.2000000000000195E-2</v>
      </c>
      <c r="X274" s="379">
        <f>W274^2/S274</f>
        <v>3.6000000000001166E-5</v>
      </c>
      <c r="Z274" s="374" t="s">
        <v>223</v>
      </c>
      <c r="AA274" s="19" t="str">
        <f>AB272</f>
        <v>µA</v>
      </c>
      <c r="AB274" s="375" t="s">
        <v>205</v>
      </c>
      <c r="AC274" s="376">
        <f>'Sert Time Electronics'!X151</f>
        <v>0.31144823004794814</v>
      </c>
      <c r="AD274" s="377">
        <f>SQRT(5)</f>
        <v>2.2360679774997898</v>
      </c>
      <c r="AE274" s="375">
        <f>5-1</f>
        <v>4</v>
      </c>
      <c r="AF274" s="377">
        <f>AC274/AD274</f>
        <v>0.13928388277184092</v>
      </c>
      <c r="AG274" s="375">
        <v>1</v>
      </c>
      <c r="AH274" s="377">
        <f>AF274*AG274</f>
        <v>0.13928388277184092</v>
      </c>
      <c r="AI274" s="378">
        <f>AH274^2</f>
        <v>1.9399999999999924E-2</v>
      </c>
      <c r="AJ274" s="379">
        <f>AI274^2/AE274</f>
        <v>9.408999999999927E-5</v>
      </c>
      <c r="AL274" s="374" t="s">
        <v>223</v>
      </c>
      <c r="AM274" s="19" t="str">
        <f>AN272</f>
        <v>µA</v>
      </c>
      <c r="AN274" s="375" t="s">
        <v>205</v>
      </c>
      <c r="AO274" s="376">
        <f>'Sert Time Electronics'!X159</f>
        <v>0.31144823004794814</v>
      </c>
      <c r="AP274" s="377">
        <f>SQRT(5)</f>
        <v>2.2360679774997898</v>
      </c>
      <c r="AQ274" s="375">
        <f>5-1</f>
        <v>4</v>
      </c>
      <c r="AR274" s="377">
        <f>AO274/AP274</f>
        <v>0.13928388277184092</v>
      </c>
      <c r="AS274" s="375">
        <v>1</v>
      </c>
      <c r="AT274" s="377">
        <f>AR274*AS274</f>
        <v>0.13928388277184092</v>
      </c>
      <c r="AU274" s="378">
        <f>AT274^2</f>
        <v>1.9399999999999924E-2</v>
      </c>
      <c r="AV274" s="379">
        <f>AU274^2/AQ274</f>
        <v>9.408999999999927E-5</v>
      </c>
      <c r="AX274" s="374" t="s">
        <v>223</v>
      </c>
      <c r="AY274" s="19" t="str">
        <f>AZ272</f>
        <v>µA</v>
      </c>
      <c r="AZ274" s="375" t="s">
        <v>205</v>
      </c>
      <c r="BA274" s="376">
        <f>'Sert Time Electronics'!X167</f>
        <v>0.31144823004794814</v>
      </c>
      <c r="BB274" s="377">
        <f>SQRT(5)</f>
        <v>2.2360679774997898</v>
      </c>
      <c r="BC274" s="375">
        <f>5-1</f>
        <v>4</v>
      </c>
      <c r="BD274" s="377">
        <f>BA274/BB274</f>
        <v>0.13928388277184092</v>
      </c>
      <c r="BE274" s="375">
        <v>1</v>
      </c>
      <c r="BF274" s="377">
        <f>BD274*BE274</f>
        <v>0.13928388277184092</v>
      </c>
      <c r="BG274" s="378">
        <f>BF274^2</f>
        <v>1.9399999999999924E-2</v>
      </c>
      <c r="BH274" s="379">
        <f>BG274^2/BC274</f>
        <v>9.408999999999927E-5</v>
      </c>
      <c r="BI274" s="402"/>
    </row>
    <row r="275" spans="1:61" x14ac:dyDescent="0.35">
      <c r="A275" s="402"/>
      <c r="B275" s="380" t="s">
        <v>206</v>
      </c>
      <c r="C275" s="19" t="str">
        <f>C274</f>
        <v>µA</v>
      </c>
      <c r="D275" s="375" t="s">
        <v>205</v>
      </c>
      <c r="E275" s="381">
        <f>'Sert Time Electronics'!AA135</f>
        <v>0.14553873720837929</v>
      </c>
      <c r="F275" s="377">
        <v>2</v>
      </c>
      <c r="G275" s="375">
        <f>0.5*(100/10)^2</f>
        <v>50</v>
      </c>
      <c r="H275" s="377">
        <f>E275/F275</f>
        <v>7.2769368604189644E-2</v>
      </c>
      <c r="I275" s="375">
        <v>1</v>
      </c>
      <c r="J275" s="377">
        <f>H275*I275</f>
        <v>7.2769368604189644E-2</v>
      </c>
      <c r="K275" s="378">
        <f>J275^2</f>
        <v>5.2953810070524212E-3</v>
      </c>
      <c r="L275" s="379">
        <f>K275^2/G275</f>
        <v>5.6082120019703027E-7</v>
      </c>
      <c r="N275" s="380" t="s">
        <v>206</v>
      </c>
      <c r="O275" s="19" t="str">
        <f>O274</f>
        <v>µA</v>
      </c>
      <c r="P275" s="375" t="s">
        <v>205</v>
      </c>
      <c r="Q275" s="381">
        <f>'Sert Time Electronics'!AA143</f>
        <v>0.14553873720837929</v>
      </c>
      <c r="R275" s="377">
        <v>2</v>
      </c>
      <c r="S275" s="375">
        <f>0.5*(100/10)^2</f>
        <v>50</v>
      </c>
      <c r="T275" s="377">
        <f>Q275/R275</f>
        <v>7.2769368604189644E-2</v>
      </c>
      <c r="U275" s="375">
        <v>1</v>
      </c>
      <c r="V275" s="377">
        <f>T275*U275</f>
        <v>7.2769368604189644E-2</v>
      </c>
      <c r="W275" s="378">
        <f>V275^2</f>
        <v>5.2953810070524212E-3</v>
      </c>
      <c r="X275" s="379">
        <f>W275^2/S275</f>
        <v>5.6082120019703027E-7</v>
      </c>
      <c r="Z275" s="380" t="s">
        <v>206</v>
      </c>
      <c r="AA275" s="19" t="str">
        <f>AA274</f>
        <v>µA</v>
      </c>
      <c r="AB275" s="375" t="s">
        <v>205</v>
      </c>
      <c r="AC275" s="381">
        <f>'Sert Time Electronics'!AA151</f>
        <v>0.14571293470426441</v>
      </c>
      <c r="AD275" s="377">
        <v>2</v>
      </c>
      <c r="AE275" s="375">
        <f>0.5*(100/10)^2</f>
        <v>50</v>
      </c>
      <c r="AF275" s="377">
        <f>AC275/AD275</f>
        <v>7.2856467352132206E-2</v>
      </c>
      <c r="AG275" s="375">
        <v>1</v>
      </c>
      <c r="AH275" s="377">
        <f>AF275*AG275</f>
        <v>7.2856467352132206E-2</v>
      </c>
      <c r="AI275" s="378">
        <f>AH275^2</f>
        <v>5.3080648350323058E-3</v>
      </c>
      <c r="AJ275" s="379">
        <f>AI275^2/AE275</f>
        <v>5.635110458581308E-7</v>
      </c>
      <c r="AL275" s="380" t="s">
        <v>206</v>
      </c>
      <c r="AM275" s="19" t="str">
        <f>AM274</f>
        <v>µA</v>
      </c>
      <c r="AN275" s="375" t="s">
        <v>205</v>
      </c>
      <c r="AO275" s="381">
        <f>'Sert Time Electronics'!AA159</f>
        <v>0.14571293470426441</v>
      </c>
      <c r="AP275" s="377">
        <v>2</v>
      </c>
      <c r="AQ275" s="375">
        <f>0.5*(100/10)^2</f>
        <v>50</v>
      </c>
      <c r="AR275" s="377">
        <f>AO275/AP275</f>
        <v>7.2856467352132206E-2</v>
      </c>
      <c r="AS275" s="375">
        <v>1</v>
      </c>
      <c r="AT275" s="377">
        <f>AR275*AS275</f>
        <v>7.2856467352132206E-2</v>
      </c>
      <c r="AU275" s="378">
        <f>AT275^2</f>
        <v>5.3080648350323058E-3</v>
      </c>
      <c r="AV275" s="379">
        <f>AU275^2/AQ275</f>
        <v>5.635110458581308E-7</v>
      </c>
      <c r="AX275" s="380" t="s">
        <v>206</v>
      </c>
      <c r="AY275" s="19" t="str">
        <f>AY274</f>
        <v>µA</v>
      </c>
      <c r="AZ275" s="375" t="s">
        <v>205</v>
      </c>
      <c r="BA275" s="381">
        <f>'Sert Time Electronics'!AA167</f>
        <v>0.14571293470426441</v>
      </c>
      <c r="BB275" s="377">
        <v>2</v>
      </c>
      <c r="BC275" s="375">
        <f>0.5*(100/10)^2</f>
        <v>50</v>
      </c>
      <c r="BD275" s="377">
        <f>BA275/BB275</f>
        <v>7.2856467352132206E-2</v>
      </c>
      <c r="BE275" s="375">
        <v>1</v>
      </c>
      <c r="BF275" s="377">
        <f>BD275*BE275</f>
        <v>7.2856467352132206E-2</v>
      </c>
      <c r="BG275" s="378">
        <f>BF275^2</f>
        <v>5.3080648350323058E-3</v>
      </c>
      <c r="BH275" s="379">
        <f>BG275^2/BC275</f>
        <v>5.635110458581308E-7</v>
      </c>
      <c r="BI275" s="402"/>
    </row>
    <row r="276" spans="1:61" x14ac:dyDescent="0.35">
      <c r="A276" s="402"/>
      <c r="B276" s="380" t="s">
        <v>207</v>
      </c>
      <c r="C276" s="19" t="str">
        <f>C275</f>
        <v>µA</v>
      </c>
      <c r="D276" s="375" t="s">
        <v>208</v>
      </c>
      <c r="E276" s="382">
        <f>'Sert Time Electronics'!Y135</f>
        <v>0.05</v>
      </c>
      <c r="F276" s="377">
        <f>SQRT(3)</f>
        <v>1.7320508075688772</v>
      </c>
      <c r="G276" s="375">
        <v>50</v>
      </c>
      <c r="H276" s="377">
        <f>E276/F276</f>
        <v>2.8867513459481291E-2</v>
      </c>
      <c r="I276" s="375">
        <v>1</v>
      </c>
      <c r="J276" s="377">
        <f>H276*I276</f>
        <v>2.8867513459481291E-2</v>
      </c>
      <c r="K276" s="378">
        <f>J276^2</f>
        <v>8.333333333333335E-4</v>
      </c>
      <c r="L276" s="379">
        <f>K276^2/G276</f>
        <v>1.3888888888888894E-8</v>
      </c>
      <c r="N276" s="380" t="s">
        <v>207</v>
      </c>
      <c r="O276" s="19" t="str">
        <f>O275</f>
        <v>µA</v>
      </c>
      <c r="P276" s="375" t="s">
        <v>208</v>
      </c>
      <c r="Q276" s="382">
        <f>'Sert Time Electronics'!Y143</f>
        <v>0.05</v>
      </c>
      <c r="R276" s="377">
        <f>SQRT(3)</f>
        <v>1.7320508075688772</v>
      </c>
      <c r="S276" s="375">
        <v>50</v>
      </c>
      <c r="T276" s="377">
        <f>Q276/R276</f>
        <v>2.8867513459481291E-2</v>
      </c>
      <c r="U276" s="375">
        <v>1</v>
      </c>
      <c r="V276" s="377">
        <f>T276*U276</f>
        <v>2.8867513459481291E-2</v>
      </c>
      <c r="W276" s="378">
        <f>V276^2</f>
        <v>8.333333333333335E-4</v>
      </c>
      <c r="X276" s="379">
        <f>W276^2/S276</f>
        <v>1.3888888888888894E-8</v>
      </c>
      <c r="Z276" s="380" t="s">
        <v>207</v>
      </c>
      <c r="AA276" s="19" t="str">
        <f>AA275</f>
        <v>µA</v>
      </c>
      <c r="AB276" s="375" t="s">
        <v>208</v>
      </c>
      <c r="AC276" s="382">
        <f>'Sert Time Electronics'!Y151</f>
        <v>0.05</v>
      </c>
      <c r="AD276" s="377">
        <f>SQRT(3)</f>
        <v>1.7320508075688772</v>
      </c>
      <c r="AE276" s="375">
        <v>50</v>
      </c>
      <c r="AF276" s="377">
        <f>AC276/AD276</f>
        <v>2.8867513459481291E-2</v>
      </c>
      <c r="AG276" s="375">
        <v>1</v>
      </c>
      <c r="AH276" s="377">
        <f>AF276*AG276</f>
        <v>2.8867513459481291E-2</v>
      </c>
      <c r="AI276" s="378">
        <f>AH276^2</f>
        <v>8.333333333333335E-4</v>
      </c>
      <c r="AJ276" s="379">
        <f>AI276^2/AE276</f>
        <v>1.3888888888888894E-8</v>
      </c>
      <c r="AL276" s="380" t="s">
        <v>207</v>
      </c>
      <c r="AM276" s="19" t="str">
        <f>AM275</f>
        <v>µA</v>
      </c>
      <c r="AN276" s="375" t="s">
        <v>208</v>
      </c>
      <c r="AO276" s="382">
        <f>'Sert Time Electronics'!Y159</f>
        <v>0.05</v>
      </c>
      <c r="AP276" s="377">
        <f>SQRT(3)</f>
        <v>1.7320508075688772</v>
      </c>
      <c r="AQ276" s="375">
        <v>50</v>
      </c>
      <c r="AR276" s="377">
        <f>AO276/AP276</f>
        <v>2.8867513459481291E-2</v>
      </c>
      <c r="AS276" s="375">
        <v>1</v>
      </c>
      <c r="AT276" s="377">
        <f>AR276*AS276</f>
        <v>2.8867513459481291E-2</v>
      </c>
      <c r="AU276" s="378">
        <f>AT276^2</f>
        <v>8.333333333333335E-4</v>
      </c>
      <c r="AV276" s="379">
        <f>AU276^2/AQ276</f>
        <v>1.3888888888888894E-8</v>
      </c>
      <c r="AX276" s="380" t="s">
        <v>207</v>
      </c>
      <c r="AY276" s="19" t="str">
        <f>AY275</f>
        <v>µA</v>
      </c>
      <c r="AZ276" s="375" t="s">
        <v>208</v>
      </c>
      <c r="BA276" s="382">
        <f>'Sert Time Electronics'!Y167</f>
        <v>0.05</v>
      </c>
      <c r="BB276" s="377">
        <f>SQRT(3)</f>
        <v>1.7320508075688772</v>
      </c>
      <c r="BC276" s="375">
        <v>50</v>
      </c>
      <c r="BD276" s="377">
        <f>BA276/BB276</f>
        <v>2.8867513459481291E-2</v>
      </c>
      <c r="BE276" s="375">
        <v>1</v>
      </c>
      <c r="BF276" s="377">
        <f>BD276*BE276</f>
        <v>2.8867513459481291E-2</v>
      </c>
      <c r="BG276" s="378">
        <f>BF276^2</f>
        <v>8.333333333333335E-4</v>
      </c>
      <c r="BH276" s="379">
        <f>BG276^2/BC276</f>
        <v>1.3888888888888894E-8</v>
      </c>
      <c r="BI276" s="402"/>
    </row>
    <row r="277" spans="1:61" x14ac:dyDescent="0.35">
      <c r="A277" s="402"/>
      <c r="B277" s="383" t="s">
        <v>209</v>
      </c>
      <c r="C277" s="19" t="str">
        <f>C276</f>
        <v>µA</v>
      </c>
      <c r="D277" s="375" t="s">
        <v>208</v>
      </c>
      <c r="E277" s="381">
        <f>'Sert Time Electronics'!Z135</f>
        <v>4.8512912402793096E-2</v>
      </c>
      <c r="F277" s="377">
        <f>SQRT(3)</f>
        <v>1.7320508075688772</v>
      </c>
      <c r="G277" s="375">
        <v>50</v>
      </c>
      <c r="H277" s="377">
        <f>E277/F277</f>
        <v>2.8008943034925331E-2</v>
      </c>
      <c r="I277" s="375">
        <v>1</v>
      </c>
      <c r="J277" s="377">
        <f>H277*I277</f>
        <v>2.8008943034925331E-2</v>
      </c>
      <c r="K277" s="378">
        <f>J277^2</f>
        <v>7.8450088993369221E-4</v>
      </c>
      <c r="L277" s="379">
        <f>K277^2/G277</f>
        <v>1.2308832926135102E-8</v>
      </c>
      <c r="N277" s="383" t="s">
        <v>209</v>
      </c>
      <c r="O277" s="19" t="str">
        <f>O276</f>
        <v>µA</v>
      </c>
      <c r="P277" s="375" t="s">
        <v>208</v>
      </c>
      <c r="Q277" s="381">
        <f>'Sert Time Electronics'!Z143</f>
        <v>4.8512912402793096E-2</v>
      </c>
      <c r="R277" s="377">
        <f>SQRT(3)</f>
        <v>1.7320508075688772</v>
      </c>
      <c r="S277" s="375">
        <v>50</v>
      </c>
      <c r="T277" s="377">
        <f>Q277/R277</f>
        <v>2.8008943034925331E-2</v>
      </c>
      <c r="U277" s="375">
        <v>1</v>
      </c>
      <c r="V277" s="377">
        <f>T277*U277</f>
        <v>2.8008943034925331E-2</v>
      </c>
      <c r="W277" s="378">
        <f>V277^2</f>
        <v>7.8450088993369221E-4</v>
      </c>
      <c r="X277" s="379">
        <f>W277^2/S277</f>
        <v>1.2308832926135102E-8</v>
      </c>
      <c r="Z277" s="383" t="s">
        <v>209</v>
      </c>
      <c r="AA277" s="19" t="str">
        <f>AA276</f>
        <v>µA</v>
      </c>
      <c r="AB277" s="375" t="s">
        <v>208</v>
      </c>
      <c r="AC277" s="381">
        <f>'Sert Time Electronics'!Z151</f>
        <v>4.8570978234754807E-2</v>
      </c>
      <c r="AD277" s="377">
        <f>SQRT(3)</f>
        <v>1.7320508075688772</v>
      </c>
      <c r="AE277" s="375">
        <v>50</v>
      </c>
      <c r="AF277" s="377">
        <f>AC277/AD277</f>
        <v>2.8042467358639144E-2</v>
      </c>
      <c r="AG277" s="375">
        <v>1</v>
      </c>
      <c r="AH277" s="377">
        <f>AF277*AG277</f>
        <v>2.8042467358639144E-2</v>
      </c>
      <c r="AI277" s="378">
        <f>AH277^2</f>
        <v>7.8637997556034185E-4</v>
      </c>
      <c r="AJ277" s="379">
        <f>AI277^2/AE277</f>
        <v>1.2367869319245677E-8</v>
      </c>
      <c r="AL277" s="383" t="s">
        <v>209</v>
      </c>
      <c r="AM277" s="19" t="str">
        <f>AM276</f>
        <v>µA</v>
      </c>
      <c r="AN277" s="375" t="s">
        <v>208</v>
      </c>
      <c r="AO277" s="381">
        <f>'Sert Time Electronics'!Z159</f>
        <v>4.8570978234754807E-2</v>
      </c>
      <c r="AP277" s="377">
        <f>SQRT(3)</f>
        <v>1.7320508075688772</v>
      </c>
      <c r="AQ277" s="375">
        <v>50</v>
      </c>
      <c r="AR277" s="377">
        <f>AO277/AP277</f>
        <v>2.8042467358639144E-2</v>
      </c>
      <c r="AS277" s="375">
        <v>1</v>
      </c>
      <c r="AT277" s="377">
        <f>AR277*AS277</f>
        <v>2.8042467358639144E-2</v>
      </c>
      <c r="AU277" s="378">
        <f>AT277^2</f>
        <v>7.8637997556034185E-4</v>
      </c>
      <c r="AV277" s="379">
        <f>AU277^2/AQ277</f>
        <v>1.2367869319245677E-8</v>
      </c>
      <c r="AX277" s="383" t="s">
        <v>209</v>
      </c>
      <c r="AY277" s="19" t="str">
        <f>AY276</f>
        <v>µA</v>
      </c>
      <c r="AZ277" s="375" t="s">
        <v>208</v>
      </c>
      <c r="BA277" s="381">
        <f>'Sert Time Electronics'!Z167</f>
        <v>4.8570978234754807E-2</v>
      </c>
      <c r="BB277" s="377">
        <f>SQRT(3)</f>
        <v>1.7320508075688772</v>
      </c>
      <c r="BC277" s="375">
        <v>50</v>
      </c>
      <c r="BD277" s="377">
        <f>BA277/BB277</f>
        <v>2.8042467358639144E-2</v>
      </c>
      <c r="BE277" s="375">
        <v>1</v>
      </c>
      <c r="BF277" s="377">
        <f>BD277*BE277</f>
        <v>2.8042467358639144E-2</v>
      </c>
      <c r="BG277" s="378">
        <f>BF277^2</f>
        <v>7.8637997556034185E-4</v>
      </c>
      <c r="BH277" s="379">
        <f>BG277^2/BC277</f>
        <v>1.2367869319245677E-8</v>
      </c>
      <c r="BI277" s="402"/>
    </row>
    <row r="278" spans="1:61" x14ac:dyDescent="0.35">
      <c r="A278" s="402"/>
      <c r="B278" s="374" t="s">
        <v>210</v>
      </c>
      <c r="C278" s="384"/>
      <c r="D278" s="384"/>
      <c r="E278" s="384"/>
      <c r="F278" s="384"/>
      <c r="G278" s="384"/>
      <c r="H278" s="384"/>
      <c r="I278" s="384"/>
      <c r="J278" s="384"/>
      <c r="K278" s="378">
        <f>SUM(K274:K277)</f>
        <v>1.8913215230319639E-2</v>
      </c>
      <c r="L278" s="379">
        <f>SUM(L274:L277)</f>
        <v>3.6587018922013222E-5</v>
      </c>
      <c r="N278" s="374" t="s">
        <v>210</v>
      </c>
      <c r="O278" s="384"/>
      <c r="P278" s="384"/>
      <c r="Q278" s="384"/>
      <c r="R278" s="384"/>
      <c r="S278" s="384"/>
      <c r="T278" s="384"/>
      <c r="U278" s="384"/>
      <c r="V278" s="384"/>
      <c r="W278" s="378">
        <f>SUM(W274:W277)</f>
        <v>1.8913215230319639E-2</v>
      </c>
      <c r="X278" s="379">
        <f>SUM(X274:X277)</f>
        <v>3.6587018922013222E-5</v>
      </c>
      <c r="Z278" s="374" t="s">
        <v>210</v>
      </c>
      <c r="AA278" s="384"/>
      <c r="AB278" s="384"/>
      <c r="AC278" s="384"/>
      <c r="AD278" s="384"/>
      <c r="AE278" s="384"/>
      <c r="AF278" s="384"/>
      <c r="AG278" s="384"/>
      <c r="AH278" s="384"/>
      <c r="AI278" s="378">
        <f>SUM(AI274:AI277)</f>
        <v>2.6327778143925906E-2</v>
      </c>
      <c r="AJ278" s="379">
        <f>SUM(AJ274:AJ277)</f>
        <v>9.4679767804065531E-5</v>
      </c>
      <c r="AL278" s="374" t="s">
        <v>210</v>
      </c>
      <c r="AM278" s="384"/>
      <c r="AN278" s="384"/>
      <c r="AO278" s="384"/>
      <c r="AP278" s="384"/>
      <c r="AQ278" s="384"/>
      <c r="AR278" s="384"/>
      <c r="AS278" s="384"/>
      <c r="AT278" s="384"/>
      <c r="AU278" s="378">
        <f>SUM(AU274:AU277)</f>
        <v>2.6327778143925906E-2</v>
      </c>
      <c r="AV278" s="379">
        <f>SUM(AV274:AV277)</f>
        <v>9.4679767804065531E-5</v>
      </c>
      <c r="AX278" s="374" t="s">
        <v>210</v>
      </c>
      <c r="AY278" s="384"/>
      <c r="AZ278" s="384"/>
      <c r="BA278" s="384"/>
      <c r="BB278" s="384"/>
      <c r="BC278" s="384"/>
      <c r="BD278" s="384"/>
      <c r="BE278" s="384"/>
      <c r="BF278" s="384"/>
      <c r="BG278" s="378">
        <f>SUM(BG274:BG277)</f>
        <v>2.6327778143925906E-2</v>
      </c>
      <c r="BH278" s="379">
        <f>SUM(BH274:BH277)</f>
        <v>9.4679767804065531E-5</v>
      </c>
      <c r="BI278" s="402"/>
    </row>
    <row r="279" spans="1:61" ht="15" x14ac:dyDescent="0.4">
      <c r="A279" s="402"/>
      <c r="B279" s="374" t="s">
        <v>211</v>
      </c>
      <c r="C279" s="384"/>
      <c r="D279" s="384"/>
      <c r="E279" s="384"/>
      <c r="F279" s="384"/>
      <c r="G279" s="384"/>
      <c r="H279" s="385" t="s">
        <v>212</v>
      </c>
      <c r="I279" s="386"/>
      <c r="J279" s="384"/>
      <c r="K279" s="387">
        <f>SQRT(K278)</f>
        <v>0.13752532577790769</v>
      </c>
      <c r="L279" s="388"/>
      <c r="N279" s="374" t="s">
        <v>211</v>
      </c>
      <c r="O279" s="384"/>
      <c r="P279" s="384"/>
      <c r="Q279" s="384"/>
      <c r="R279" s="384"/>
      <c r="S279" s="384"/>
      <c r="T279" s="385" t="s">
        <v>212</v>
      </c>
      <c r="U279" s="386"/>
      <c r="V279" s="384"/>
      <c r="W279" s="387">
        <f>SQRT(W278)</f>
        <v>0.13752532577790769</v>
      </c>
      <c r="X279" s="388"/>
      <c r="Z279" s="374" t="s">
        <v>211</v>
      </c>
      <c r="AA279" s="384"/>
      <c r="AB279" s="384"/>
      <c r="AC279" s="384"/>
      <c r="AD279" s="384"/>
      <c r="AE279" s="384"/>
      <c r="AF279" s="385" t="s">
        <v>212</v>
      </c>
      <c r="AG279" s="386"/>
      <c r="AH279" s="384"/>
      <c r="AI279" s="387">
        <f>SQRT(AI278)</f>
        <v>0.16225836848657732</v>
      </c>
      <c r="AJ279" s="388"/>
      <c r="AL279" s="374" t="s">
        <v>211</v>
      </c>
      <c r="AM279" s="384"/>
      <c r="AN279" s="384"/>
      <c r="AO279" s="384"/>
      <c r="AP279" s="384"/>
      <c r="AQ279" s="384"/>
      <c r="AR279" s="385" t="s">
        <v>212</v>
      </c>
      <c r="AS279" s="386"/>
      <c r="AT279" s="384"/>
      <c r="AU279" s="387">
        <f>SQRT(AU278)</f>
        <v>0.16225836848657732</v>
      </c>
      <c r="AV279" s="388"/>
      <c r="AX279" s="374" t="s">
        <v>211</v>
      </c>
      <c r="AY279" s="384"/>
      <c r="AZ279" s="384"/>
      <c r="BA279" s="384"/>
      <c r="BB279" s="384"/>
      <c r="BC279" s="384"/>
      <c r="BD279" s="385" t="s">
        <v>212</v>
      </c>
      <c r="BE279" s="386"/>
      <c r="BF279" s="384"/>
      <c r="BG279" s="387">
        <f>SQRT(BG278)</f>
        <v>0.16225836848657732</v>
      </c>
      <c r="BH279" s="388"/>
      <c r="BI279" s="402"/>
    </row>
    <row r="280" spans="1:61" ht="16.5" x14ac:dyDescent="0.4">
      <c r="A280" s="402"/>
      <c r="B280" s="374" t="s">
        <v>213</v>
      </c>
      <c r="C280" s="384"/>
      <c r="D280" s="384"/>
      <c r="E280" s="384"/>
      <c r="F280" s="384"/>
      <c r="G280" s="384"/>
      <c r="H280" s="389" t="s">
        <v>214</v>
      </c>
      <c r="I280" s="390"/>
      <c r="J280" s="384"/>
      <c r="K280" s="375">
        <f>K279^4/L278</f>
        <v>9.7769569887852334</v>
      </c>
      <c r="L280" s="388"/>
      <c r="N280" s="374" t="s">
        <v>213</v>
      </c>
      <c r="O280" s="384"/>
      <c r="P280" s="384"/>
      <c r="Q280" s="384"/>
      <c r="R280" s="384"/>
      <c r="S280" s="384"/>
      <c r="T280" s="389" t="s">
        <v>214</v>
      </c>
      <c r="U280" s="390"/>
      <c r="V280" s="384"/>
      <c r="W280" s="375">
        <f>W279^4/X278</f>
        <v>9.7769569887852334</v>
      </c>
      <c r="X280" s="388"/>
      <c r="Z280" s="374" t="s">
        <v>213</v>
      </c>
      <c r="AA280" s="384"/>
      <c r="AB280" s="384"/>
      <c r="AC280" s="384"/>
      <c r="AD280" s="384"/>
      <c r="AE280" s="384"/>
      <c r="AF280" s="389" t="s">
        <v>214</v>
      </c>
      <c r="AG280" s="390"/>
      <c r="AH280" s="384"/>
      <c r="AI280" s="375">
        <f>AI279^4/AJ278</f>
        <v>7.3210139618236258</v>
      </c>
      <c r="AJ280" s="388"/>
      <c r="AL280" s="374" t="s">
        <v>213</v>
      </c>
      <c r="AM280" s="384"/>
      <c r="AN280" s="384"/>
      <c r="AO280" s="384"/>
      <c r="AP280" s="384"/>
      <c r="AQ280" s="384"/>
      <c r="AR280" s="389" t="s">
        <v>214</v>
      </c>
      <c r="AS280" s="390"/>
      <c r="AT280" s="384"/>
      <c r="AU280" s="375">
        <f>AU279^4/AV278</f>
        <v>7.3210139618236258</v>
      </c>
      <c r="AV280" s="388"/>
      <c r="AX280" s="374" t="s">
        <v>213</v>
      </c>
      <c r="AY280" s="384"/>
      <c r="AZ280" s="384"/>
      <c r="BA280" s="384"/>
      <c r="BB280" s="384"/>
      <c r="BC280" s="384"/>
      <c r="BD280" s="389" t="s">
        <v>214</v>
      </c>
      <c r="BE280" s="390"/>
      <c r="BF280" s="384"/>
      <c r="BG280" s="375">
        <f>BG279^4/BH278</f>
        <v>7.3210139618236258</v>
      </c>
      <c r="BH280" s="388"/>
      <c r="BI280" s="402"/>
    </row>
    <row r="281" spans="1:61" x14ac:dyDescent="0.35">
      <c r="A281" s="402"/>
      <c r="B281" s="374" t="s">
        <v>215</v>
      </c>
      <c r="C281" s="384"/>
      <c r="D281" s="384"/>
      <c r="E281" s="384"/>
      <c r="F281" s="384"/>
      <c r="G281" s="384"/>
      <c r="H281" s="391" t="s">
        <v>216</v>
      </c>
      <c r="I281" s="392"/>
      <c r="J281" s="384"/>
      <c r="K281" s="377">
        <f>1.95996+(2.37356/K280)+(2.818745/K280^2)+(2.546662/K280^3)+(1.761829/K280^4)+(0.245458/K280^5)+(1.000764/K280^6)</f>
        <v>2.2351407141000448</v>
      </c>
      <c r="L281" s="393">
        <f>TINV(0.05,K280)</f>
        <v>2.2621571627982053</v>
      </c>
      <c r="N281" s="374" t="s">
        <v>215</v>
      </c>
      <c r="O281" s="384"/>
      <c r="P281" s="384"/>
      <c r="Q281" s="384"/>
      <c r="R281" s="384"/>
      <c r="S281" s="384"/>
      <c r="T281" s="391" t="s">
        <v>216</v>
      </c>
      <c r="U281" s="392"/>
      <c r="V281" s="384"/>
      <c r="W281" s="377">
        <f>1.95996+(2.37356/W280)+(2.818745/W280^2)+(2.546662/W280^3)+(1.761829/W280^4)+(0.245458/W280^5)+(1.000764/W280^6)</f>
        <v>2.2351407141000448</v>
      </c>
      <c r="X281" s="393">
        <f>TINV(0.05,W280)</f>
        <v>2.2621571627982053</v>
      </c>
      <c r="Z281" s="374" t="s">
        <v>215</v>
      </c>
      <c r="AA281" s="384"/>
      <c r="AB281" s="384"/>
      <c r="AC281" s="384"/>
      <c r="AD281" s="384"/>
      <c r="AE281" s="384"/>
      <c r="AF281" s="391" t="s">
        <v>216</v>
      </c>
      <c r="AG281" s="392"/>
      <c r="AH281" s="384"/>
      <c r="AI281" s="377">
        <f>1.95996+(2.37356/AI280)+(2.818745/AI280^2)+(2.546662/AI280^3)+(1.761829/AI280^4)+(0.245458/AI280^5)+(1.000764/AI280^6)</f>
        <v>2.3438848221551929</v>
      </c>
      <c r="AJ281" s="393">
        <f>TINV(0.05,AI280)</f>
        <v>2.3646242515927849</v>
      </c>
      <c r="AL281" s="374" t="s">
        <v>215</v>
      </c>
      <c r="AM281" s="384"/>
      <c r="AN281" s="384"/>
      <c r="AO281" s="384"/>
      <c r="AP281" s="384"/>
      <c r="AQ281" s="384"/>
      <c r="AR281" s="391" t="s">
        <v>216</v>
      </c>
      <c r="AS281" s="392"/>
      <c r="AT281" s="384"/>
      <c r="AU281" s="377">
        <f>1.95996+(2.37356/AU280)+(2.818745/AU280^2)+(2.546662/AU280^3)+(1.761829/AU280^4)+(0.245458/AU280^5)+(1.000764/AU280^6)</f>
        <v>2.3438848221551929</v>
      </c>
      <c r="AV281" s="393">
        <f>TINV(0.05,AU280)</f>
        <v>2.3646242515927849</v>
      </c>
      <c r="AX281" s="374" t="s">
        <v>215</v>
      </c>
      <c r="AY281" s="384"/>
      <c r="AZ281" s="384"/>
      <c r="BA281" s="384"/>
      <c r="BB281" s="384"/>
      <c r="BC281" s="384"/>
      <c r="BD281" s="391" t="s">
        <v>216</v>
      </c>
      <c r="BE281" s="392"/>
      <c r="BF281" s="384"/>
      <c r="BG281" s="377">
        <f>1.95996+(2.37356/BG280)+(2.818745/BG280^2)+(2.546662/BG280^3)+(1.761829/BG280^4)+(0.245458/BG280^5)+(1.000764/BG280^6)</f>
        <v>2.3438848221551929</v>
      </c>
      <c r="BH281" s="393">
        <f>TINV(0.05,BG280)</f>
        <v>2.3646242515927849</v>
      </c>
      <c r="BI281" s="402"/>
    </row>
    <row r="282" spans="1:61" ht="15.5" x14ac:dyDescent="0.35">
      <c r="A282" s="402"/>
      <c r="B282" s="374" t="s">
        <v>217</v>
      </c>
      <c r="C282" s="384"/>
      <c r="D282" s="384"/>
      <c r="E282" s="384"/>
      <c r="F282" s="384"/>
      <c r="G282" s="384"/>
      <c r="H282" s="394" t="s">
        <v>218</v>
      </c>
      <c r="I282" s="395"/>
      <c r="J282" s="384"/>
      <c r="K282" s="398">
        <f>K281*K279</f>
        <v>0.30738845486607386</v>
      </c>
      <c r="L282" s="19" t="str">
        <f>D272</f>
        <v>µA</v>
      </c>
      <c r="N282" s="374" t="s">
        <v>217</v>
      </c>
      <c r="O282" s="384"/>
      <c r="P282" s="384"/>
      <c r="Q282" s="384"/>
      <c r="R282" s="384"/>
      <c r="S282" s="384"/>
      <c r="T282" s="394" t="s">
        <v>218</v>
      </c>
      <c r="U282" s="395"/>
      <c r="V282" s="384"/>
      <c r="W282" s="398">
        <f>W281*W279</f>
        <v>0.30738845486607386</v>
      </c>
      <c r="X282" s="19" t="str">
        <f>P272</f>
        <v>µA</v>
      </c>
      <c r="Z282" s="374" t="s">
        <v>217</v>
      </c>
      <c r="AA282" s="384"/>
      <c r="AB282" s="384"/>
      <c r="AC282" s="384"/>
      <c r="AD282" s="384"/>
      <c r="AE282" s="384"/>
      <c r="AF282" s="394" t="s">
        <v>218</v>
      </c>
      <c r="AG282" s="395"/>
      <c r="AH282" s="384"/>
      <c r="AI282" s="398">
        <f>AI281*AI279</f>
        <v>0.38031492716335302</v>
      </c>
      <c r="AJ282" s="19" t="str">
        <f>AB272</f>
        <v>µA</v>
      </c>
      <c r="AL282" s="374" t="s">
        <v>217</v>
      </c>
      <c r="AM282" s="384"/>
      <c r="AN282" s="384"/>
      <c r="AO282" s="384"/>
      <c r="AP282" s="384"/>
      <c r="AQ282" s="384"/>
      <c r="AR282" s="394" t="s">
        <v>218</v>
      </c>
      <c r="AS282" s="395"/>
      <c r="AT282" s="384"/>
      <c r="AU282" s="398">
        <f>AU281*AU279</f>
        <v>0.38031492716335302</v>
      </c>
      <c r="AV282" s="19" t="str">
        <f>AN272</f>
        <v>µA</v>
      </c>
      <c r="AX282" s="374" t="s">
        <v>217</v>
      </c>
      <c r="AY282" s="384"/>
      <c r="AZ282" s="384"/>
      <c r="BA282" s="384"/>
      <c r="BB282" s="384"/>
      <c r="BC282" s="384"/>
      <c r="BD282" s="394" t="s">
        <v>218</v>
      </c>
      <c r="BE282" s="395"/>
      <c r="BF282" s="384"/>
      <c r="BG282" s="398">
        <f>BG281*BG279</f>
        <v>0.38031492716335302</v>
      </c>
      <c r="BH282" s="19" t="str">
        <f>AZ272</f>
        <v>µA</v>
      </c>
      <c r="BI282" s="402"/>
    </row>
    <row r="283" spans="1:61" x14ac:dyDescent="0.35">
      <c r="A283" s="402"/>
      <c r="B283" s="396"/>
      <c r="C283" s="396"/>
      <c r="D283" s="396"/>
      <c r="E283" s="396"/>
      <c r="F283" s="396"/>
      <c r="G283" s="396"/>
      <c r="H283" s="396"/>
      <c r="I283" s="396"/>
      <c r="J283" s="396"/>
      <c r="K283" s="388">
        <f>(K282/C272)*100</f>
        <v>0.30738845486607386</v>
      </c>
      <c r="L283" s="19" t="s">
        <v>219</v>
      </c>
      <c r="N283" s="396"/>
      <c r="O283" s="396"/>
      <c r="P283" s="396"/>
      <c r="Q283" s="396"/>
      <c r="R283" s="396"/>
      <c r="S283" s="396"/>
      <c r="T283" s="396"/>
      <c r="U283" s="396"/>
      <c r="V283" s="396"/>
      <c r="W283" s="388">
        <f>(W282/O272)*100</f>
        <v>0.30738845486607386</v>
      </c>
      <c r="X283" s="19" t="s">
        <v>219</v>
      </c>
      <c r="Z283" s="396"/>
      <c r="AA283" s="396"/>
      <c r="AB283" s="396"/>
      <c r="AC283" s="396"/>
      <c r="AD283" s="396"/>
      <c r="AE283" s="396"/>
      <c r="AF283" s="396"/>
      <c r="AG283" s="396"/>
      <c r="AH283" s="396"/>
      <c r="AI283" s="388">
        <f>(AI282/AA272)*100</f>
        <v>0.38031492716335302</v>
      </c>
      <c r="AJ283" s="19" t="s">
        <v>219</v>
      </c>
      <c r="AL283" s="396"/>
      <c r="AM283" s="396"/>
      <c r="AN283" s="396"/>
      <c r="AO283" s="396"/>
      <c r="AP283" s="396"/>
      <c r="AQ283" s="396"/>
      <c r="AR283" s="396"/>
      <c r="AS283" s="396"/>
      <c r="AT283" s="396"/>
      <c r="AU283" s="388">
        <f>(AU282/AM272)*100</f>
        <v>0.38031492716335302</v>
      </c>
      <c r="AV283" s="19" t="s">
        <v>219</v>
      </c>
      <c r="AX283" s="396"/>
      <c r="AY283" s="396"/>
      <c r="AZ283" s="396"/>
      <c r="BA283" s="396"/>
      <c r="BB283" s="396"/>
      <c r="BC283" s="396"/>
      <c r="BD283" s="396"/>
      <c r="BE283" s="396"/>
      <c r="BF283" s="396"/>
      <c r="BG283" s="388">
        <f>(BG282/AY272)*100</f>
        <v>0.38031492716335302</v>
      </c>
      <c r="BH283" s="19" t="s">
        <v>219</v>
      </c>
      <c r="BI283" s="402"/>
    </row>
    <row r="284" spans="1:61" x14ac:dyDescent="0.35">
      <c r="A284" s="402"/>
      <c r="B284" s="396" t="s">
        <v>193</v>
      </c>
      <c r="C284" s="77">
        <f>ID!D76</f>
        <v>500</v>
      </c>
      <c r="D284" s="397" t="s">
        <v>222</v>
      </c>
      <c r="N284" s="396" t="s">
        <v>193</v>
      </c>
      <c r="O284" s="77">
        <f>ID!D83</f>
        <v>500</v>
      </c>
      <c r="P284" s="397" t="s">
        <v>222</v>
      </c>
      <c r="Z284" s="396" t="s">
        <v>193</v>
      </c>
      <c r="AA284" s="77">
        <f>ID!D90</f>
        <v>500</v>
      </c>
      <c r="AB284" s="397" t="s">
        <v>222</v>
      </c>
      <c r="AL284" s="396" t="s">
        <v>193</v>
      </c>
      <c r="AM284" s="77">
        <f>ID!D97</f>
        <v>500</v>
      </c>
      <c r="AN284" s="397" t="s">
        <v>222</v>
      </c>
      <c r="AX284" s="396" t="s">
        <v>193</v>
      </c>
      <c r="AY284" s="77">
        <f>ID!D104</f>
        <v>500</v>
      </c>
      <c r="AZ284" s="397" t="s">
        <v>222</v>
      </c>
      <c r="BI284" s="402"/>
    </row>
    <row r="285" spans="1:61" x14ac:dyDescent="0.35">
      <c r="A285" s="402"/>
      <c r="B285" s="372" t="s">
        <v>194</v>
      </c>
      <c r="C285" s="373" t="s">
        <v>72</v>
      </c>
      <c r="D285" s="373" t="s">
        <v>195</v>
      </c>
      <c r="E285" s="372" t="s">
        <v>196</v>
      </c>
      <c r="F285" s="372" t="s">
        <v>197</v>
      </c>
      <c r="G285" s="372" t="s">
        <v>198</v>
      </c>
      <c r="H285" s="372" t="s">
        <v>199</v>
      </c>
      <c r="I285" s="372" t="s">
        <v>200</v>
      </c>
      <c r="J285" s="372" t="s">
        <v>201</v>
      </c>
      <c r="K285" s="372" t="s">
        <v>202</v>
      </c>
      <c r="L285" s="373" t="s">
        <v>203</v>
      </c>
      <c r="N285" s="372" t="s">
        <v>194</v>
      </c>
      <c r="O285" s="373" t="s">
        <v>72</v>
      </c>
      <c r="P285" s="373" t="s">
        <v>195</v>
      </c>
      <c r="Q285" s="372" t="s">
        <v>196</v>
      </c>
      <c r="R285" s="372" t="s">
        <v>197</v>
      </c>
      <c r="S285" s="372" t="s">
        <v>198</v>
      </c>
      <c r="T285" s="372" t="s">
        <v>199</v>
      </c>
      <c r="U285" s="372" t="s">
        <v>200</v>
      </c>
      <c r="V285" s="372" t="s">
        <v>201</v>
      </c>
      <c r="W285" s="372" t="s">
        <v>202</v>
      </c>
      <c r="X285" s="373" t="s">
        <v>203</v>
      </c>
      <c r="Z285" s="372" t="s">
        <v>194</v>
      </c>
      <c r="AA285" s="373" t="s">
        <v>72</v>
      </c>
      <c r="AB285" s="373" t="s">
        <v>195</v>
      </c>
      <c r="AC285" s="372" t="s">
        <v>196</v>
      </c>
      <c r="AD285" s="372" t="s">
        <v>197</v>
      </c>
      <c r="AE285" s="372" t="s">
        <v>198</v>
      </c>
      <c r="AF285" s="372" t="s">
        <v>199</v>
      </c>
      <c r="AG285" s="372" t="s">
        <v>200</v>
      </c>
      <c r="AH285" s="372" t="s">
        <v>201</v>
      </c>
      <c r="AI285" s="372" t="s">
        <v>202</v>
      </c>
      <c r="AJ285" s="373" t="s">
        <v>203</v>
      </c>
      <c r="AL285" s="372" t="s">
        <v>194</v>
      </c>
      <c r="AM285" s="373" t="s">
        <v>72</v>
      </c>
      <c r="AN285" s="373" t="s">
        <v>195</v>
      </c>
      <c r="AO285" s="372" t="s">
        <v>196</v>
      </c>
      <c r="AP285" s="372" t="s">
        <v>197</v>
      </c>
      <c r="AQ285" s="372" t="s">
        <v>198</v>
      </c>
      <c r="AR285" s="372" t="s">
        <v>199</v>
      </c>
      <c r="AS285" s="372" t="s">
        <v>200</v>
      </c>
      <c r="AT285" s="372" t="s">
        <v>201</v>
      </c>
      <c r="AU285" s="372" t="s">
        <v>202</v>
      </c>
      <c r="AV285" s="373" t="s">
        <v>203</v>
      </c>
      <c r="AX285" s="372" t="s">
        <v>194</v>
      </c>
      <c r="AY285" s="373" t="s">
        <v>72</v>
      </c>
      <c r="AZ285" s="373" t="s">
        <v>195</v>
      </c>
      <c r="BA285" s="372" t="s">
        <v>196</v>
      </c>
      <c r="BB285" s="372" t="s">
        <v>197</v>
      </c>
      <c r="BC285" s="372" t="s">
        <v>198</v>
      </c>
      <c r="BD285" s="372" t="s">
        <v>199</v>
      </c>
      <c r="BE285" s="372" t="s">
        <v>200</v>
      </c>
      <c r="BF285" s="372" t="s">
        <v>201</v>
      </c>
      <c r="BG285" s="372" t="s">
        <v>202</v>
      </c>
      <c r="BH285" s="373" t="s">
        <v>203</v>
      </c>
      <c r="BI285" s="402"/>
    </row>
    <row r="286" spans="1:61" x14ac:dyDescent="0.35">
      <c r="A286" s="402"/>
      <c r="B286" s="374" t="s">
        <v>223</v>
      </c>
      <c r="C286" s="19" t="str">
        <f>D284</f>
        <v>µA</v>
      </c>
      <c r="D286" s="375" t="s">
        <v>205</v>
      </c>
      <c r="E286" s="376">
        <f>'Sert Time Electronics'!X136</f>
        <v>0</v>
      </c>
      <c r="F286" s="377">
        <f>SQRT(5)</f>
        <v>2.2360679774997898</v>
      </c>
      <c r="G286" s="375">
        <f>5-1</f>
        <v>4</v>
      </c>
      <c r="H286" s="377">
        <f>E286/F286</f>
        <v>0</v>
      </c>
      <c r="I286" s="375">
        <v>1</v>
      </c>
      <c r="J286" s="377">
        <f>H286*I286</f>
        <v>0</v>
      </c>
      <c r="K286" s="378">
        <f>J286^2</f>
        <v>0</v>
      </c>
      <c r="L286" s="379">
        <f>K286^2/G286</f>
        <v>0</v>
      </c>
      <c r="N286" s="374" t="s">
        <v>223</v>
      </c>
      <c r="O286" s="19" t="str">
        <f>P284</f>
        <v>µA</v>
      </c>
      <c r="P286" s="375" t="s">
        <v>205</v>
      </c>
      <c r="Q286" s="376">
        <f>'Sert Time Electronics'!X144</f>
        <v>0</v>
      </c>
      <c r="R286" s="377">
        <f>SQRT(5)</f>
        <v>2.2360679774997898</v>
      </c>
      <c r="S286" s="375">
        <f>5-1</f>
        <v>4</v>
      </c>
      <c r="T286" s="377">
        <f>Q286/R286</f>
        <v>0</v>
      </c>
      <c r="U286" s="375">
        <v>1</v>
      </c>
      <c r="V286" s="377">
        <f>T286*U286</f>
        <v>0</v>
      </c>
      <c r="W286" s="378">
        <f>V286^2</f>
        <v>0</v>
      </c>
      <c r="X286" s="379">
        <f>W286^2/S286</f>
        <v>0</v>
      </c>
      <c r="Z286" s="374" t="s">
        <v>223</v>
      </c>
      <c r="AA286" s="19" t="str">
        <f>AB284</f>
        <v>µA</v>
      </c>
      <c r="AB286" s="375" t="s">
        <v>205</v>
      </c>
      <c r="AC286" s="376">
        <f>'Sert Time Electronics'!X152</f>
        <v>0.54772255750516619</v>
      </c>
      <c r="AD286" s="377">
        <f>SQRT(5)</f>
        <v>2.2360679774997898</v>
      </c>
      <c r="AE286" s="375">
        <f>5-1</f>
        <v>4</v>
      </c>
      <c r="AF286" s="377">
        <f>AC286/AD286</f>
        <v>0.24494897427831783</v>
      </c>
      <c r="AG286" s="375">
        <v>1</v>
      </c>
      <c r="AH286" s="377">
        <f>AF286*AG286</f>
        <v>0.24494897427831783</v>
      </c>
      <c r="AI286" s="378">
        <f>AH286^2</f>
        <v>6.0000000000000012E-2</v>
      </c>
      <c r="AJ286" s="379">
        <f>AI286^2/AE286</f>
        <v>9.000000000000003E-4</v>
      </c>
      <c r="AL286" s="374" t="s">
        <v>223</v>
      </c>
      <c r="AM286" s="19" t="str">
        <f>AN284</f>
        <v>µA</v>
      </c>
      <c r="AN286" s="375" t="s">
        <v>205</v>
      </c>
      <c r="AO286" s="376">
        <f>'Sert Time Electronics'!X160</f>
        <v>0.54772255750516619</v>
      </c>
      <c r="AP286" s="377">
        <f>SQRT(5)</f>
        <v>2.2360679774997898</v>
      </c>
      <c r="AQ286" s="375">
        <f>5-1</f>
        <v>4</v>
      </c>
      <c r="AR286" s="377">
        <f>AO286/AP286</f>
        <v>0.24494897427831783</v>
      </c>
      <c r="AS286" s="375">
        <v>1</v>
      </c>
      <c r="AT286" s="377">
        <f>AR286*AS286</f>
        <v>0.24494897427831783</v>
      </c>
      <c r="AU286" s="378">
        <f>AT286^2</f>
        <v>6.0000000000000012E-2</v>
      </c>
      <c r="AV286" s="379">
        <f>AU286^2/AQ286</f>
        <v>9.000000000000003E-4</v>
      </c>
      <c r="AX286" s="374" t="s">
        <v>223</v>
      </c>
      <c r="AY286" s="19" t="str">
        <f>AZ284</f>
        <v>µA</v>
      </c>
      <c r="AZ286" s="375" t="s">
        <v>205</v>
      </c>
      <c r="BA286" s="376">
        <f>'Sert Time Electronics'!X168</f>
        <v>0.54772255750516619</v>
      </c>
      <c r="BB286" s="377">
        <f>SQRT(5)</f>
        <v>2.2360679774997898</v>
      </c>
      <c r="BC286" s="375">
        <f>5-1</f>
        <v>4</v>
      </c>
      <c r="BD286" s="377">
        <f>BA286/BB286</f>
        <v>0.24494897427831783</v>
      </c>
      <c r="BE286" s="375">
        <v>1</v>
      </c>
      <c r="BF286" s="377">
        <f>BD286*BE286</f>
        <v>0.24494897427831783</v>
      </c>
      <c r="BG286" s="378">
        <f>BF286^2</f>
        <v>6.0000000000000012E-2</v>
      </c>
      <c r="BH286" s="379">
        <f>BG286^2/BC286</f>
        <v>9.000000000000003E-4</v>
      </c>
      <c r="BI286" s="402"/>
    </row>
    <row r="287" spans="1:61" x14ac:dyDescent="0.35">
      <c r="A287" s="402"/>
      <c r="B287" s="380" t="s">
        <v>206</v>
      </c>
      <c r="C287" s="19" t="str">
        <f>C286</f>
        <v>µA</v>
      </c>
      <c r="D287" s="375" t="s">
        <v>205</v>
      </c>
      <c r="E287" s="381">
        <f>'Sert Time Electronics'!AA136</f>
        <v>0.72489057560635106</v>
      </c>
      <c r="F287" s="377">
        <v>2</v>
      </c>
      <c r="G287" s="375">
        <f>0.5*(100/10)^2</f>
        <v>50</v>
      </c>
      <c r="H287" s="377">
        <f>E287/F287</f>
        <v>0.36244528780317553</v>
      </c>
      <c r="I287" s="375">
        <v>1</v>
      </c>
      <c r="J287" s="377">
        <f>H287*I287</f>
        <v>0.36244528780317553</v>
      </c>
      <c r="K287" s="378">
        <f>J287^2</f>
        <v>0.13136658665072673</v>
      </c>
      <c r="L287" s="379">
        <f>K287^2/G287</f>
        <v>3.4514360176525786E-4</v>
      </c>
      <c r="N287" s="380" t="s">
        <v>206</v>
      </c>
      <c r="O287" s="19" t="str">
        <f>O286</f>
        <v>µA</v>
      </c>
      <c r="P287" s="375" t="s">
        <v>205</v>
      </c>
      <c r="Q287" s="381">
        <f>'Sert Time Electronics'!AA144</f>
        <v>0.72489057560635106</v>
      </c>
      <c r="R287" s="377">
        <v>2</v>
      </c>
      <c r="S287" s="375">
        <f>0.5*(100/10)^2</f>
        <v>50</v>
      </c>
      <c r="T287" s="377">
        <f>Q287/R287</f>
        <v>0.36244528780317553</v>
      </c>
      <c r="U287" s="375">
        <v>1</v>
      </c>
      <c r="V287" s="377">
        <f>T287*U287</f>
        <v>0.36244528780317553</v>
      </c>
      <c r="W287" s="378">
        <f>V287^2</f>
        <v>0.13136658665072673</v>
      </c>
      <c r="X287" s="379">
        <f>W287^2/S287</f>
        <v>3.4514360176525786E-4</v>
      </c>
      <c r="Z287" s="380" t="s">
        <v>206</v>
      </c>
      <c r="AA287" s="19" t="str">
        <f>AA286</f>
        <v>µA</v>
      </c>
      <c r="AB287" s="375" t="s">
        <v>205</v>
      </c>
      <c r="AC287" s="381">
        <f>'Sert Time Electronics'!AA152</f>
        <v>0.72547123392596813</v>
      </c>
      <c r="AD287" s="377">
        <v>2</v>
      </c>
      <c r="AE287" s="375">
        <f>0.5*(100/10)^2</f>
        <v>50</v>
      </c>
      <c r="AF287" s="377">
        <f>AC287/AD287</f>
        <v>0.36273561696298406</v>
      </c>
      <c r="AG287" s="375">
        <v>1</v>
      </c>
      <c r="AH287" s="377">
        <f>AF287*AG287</f>
        <v>0.36273561696298406</v>
      </c>
      <c r="AI287" s="378">
        <f>AH287^2</f>
        <v>0.13157712781351669</v>
      </c>
      <c r="AJ287" s="379">
        <f>AI287^2/AE287</f>
        <v>3.4625081127309014E-4</v>
      </c>
      <c r="AL287" s="380" t="s">
        <v>206</v>
      </c>
      <c r="AM287" s="19" t="str">
        <f>AM286</f>
        <v>µA</v>
      </c>
      <c r="AN287" s="375" t="s">
        <v>205</v>
      </c>
      <c r="AO287" s="381">
        <f>'Sert Time Electronics'!AA160</f>
        <v>0.72547123392596813</v>
      </c>
      <c r="AP287" s="377">
        <v>2</v>
      </c>
      <c r="AQ287" s="375">
        <f>0.5*(100/10)^2</f>
        <v>50</v>
      </c>
      <c r="AR287" s="377">
        <f>AO287/AP287</f>
        <v>0.36273561696298406</v>
      </c>
      <c r="AS287" s="375">
        <v>1</v>
      </c>
      <c r="AT287" s="377">
        <f>AR287*AS287</f>
        <v>0.36273561696298406</v>
      </c>
      <c r="AU287" s="378">
        <f>AT287^2</f>
        <v>0.13157712781351669</v>
      </c>
      <c r="AV287" s="379">
        <f>AU287^2/AQ287</f>
        <v>3.4625081127309014E-4</v>
      </c>
      <c r="AX287" s="380" t="s">
        <v>206</v>
      </c>
      <c r="AY287" s="19" t="str">
        <f>AY286</f>
        <v>µA</v>
      </c>
      <c r="AZ287" s="375" t="s">
        <v>205</v>
      </c>
      <c r="BA287" s="381">
        <f>'Sert Time Electronics'!AA168</f>
        <v>0.72547123392596813</v>
      </c>
      <c r="BB287" s="377">
        <v>2</v>
      </c>
      <c r="BC287" s="375">
        <f>0.5*(100/10)^2</f>
        <v>50</v>
      </c>
      <c r="BD287" s="377">
        <f>BA287/BB287</f>
        <v>0.36273561696298406</v>
      </c>
      <c r="BE287" s="375">
        <v>1</v>
      </c>
      <c r="BF287" s="377">
        <f>BD287*BE287</f>
        <v>0.36273561696298406</v>
      </c>
      <c r="BG287" s="378">
        <f>BF287^2</f>
        <v>0.13157712781351669</v>
      </c>
      <c r="BH287" s="379">
        <f>BG287^2/BC287</f>
        <v>3.4625081127309014E-4</v>
      </c>
      <c r="BI287" s="402"/>
    </row>
    <row r="288" spans="1:61" x14ac:dyDescent="0.35">
      <c r="A288" s="402"/>
      <c r="B288" s="380" t="s">
        <v>207</v>
      </c>
      <c r="C288" s="19" t="str">
        <f>C287</f>
        <v>µA</v>
      </c>
      <c r="D288" s="375" t="s">
        <v>208</v>
      </c>
      <c r="E288" s="382">
        <f>'Sert Time Electronics'!Y136</f>
        <v>0.5</v>
      </c>
      <c r="F288" s="377">
        <f>SQRT(3)</f>
        <v>1.7320508075688772</v>
      </c>
      <c r="G288" s="375">
        <v>50</v>
      </c>
      <c r="H288" s="377">
        <f>E288/F288</f>
        <v>0.28867513459481292</v>
      </c>
      <c r="I288" s="375">
        <v>1</v>
      </c>
      <c r="J288" s="377">
        <f>H288*I288</f>
        <v>0.28867513459481292</v>
      </c>
      <c r="K288" s="378">
        <f>J288^2</f>
        <v>8.3333333333333356E-2</v>
      </c>
      <c r="L288" s="379">
        <f>K288^2/G288</f>
        <v>1.3888888888888897E-4</v>
      </c>
      <c r="N288" s="380" t="s">
        <v>207</v>
      </c>
      <c r="O288" s="19" t="str">
        <f>O287</f>
        <v>µA</v>
      </c>
      <c r="P288" s="375" t="s">
        <v>208</v>
      </c>
      <c r="Q288" s="382">
        <f>'Sert Time Electronics'!Y144</f>
        <v>0.5</v>
      </c>
      <c r="R288" s="377">
        <f>SQRT(3)</f>
        <v>1.7320508075688772</v>
      </c>
      <c r="S288" s="375">
        <v>50</v>
      </c>
      <c r="T288" s="377">
        <f>Q288/R288</f>
        <v>0.28867513459481292</v>
      </c>
      <c r="U288" s="375">
        <v>1</v>
      </c>
      <c r="V288" s="377">
        <f>T288*U288</f>
        <v>0.28867513459481292</v>
      </c>
      <c r="W288" s="378">
        <f>V288^2</f>
        <v>8.3333333333333356E-2</v>
      </c>
      <c r="X288" s="379">
        <f>W288^2/S288</f>
        <v>1.3888888888888897E-4</v>
      </c>
      <c r="Z288" s="380" t="s">
        <v>207</v>
      </c>
      <c r="AA288" s="19" t="str">
        <f>AA287</f>
        <v>µA</v>
      </c>
      <c r="AB288" s="375" t="s">
        <v>208</v>
      </c>
      <c r="AC288" s="382">
        <f>'Sert Time Electronics'!Y152</f>
        <v>0.5</v>
      </c>
      <c r="AD288" s="377">
        <f>SQRT(3)</f>
        <v>1.7320508075688772</v>
      </c>
      <c r="AE288" s="375">
        <v>50</v>
      </c>
      <c r="AF288" s="377">
        <f>AC288/AD288</f>
        <v>0.28867513459481292</v>
      </c>
      <c r="AG288" s="375">
        <v>1</v>
      </c>
      <c r="AH288" s="377">
        <f>AF288*AG288</f>
        <v>0.28867513459481292</v>
      </c>
      <c r="AI288" s="378">
        <f>AH288^2</f>
        <v>8.3333333333333356E-2</v>
      </c>
      <c r="AJ288" s="379">
        <f>AI288^2/AE288</f>
        <v>1.3888888888888897E-4</v>
      </c>
      <c r="AL288" s="380" t="s">
        <v>207</v>
      </c>
      <c r="AM288" s="19" t="str">
        <f>AM287</f>
        <v>µA</v>
      </c>
      <c r="AN288" s="375" t="s">
        <v>208</v>
      </c>
      <c r="AO288" s="382">
        <f>'Sert Time Electronics'!Y160</f>
        <v>0.5</v>
      </c>
      <c r="AP288" s="377">
        <f>SQRT(3)</f>
        <v>1.7320508075688772</v>
      </c>
      <c r="AQ288" s="375">
        <v>50</v>
      </c>
      <c r="AR288" s="377">
        <f>AO288/AP288</f>
        <v>0.28867513459481292</v>
      </c>
      <c r="AS288" s="375">
        <v>1</v>
      </c>
      <c r="AT288" s="377">
        <f>AR288*AS288</f>
        <v>0.28867513459481292</v>
      </c>
      <c r="AU288" s="378">
        <f>AT288^2</f>
        <v>8.3333333333333356E-2</v>
      </c>
      <c r="AV288" s="379">
        <f>AU288^2/AQ288</f>
        <v>1.3888888888888897E-4</v>
      </c>
      <c r="AX288" s="380" t="s">
        <v>207</v>
      </c>
      <c r="AY288" s="19" t="str">
        <f>AY287</f>
        <v>µA</v>
      </c>
      <c r="AZ288" s="375" t="s">
        <v>208</v>
      </c>
      <c r="BA288" s="382">
        <f>'Sert Time Electronics'!Y168</f>
        <v>0.5</v>
      </c>
      <c r="BB288" s="377">
        <f>SQRT(3)</f>
        <v>1.7320508075688772</v>
      </c>
      <c r="BC288" s="375">
        <v>50</v>
      </c>
      <c r="BD288" s="377">
        <f>BA288/BB288</f>
        <v>0.28867513459481292</v>
      </c>
      <c r="BE288" s="375">
        <v>1</v>
      </c>
      <c r="BF288" s="377">
        <f>BD288*BE288</f>
        <v>0.28867513459481292</v>
      </c>
      <c r="BG288" s="378">
        <f>BF288^2</f>
        <v>8.3333333333333356E-2</v>
      </c>
      <c r="BH288" s="379">
        <f>BG288^2/BC288</f>
        <v>1.3888888888888897E-4</v>
      </c>
      <c r="BI288" s="402"/>
    </row>
    <row r="289" spans="1:61" x14ac:dyDescent="0.35">
      <c r="A289" s="402"/>
      <c r="B289" s="383" t="s">
        <v>209</v>
      </c>
      <c r="C289" s="19" t="str">
        <f>C288</f>
        <v>µA</v>
      </c>
      <c r="D289" s="375" t="s">
        <v>208</v>
      </c>
      <c r="E289" s="381">
        <f>'Sert Time Electronics'!Z136</f>
        <v>0.24163019186878362</v>
      </c>
      <c r="F289" s="377">
        <f>SQRT(3)</f>
        <v>1.7320508075688772</v>
      </c>
      <c r="G289" s="375">
        <v>50</v>
      </c>
      <c r="H289" s="377">
        <f>E289/F289</f>
        <v>0.13950525631978317</v>
      </c>
      <c r="I289" s="375">
        <v>1</v>
      </c>
      <c r="J289" s="377">
        <f>H289*I289</f>
        <v>0.13950525631978317</v>
      </c>
      <c r="K289" s="378">
        <f>J289^2</f>
        <v>1.9461716540848401E-2</v>
      </c>
      <c r="L289" s="379">
        <f>K289^2/G289</f>
        <v>7.5751682143266447E-6</v>
      </c>
      <c r="N289" s="383" t="s">
        <v>209</v>
      </c>
      <c r="O289" s="19" t="str">
        <f>O288</f>
        <v>µA</v>
      </c>
      <c r="P289" s="375" t="s">
        <v>208</v>
      </c>
      <c r="Q289" s="381">
        <f>'Sert Time Electronics'!Z144</f>
        <v>0.24163019186878362</v>
      </c>
      <c r="R289" s="377">
        <f>SQRT(3)</f>
        <v>1.7320508075688772</v>
      </c>
      <c r="S289" s="375">
        <v>50</v>
      </c>
      <c r="T289" s="377">
        <f>Q289/R289</f>
        <v>0.13950525631978317</v>
      </c>
      <c r="U289" s="375">
        <v>1</v>
      </c>
      <c r="V289" s="377">
        <f>T289*U289</f>
        <v>0.13950525631978317</v>
      </c>
      <c r="W289" s="378">
        <f>V289^2</f>
        <v>1.9461716540848401E-2</v>
      </c>
      <c r="X289" s="379">
        <f>W289^2/S289</f>
        <v>7.5751682143266447E-6</v>
      </c>
      <c r="Z289" s="383" t="s">
        <v>209</v>
      </c>
      <c r="AA289" s="19" t="str">
        <f>AA288</f>
        <v>µA</v>
      </c>
      <c r="AB289" s="375" t="s">
        <v>208</v>
      </c>
      <c r="AC289" s="381">
        <f>'Sert Time Electronics'!Z152</f>
        <v>0.24182374464198933</v>
      </c>
      <c r="AD289" s="377">
        <f>SQRT(3)</f>
        <v>1.7320508075688772</v>
      </c>
      <c r="AE289" s="375">
        <v>50</v>
      </c>
      <c r="AF289" s="377">
        <f>AC289/AD289</f>
        <v>0.13961700406549588</v>
      </c>
      <c r="AG289" s="375">
        <v>1</v>
      </c>
      <c r="AH289" s="377">
        <f>AF289*AG289</f>
        <v>0.13961700406549588</v>
      </c>
      <c r="AI289" s="378">
        <f>AH289^2</f>
        <v>1.9492907824224692E-2</v>
      </c>
      <c r="AJ289" s="379">
        <f>AI289^2/AE289</f>
        <v>7.599469108874404E-6</v>
      </c>
      <c r="AL289" s="383" t="s">
        <v>209</v>
      </c>
      <c r="AM289" s="19" t="str">
        <f>AM288</f>
        <v>µA</v>
      </c>
      <c r="AN289" s="375" t="s">
        <v>208</v>
      </c>
      <c r="AO289" s="381">
        <f>'Sert Time Electronics'!Z160</f>
        <v>0.24182374464198933</v>
      </c>
      <c r="AP289" s="377">
        <f>SQRT(3)</f>
        <v>1.7320508075688772</v>
      </c>
      <c r="AQ289" s="375">
        <v>50</v>
      </c>
      <c r="AR289" s="377">
        <f>AO289/AP289</f>
        <v>0.13961700406549588</v>
      </c>
      <c r="AS289" s="375">
        <v>1</v>
      </c>
      <c r="AT289" s="377">
        <f>AR289*AS289</f>
        <v>0.13961700406549588</v>
      </c>
      <c r="AU289" s="378">
        <f>AT289^2</f>
        <v>1.9492907824224692E-2</v>
      </c>
      <c r="AV289" s="379">
        <f>AU289^2/AQ289</f>
        <v>7.599469108874404E-6</v>
      </c>
      <c r="AX289" s="383" t="s">
        <v>209</v>
      </c>
      <c r="AY289" s="19" t="str">
        <f>AY288</f>
        <v>µA</v>
      </c>
      <c r="AZ289" s="375" t="s">
        <v>208</v>
      </c>
      <c r="BA289" s="381">
        <f>'Sert Time Electronics'!Z168</f>
        <v>0.24182374464198933</v>
      </c>
      <c r="BB289" s="377">
        <f>SQRT(3)</f>
        <v>1.7320508075688772</v>
      </c>
      <c r="BC289" s="375">
        <v>50</v>
      </c>
      <c r="BD289" s="377">
        <f>BA289/BB289</f>
        <v>0.13961700406549588</v>
      </c>
      <c r="BE289" s="375">
        <v>1</v>
      </c>
      <c r="BF289" s="377">
        <f>BD289*BE289</f>
        <v>0.13961700406549588</v>
      </c>
      <c r="BG289" s="378">
        <f>BF289^2</f>
        <v>1.9492907824224692E-2</v>
      </c>
      <c r="BH289" s="379">
        <f>BG289^2/BC289</f>
        <v>7.599469108874404E-6</v>
      </c>
      <c r="BI289" s="402"/>
    </row>
    <row r="290" spans="1:61" x14ac:dyDescent="0.35">
      <c r="A290" s="402"/>
      <c r="B290" s="374" t="s">
        <v>210</v>
      </c>
      <c r="C290" s="384"/>
      <c r="D290" s="384"/>
      <c r="E290" s="384"/>
      <c r="F290" s="384"/>
      <c r="G290" s="384"/>
      <c r="H290" s="384"/>
      <c r="I290" s="384"/>
      <c r="J290" s="384"/>
      <c r="K290" s="378">
        <f>SUM(K286:K289)</f>
        <v>0.23416163652490848</v>
      </c>
      <c r="L290" s="379">
        <f>SUM(L286:L289)</f>
        <v>4.9160765886847348E-4</v>
      </c>
      <c r="N290" s="374" t="s">
        <v>210</v>
      </c>
      <c r="O290" s="384"/>
      <c r="P290" s="384"/>
      <c r="Q290" s="384"/>
      <c r="R290" s="384"/>
      <c r="S290" s="384"/>
      <c r="T290" s="384"/>
      <c r="U290" s="384"/>
      <c r="V290" s="384"/>
      <c r="W290" s="378">
        <f>SUM(W286:W289)</f>
        <v>0.23416163652490848</v>
      </c>
      <c r="X290" s="379">
        <f>SUM(X286:X289)</f>
        <v>4.9160765886847348E-4</v>
      </c>
      <c r="Z290" s="374" t="s">
        <v>210</v>
      </c>
      <c r="AA290" s="384"/>
      <c r="AB290" s="384"/>
      <c r="AC290" s="384"/>
      <c r="AD290" s="384"/>
      <c r="AE290" s="384"/>
      <c r="AF290" s="384"/>
      <c r="AG290" s="384"/>
      <c r="AH290" s="384"/>
      <c r="AI290" s="378">
        <f>SUM(AI286:AI289)</f>
        <v>0.29440336897107477</v>
      </c>
      <c r="AJ290" s="379">
        <f>SUM(AJ286:AJ289)</f>
        <v>1.3927391692708537E-3</v>
      </c>
      <c r="AL290" s="374" t="s">
        <v>210</v>
      </c>
      <c r="AM290" s="384"/>
      <c r="AN290" s="384"/>
      <c r="AO290" s="384"/>
      <c r="AP290" s="384"/>
      <c r="AQ290" s="384"/>
      <c r="AR290" s="384"/>
      <c r="AS290" s="384"/>
      <c r="AT290" s="384"/>
      <c r="AU290" s="378">
        <f>SUM(AU286:AU289)</f>
        <v>0.29440336897107477</v>
      </c>
      <c r="AV290" s="379">
        <f>SUM(AV286:AV289)</f>
        <v>1.3927391692708537E-3</v>
      </c>
      <c r="AX290" s="374" t="s">
        <v>210</v>
      </c>
      <c r="AY290" s="384"/>
      <c r="AZ290" s="384"/>
      <c r="BA290" s="384"/>
      <c r="BB290" s="384"/>
      <c r="BC290" s="384"/>
      <c r="BD290" s="384"/>
      <c r="BE290" s="384"/>
      <c r="BF290" s="384"/>
      <c r="BG290" s="378">
        <f>SUM(BG286:BG289)</f>
        <v>0.29440336897107477</v>
      </c>
      <c r="BH290" s="379">
        <f>SUM(BH286:BH289)</f>
        <v>1.3927391692708537E-3</v>
      </c>
      <c r="BI290" s="402"/>
    </row>
    <row r="291" spans="1:61" ht="15" x14ac:dyDescent="0.4">
      <c r="A291" s="402"/>
      <c r="B291" s="374" t="s">
        <v>211</v>
      </c>
      <c r="C291" s="384"/>
      <c r="D291" s="384"/>
      <c r="E291" s="384"/>
      <c r="F291" s="384"/>
      <c r="G291" s="384"/>
      <c r="H291" s="385" t="s">
        <v>212</v>
      </c>
      <c r="I291" s="386"/>
      <c r="J291" s="384"/>
      <c r="K291" s="387">
        <f>SQRT(K290)</f>
        <v>0.48390250725214112</v>
      </c>
      <c r="L291" s="388"/>
      <c r="N291" s="374" t="s">
        <v>211</v>
      </c>
      <c r="O291" s="384"/>
      <c r="P291" s="384"/>
      <c r="Q291" s="384"/>
      <c r="R291" s="384"/>
      <c r="S291" s="384"/>
      <c r="T291" s="385" t="s">
        <v>212</v>
      </c>
      <c r="U291" s="386"/>
      <c r="V291" s="384"/>
      <c r="W291" s="387">
        <f>SQRT(W290)</f>
        <v>0.48390250725214112</v>
      </c>
      <c r="X291" s="388"/>
      <c r="Z291" s="374" t="s">
        <v>211</v>
      </c>
      <c r="AA291" s="384"/>
      <c r="AB291" s="384"/>
      <c r="AC291" s="384"/>
      <c r="AD291" s="384"/>
      <c r="AE291" s="384"/>
      <c r="AF291" s="385" t="s">
        <v>212</v>
      </c>
      <c r="AG291" s="386"/>
      <c r="AH291" s="384"/>
      <c r="AI291" s="387">
        <f>SQRT(AI290)</f>
        <v>0.54258950318917409</v>
      </c>
      <c r="AJ291" s="388"/>
      <c r="AL291" s="374" t="s">
        <v>211</v>
      </c>
      <c r="AM291" s="384"/>
      <c r="AN291" s="384"/>
      <c r="AO291" s="384"/>
      <c r="AP291" s="384"/>
      <c r="AQ291" s="384"/>
      <c r="AR291" s="385" t="s">
        <v>212</v>
      </c>
      <c r="AS291" s="386"/>
      <c r="AT291" s="384"/>
      <c r="AU291" s="387">
        <f>SQRT(AU290)</f>
        <v>0.54258950318917409</v>
      </c>
      <c r="AV291" s="388"/>
      <c r="AX291" s="374" t="s">
        <v>211</v>
      </c>
      <c r="AY291" s="384"/>
      <c r="AZ291" s="384"/>
      <c r="BA291" s="384"/>
      <c r="BB291" s="384"/>
      <c r="BC291" s="384"/>
      <c r="BD291" s="385" t="s">
        <v>212</v>
      </c>
      <c r="BE291" s="386"/>
      <c r="BF291" s="384"/>
      <c r="BG291" s="387">
        <f>SQRT(BG290)</f>
        <v>0.54258950318917409</v>
      </c>
      <c r="BH291" s="388"/>
      <c r="BI291" s="402"/>
    </row>
    <row r="292" spans="1:61" ht="16.5" x14ac:dyDescent="0.4">
      <c r="A292" s="402"/>
      <c r="B292" s="374" t="s">
        <v>213</v>
      </c>
      <c r="C292" s="384"/>
      <c r="D292" s="384"/>
      <c r="E292" s="384"/>
      <c r="F292" s="384"/>
      <c r="G292" s="384"/>
      <c r="H292" s="389" t="s">
        <v>214</v>
      </c>
      <c r="I292" s="390"/>
      <c r="J292" s="384"/>
      <c r="K292" s="375">
        <f>K291^4/L290</f>
        <v>111.53543080721862</v>
      </c>
      <c r="L292" s="388"/>
      <c r="N292" s="374" t="s">
        <v>213</v>
      </c>
      <c r="O292" s="384"/>
      <c r="P292" s="384"/>
      <c r="Q292" s="384"/>
      <c r="R292" s="384"/>
      <c r="S292" s="384"/>
      <c r="T292" s="389" t="s">
        <v>214</v>
      </c>
      <c r="U292" s="390"/>
      <c r="V292" s="384"/>
      <c r="W292" s="375">
        <f>W291^4/X290</f>
        <v>111.53543080721862</v>
      </c>
      <c r="X292" s="388"/>
      <c r="Z292" s="374" t="s">
        <v>213</v>
      </c>
      <c r="AA292" s="384"/>
      <c r="AB292" s="384"/>
      <c r="AC292" s="384"/>
      <c r="AD292" s="384"/>
      <c r="AE292" s="384"/>
      <c r="AF292" s="389" t="s">
        <v>214</v>
      </c>
      <c r="AG292" s="390"/>
      <c r="AH292" s="384"/>
      <c r="AI292" s="375">
        <f>AI291^4/AJ290</f>
        <v>62.232286973658709</v>
      </c>
      <c r="AJ292" s="388"/>
      <c r="AL292" s="374" t="s">
        <v>213</v>
      </c>
      <c r="AM292" s="384"/>
      <c r="AN292" s="384"/>
      <c r="AO292" s="384"/>
      <c r="AP292" s="384"/>
      <c r="AQ292" s="384"/>
      <c r="AR292" s="389" t="s">
        <v>214</v>
      </c>
      <c r="AS292" s="390"/>
      <c r="AT292" s="384"/>
      <c r="AU292" s="375">
        <f>AU291^4/AV290</f>
        <v>62.232286973658709</v>
      </c>
      <c r="AV292" s="388"/>
      <c r="AX292" s="374" t="s">
        <v>213</v>
      </c>
      <c r="AY292" s="384"/>
      <c r="AZ292" s="384"/>
      <c r="BA292" s="384"/>
      <c r="BB292" s="384"/>
      <c r="BC292" s="384"/>
      <c r="BD292" s="389" t="s">
        <v>214</v>
      </c>
      <c r="BE292" s="390"/>
      <c r="BF292" s="384"/>
      <c r="BG292" s="375">
        <f>BG291^4/BH290</f>
        <v>62.232286973658709</v>
      </c>
      <c r="BH292" s="388"/>
      <c r="BI292" s="402"/>
    </row>
    <row r="293" spans="1:61" x14ac:dyDescent="0.35">
      <c r="A293" s="402"/>
      <c r="B293" s="374" t="s">
        <v>215</v>
      </c>
      <c r="C293" s="384"/>
      <c r="D293" s="384"/>
      <c r="E293" s="384"/>
      <c r="F293" s="384"/>
      <c r="G293" s="384"/>
      <c r="H293" s="391" t="s">
        <v>216</v>
      </c>
      <c r="I293" s="392"/>
      <c r="J293" s="384"/>
      <c r="K293" s="377">
        <f>1.95996+(2.37356/K292)+(2.818745/K292^2)+(2.546662/K292^3)+(1.761829/K292^4)+(0.245458/K292^5)+(1.000764/K292^6)</f>
        <v>1.9814692025980847</v>
      </c>
      <c r="L293" s="393">
        <f>TINV(0.05,K292)</f>
        <v>1.9815667570749009</v>
      </c>
      <c r="N293" s="374" t="s">
        <v>215</v>
      </c>
      <c r="O293" s="384"/>
      <c r="P293" s="384"/>
      <c r="Q293" s="384"/>
      <c r="R293" s="384"/>
      <c r="S293" s="384"/>
      <c r="T293" s="391" t="s">
        <v>216</v>
      </c>
      <c r="U293" s="392"/>
      <c r="V293" s="384"/>
      <c r="W293" s="377">
        <f>1.95996+(2.37356/W292)+(2.818745/W292^2)+(2.546662/W292^3)+(1.761829/W292^4)+(0.245458/W292^5)+(1.000764/W292^6)</f>
        <v>1.9814692025980847</v>
      </c>
      <c r="X293" s="393">
        <f>TINV(0.05,W292)</f>
        <v>1.9815667570749009</v>
      </c>
      <c r="Z293" s="374" t="s">
        <v>215</v>
      </c>
      <c r="AA293" s="384"/>
      <c r="AB293" s="384"/>
      <c r="AC293" s="384"/>
      <c r="AD293" s="384"/>
      <c r="AE293" s="384"/>
      <c r="AF293" s="391" t="s">
        <v>216</v>
      </c>
      <c r="AG293" s="392"/>
      <c r="AH293" s="384"/>
      <c r="AI293" s="377">
        <f>1.95996+(2.37356/AI292)+(2.818745/AI292^2)+(2.546662/AI292^3)+(1.761829/AI292^4)+(0.245458/AI292^5)+(1.000764/AI292^6)</f>
        <v>1.998838835153814</v>
      </c>
      <c r="AJ293" s="393">
        <f>TINV(0.05,AI292)</f>
        <v>1.9989715170333793</v>
      </c>
      <c r="AL293" s="374" t="s">
        <v>215</v>
      </c>
      <c r="AM293" s="384"/>
      <c r="AN293" s="384"/>
      <c r="AO293" s="384"/>
      <c r="AP293" s="384"/>
      <c r="AQ293" s="384"/>
      <c r="AR293" s="391" t="s">
        <v>216</v>
      </c>
      <c r="AS293" s="392"/>
      <c r="AT293" s="384"/>
      <c r="AU293" s="377">
        <f>1.95996+(2.37356/AU292)+(2.818745/AU292^2)+(2.546662/AU292^3)+(1.761829/AU292^4)+(0.245458/AU292^5)+(1.000764/AU292^6)</f>
        <v>1.998838835153814</v>
      </c>
      <c r="AV293" s="393">
        <f>TINV(0.05,AU292)</f>
        <v>1.9989715170333793</v>
      </c>
      <c r="AX293" s="374" t="s">
        <v>215</v>
      </c>
      <c r="AY293" s="384"/>
      <c r="AZ293" s="384"/>
      <c r="BA293" s="384"/>
      <c r="BB293" s="384"/>
      <c r="BC293" s="384"/>
      <c r="BD293" s="391" t="s">
        <v>216</v>
      </c>
      <c r="BE293" s="392"/>
      <c r="BF293" s="384"/>
      <c r="BG293" s="377">
        <f>1.95996+(2.37356/BG292)+(2.818745/BG292^2)+(2.546662/BG292^3)+(1.761829/BG292^4)+(0.245458/BG292^5)+(1.000764/BG292^6)</f>
        <v>1.998838835153814</v>
      </c>
      <c r="BH293" s="393">
        <f>TINV(0.05,BG292)</f>
        <v>1.9989715170333793</v>
      </c>
      <c r="BI293" s="402"/>
    </row>
    <row r="294" spans="1:61" ht="15.5" x14ac:dyDescent="0.35">
      <c r="A294" s="402"/>
      <c r="B294" s="374" t="s">
        <v>217</v>
      </c>
      <c r="C294" s="384"/>
      <c r="D294" s="384"/>
      <c r="E294" s="384"/>
      <c r="F294" s="384"/>
      <c r="G294" s="384"/>
      <c r="H294" s="394" t="s">
        <v>218</v>
      </c>
      <c r="I294" s="395"/>
      <c r="J294" s="384"/>
      <c r="K294" s="398">
        <f>K293*K291</f>
        <v>0.95883791518011396</v>
      </c>
      <c r="L294" s="19" t="str">
        <f>D284</f>
        <v>µA</v>
      </c>
      <c r="N294" s="374" t="s">
        <v>217</v>
      </c>
      <c r="O294" s="384"/>
      <c r="P294" s="384"/>
      <c r="Q294" s="384"/>
      <c r="R294" s="384"/>
      <c r="S294" s="384"/>
      <c r="T294" s="394" t="s">
        <v>218</v>
      </c>
      <c r="U294" s="395"/>
      <c r="V294" s="384"/>
      <c r="W294" s="398">
        <f>W293*W291</f>
        <v>0.95883791518011396</v>
      </c>
      <c r="X294" s="19" t="str">
        <f>P284</f>
        <v>µA</v>
      </c>
      <c r="Z294" s="374" t="s">
        <v>217</v>
      </c>
      <c r="AA294" s="384"/>
      <c r="AB294" s="384"/>
      <c r="AC294" s="384"/>
      <c r="AD294" s="384"/>
      <c r="AE294" s="384"/>
      <c r="AF294" s="394" t="s">
        <v>218</v>
      </c>
      <c r="AG294" s="395"/>
      <c r="AH294" s="384"/>
      <c r="AI294" s="398">
        <f>AI293*AI291</f>
        <v>1.0845489705213354</v>
      </c>
      <c r="AJ294" s="19" t="str">
        <f>AB284</f>
        <v>µA</v>
      </c>
      <c r="AL294" s="374" t="s">
        <v>217</v>
      </c>
      <c r="AM294" s="384"/>
      <c r="AN294" s="384"/>
      <c r="AO294" s="384"/>
      <c r="AP294" s="384"/>
      <c r="AQ294" s="384"/>
      <c r="AR294" s="394" t="s">
        <v>218</v>
      </c>
      <c r="AS294" s="395"/>
      <c r="AT294" s="384"/>
      <c r="AU294" s="398">
        <f>AU293*AU291</f>
        <v>1.0845489705213354</v>
      </c>
      <c r="AV294" s="19" t="str">
        <f>AN284</f>
        <v>µA</v>
      </c>
      <c r="AX294" s="374" t="s">
        <v>217</v>
      </c>
      <c r="AY294" s="384"/>
      <c r="AZ294" s="384"/>
      <c r="BA294" s="384"/>
      <c r="BB294" s="384"/>
      <c r="BC294" s="384"/>
      <c r="BD294" s="394" t="s">
        <v>218</v>
      </c>
      <c r="BE294" s="395"/>
      <c r="BF294" s="384"/>
      <c r="BG294" s="398">
        <f>BG293*BG291</f>
        <v>1.0845489705213354</v>
      </c>
      <c r="BH294" s="19" t="str">
        <f>AZ284</f>
        <v>µA</v>
      </c>
      <c r="BI294" s="402"/>
    </row>
    <row r="295" spans="1:61" x14ac:dyDescent="0.35">
      <c r="A295" s="402"/>
      <c r="B295" s="396"/>
      <c r="C295" s="396"/>
      <c r="D295" s="396"/>
      <c r="E295" s="396"/>
      <c r="F295" s="396"/>
      <c r="G295" s="396"/>
      <c r="H295" s="396"/>
      <c r="I295" s="396"/>
      <c r="J295" s="396"/>
      <c r="K295" s="388">
        <f>(K294/C284)*100</f>
        <v>0.19176758303602279</v>
      </c>
      <c r="L295" s="19" t="s">
        <v>219</v>
      </c>
      <c r="N295" s="396"/>
      <c r="O295" s="396"/>
      <c r="P295" s="396"/>
      <c r="Q295" s="396"/>
      <c r="R295" s="396"/>
      <c r="S295" s="396"/>
      <c r="T295" s="396"/>
      <c r="U295" s="396"/>
      <c r="V295" s="396"/>
      <c r="W295" s="388">
        <f>(W294/O284)*100</f>
        <v>0.19176758303602279</v>
      </c>
      <c r="X295" s="19" t="s">
        <v>219</v>
      </c>
      <c r="Z295" s="396"/>
      <c r="AA295" s="396"/>
      <c r="AB295" s="396"/>
      <c r="AC295" s="396"/>
      <c r="AD295" s="396"/>
      <c r="AE295" s="396"/>
      <c r="AF295" s="396"/>
      <c r="AG295" s="396"/>
      <c r="AH295" s="396"/>
      <c r="AI295" s="388">
        <f>(AI294/AA284)*100</f>
        <v>0.21690979410426708</v>
      </c>
      <c r="AJ295" s="19" t="s">
        <v>219</v>
      </c>
      <c r="AL295" s="396"/>
      <c r="AM295" s="396"/>
      <c r="AN295" s="396"/>
      <c r="AO295" s="396"/>
      <c r="AP295" s="396"/>
      <c r="AQ295" s="396"/>
      <c r="AR295" s="396"/>
      <c r="AS295" s="396"/>
      <c r="AT295" s="396"/>
      <c r="AU295" s="388">
        <f>(AU294/AM284)*100</f>
        <v>0.21690979410426708</v>
      </c>
      <c r="AV295" s="19" t="s">
        <v>219</v>
      </c>
      <c r="AX295" s="396"/>
      <c r="AY295" s="396"/>
      <c r="AZ295" s="396"/>
      <c r="BA295" s="396"/>
      <c r="BB295" s="396"/>
      <c r="BC295" s="396"/>
      <c r="BD295" s="396"/>
      <c r="BE295" s="396"/>
      <c r="BF295" s="396"/>
      <c r="BG295" s="388">
        <f>(BG294/AY284)*100</f>
        <v>0.21690979410426708</v>
      </c>
      <c r="BH295" s="19" t="s">
        <v>219</v>
      </c>
      <c r="BI295" s="402"/>
    </row>
    <row r="296" spans="1:61" x14ac:dyDescent="0.35">
      <c r="A296" s="402"/>
      <c r="B296" s="396" t="s">
        <v>193</v>
      </c>
      <c r="C296" s="77">
        <f>ID!D77</f>
        <v>1000</v>
      </c>
      <c r="D296" s="397" t="s">
        <v>222</v>
      </c>
      <c r="N296" s="396" t="s">
        <v>193</v>
      </c>
      <c r="O296" s="77">
        <f>ID!D84</f>
        <v>1000</v>
      </c>
      <c r="P296" s="397" t="s">
        <v>222</v>
      </c>
      <c r="Z296" s="396" t="s">
        <v>193</v>
      </c>
      <c r="AA296" s="77">
        <f>ID!D91</f>
        <v>1000</v>
      </c>
      <c r="AB296" s="397" t="s">
        <v>222</v>
      </c>
      <c r="AL296" s="396" t="s">
        <v>193</v>
      </c>
      <c r="AM296" s="77">
        <f>ID!D98</f>
        <v>1000</v>
      </c>
      <c r="AN296" s="397" t="s">
        <v>222</v>
      </c>
      <c r="AX296" s="396" t="s">
        <v>193</v>
      </c>
      <c r="AY296" s="77">
        <f>ID!D105</f>
        <v>1000</v>
      </c>
      <c r="AZ296" s="397" t="s">
        <v>222</v>
      </c>
      <c r="BI296" s="402"/>
    </row>
    <row r="297" spans="1:61" x14ac:dyDescent="0.35">
      <c r="A297" s="402"/>
      <c r="B297" s="372" t="s">
        <v>194</v>
      </c>
      <c r="C297" s="373" t="s">
        <v>72</v>
      </c>
      <c r="D297" s="373" t="s">
        <v>195</v>
      </c>
      <c r="E297" s="372" t="s">
        <v>196</v>
      </c>
      <c r="F297" s="372" t="s">
        <v>197</v>
      </c>
      <c r="G297" s="372" t="s">
        <v>198</v>
      </c>
      <c r="H297" s="372" t="s">
        <v>199</v>
      </c>
      <c r="I297" s="372" t="s">
        <v>200</v>
      </c>
      <c r="J297" s="372" t="s">
        <v>201</v>
      </c>
      <c r="K297" s="372" t="s">
        <v>202</v>
      </c>
      <c r="L297" s="373" t="s">
        <v>203</v>
      </c>
      <c r="N297" s="372" t="s">
        <v>194</v>
      </c>
      <c r="O297" s="373" t="s">
        <v>72</v>
      </c>
      <c r="P297" s="373" t="s">
        <v>195</v>
      </c>
      <c r="Q297" s="372" t="s">
        <v>196</v>
      </c>
      <c r="R297" s="372" t="s">
        <v>197</v>
      </c>
      <c r="S297" s="372" t="s">
        <v>198</v>
      </c>
      <c r="T297" s="372" t="s">
        <v>199</v>
      </c>
      <c r="U297" s="372" t="s">
        <v>200</v>
      </c>
      <c r="V297" s="372" t="s">
        <v>201</v>
      </c>
      <c r="W297" s="372" t="s">
        <v>202</v>
      </c>
      <c r="X297" s="373" t="s">
        <v>203</v>
      </c>
      <c r="Z297" s="372" t="s">
        <v>194</v>
      </c>
      <c r="AA297" s="373" t="s">
        <v>72</v>
      </c>
      <c r="AB297" s="373" t="s">
        <v>195</v>
      </c>
      <c r="AC297" s="372" t="s">
        <v>196</v>
      </c>
      <c r="AD297" s="372" t="s">
        <v>197</v>
      </c>
      <c r="AE297" s="372" t="s">
        <v>198</v>
      </c>
      <c r="AF297" s="372" t="s">
        <v>199</v>
      </c>
      <c r="AG297" s="372" t="s">
        <v>200</v>
      </c>
      <c r="AH297" s="372" t="s">
        <v>201</v>
      </c>
      <c r="AI297" s="372" t="s">
        <v>202</v>
      </c>
      <c r="AJ297" s="373" t="s">
        <v>203</v>
      </c>
      <c r="AL297" s="372" t="s">
        <v>194</v>
      </c>
      <c r="AM297" s="373" t="s">
        <v>72</v>
      </c>
      <c r="AN297" s="373" t="s">
        <v>195</v>
      </c>
      <c r="AO297" s="372" t="s">
        <v>196</v>
      </c>
      <c r="AP297" s="372" t="s">
        <v>197</v>
      </c>
      <c r="AQ297" s="372" t="s">
        <v>198</v>
      </c>
      <c r="AR297" s="372" t="s">
        <v>199</v>
      </c>
      <c r="AS297" s="372" t="s">
        <v>200</v>
      </c>
      <c r="AT297" s="372" t="s">
        <v>201</v>
      </c>
      <c r="AU297" s="372" t="s">
        <v>202</v>
      </c>
      <c r="AV297" s="373" t="s">
        <v>203</v>
      </c>
      <c r="AX297" s="372" t="s">
        <v>194</v>
      </c>
      <c r="AY297" s="373" t="s">
        <v>72</v>
      </c>
      <c r="AZ297" s="373" t="s">
        <v>195</v>
      </c>
      <c r="BA297" s="372" t="s">
        <v>196</v>
      </c>
      <c r="BB297" s="372" t="s">
        <v>197</v>
      </c>
      <c r="BC297" s="372" t="s">
        <v>198</v>
      </c>
      <c r="BD297" s="372" t="s">
        <v>199</v>
      </c>
      <c r="BE297" s="372" t="s">
        <v>200</v>
      </c>
      <c r="BF297" s="372" t="s">
        <v>201</v>
      </c>
      <c r="BG297" s="372" t="s">
        <v>202</v>
      </c>
      <c r="BH297" s="373" t="s">
        <v>203</v>
      </c>
      <c r="BI297" s="402"/>
    </row>
    <row r="298" spans="1:61" x14ac:dyDescent="0.35">
      <c r="A298" s="402"/>
      <c r="B298" s="374" t="s">
        <v>223</v>
      </c>
      <c r="C298" s="19" t="str">
        <f>D296</f>
        <v>µA</v>
      </c>
      <c r="D298" s="375" t="s">
        <v>205</v>
      </c>
      <c r="E298" s="376">
        <f>'Sert Time Electronics'!X137</f>
        <v>0</v>
      </c>
      <c r="F298" s="377">
        <f>SQRT(5)</f>
        <v>2.2360679774997898</v>
      </c>
      <c r="G298" s="375">
        <f>5-1</f>
        <v>4</v>
      </c>
      <c r="H298" s="377">
        <f>E298/F298</f>
        <v>0</v>
      </c>
      <c r="I298" s="375">
        <v>1</v>
      </c>
      <c r="J298" s="377">
        <f>H298*I298</f>
        <v>0</v>
      </c>
      <c r="K298" s="378">
        <f>J298^2</f>
        <v>0</v>
      </c>
      <c r="L298" s="379">
        <f>K298^2/G298</f>
        <v>0</v>
      </c>
      <c r="N298" s="374" t="s">
        <v>223</v>
      </c>
      <c r="O298" s="19" t="str">
        <f>P296</f>
        <v>µA</v>
      </c>
      <c r="P298" s="375" t="s">
        <v>205</v>
      </c>
      <c r="Q298" s="376">
        <f>'Sert Time Electronics'!X145</f>
        <v>0</v>
      </c>
      <c r="R298" s="377">
        <f>SQRT(5)</f>
        <v>2.2360679774997898</v>
      </c>
      <c r="S298" s="375">
        <f>5-1</f>
        <v>4</v>
      </c>
      <c r="T298" s="377">
        <f>Q298/R298</f>
        <v>0</v>
      </c>
      <c r="U298" s="375">
        <v>1</v>
      </c>
      <c r="V298" s="377">
        <f>T298*U298</f>
        <v>0</v>
      </c>
      <c r="W298" s="378">
        <f>V298^2</f>
        <v>0</v>
      </c>
      <c r="X298" s="379">
        <f>W298^2/S298</f>
        <v>0</v>
      </c>
      <c r="Z298" s="374" t="s">
        <v>223</v>
      </c>
      <c r="AA298" s="19" t="str">
        <f>AB296</f>
        <v>µA</v>
      </c>
      <c r="AB298" s="375" t="s">
        <v>205</v>
      </c>
      <c r="AC298" s="376">
        <f>'Sert Time Electronics'!X153</f>
        <v>0.54772255750516619</v>
      </c>
      <c r="AD298" s="377">
        <f>SQRT(5)</f>
        <v>2.2360679774997898</v>
      </c>
      <c r="AE298" s="375">
        <f>5-1</f>
        <v>4</v>
      </c>
      <c r="AF298" s="377">
        <f>AC298/AD298</f>
        <v>0.24494897427831783</v>
      </c>
      <c r="AG298" s="375">
        <v>1</v>
      </c>
      <c r="AH298" s="377">
        <f>AF298*AG298</f>
        <v>0.24494897427831783</v>
      </c>
      <c r="AI298" s="378">
        <f>AH298^2</f>
        <v>6.0000000000000012E-2</v>
      </c>
      <c r="AJ298" s="379">
        <f>AI298^2/AE298</f>
        <v>9.000000000000003E-4</v>
      </c>
      <c r="AL298" s="374" t="s">
        <v>223</v>
      </c>
      <c r="AM298" s="19" t="str">
        <f>AN296</f>
        <v>µA</v>
      </c>
      <c r="AN298" s="375" t="s">
        <v>205</v>
      </c>
      <c r="AO298" s="376">
        <f>'Sert Time Electronics'!X161</f>
        <v>0.54772255750516619</v>
      </c>
      <c r="AP298" s="377">
        <f>SQRT(5)</f>
        <v>2.2360679774997898</v>
      </c>
      <c r="AQ298" s="375">
        <f>5-1</f>
        <v>4</v>
      </c>
      <c r="AR298" s="377">
        <f>AO298/AP298</f>
        <v>0.24494897427831783</v>
      </c>
      <c r="AS298" s="375">
        <v>1</v>
      </c>
      <c r="AT298" s="377">
        <f>AR298*AS298</f>
        <v>0.24494897427831783</v>
      </c>
      <c r="AU298" s="378">
        <f>AT298^2</f>
        <v>6.0000000000000012E-2</v>
      </c>
      <c r="AV298" s="379">
        <f>AU298^2/AQ298</f>
        <v>9.000000000000003E-4</v>
      </c>
      <c r="AX298" s="374" t="s">
        <v>223</v>
      </c>
      <c r="AY298" s="19" t="str">
        <f>AZ296</f>
        <v>µA</v>
      </c>
      <c r="AZ298" s="375" t="s">
        <v>205</v>
      </c>
      <c r="BA298" s="376">
        <f>'Sert Time Electronics'!X169</f>
        <v>0.44721359549995793</v>
      </c>
      <c r="BB298" s="377">
        <f>SQRT(5)</f>
        <v>2.2360679774997898</v>
      </c>
      <c r="BC298" s="375">
        <f>5-1</f>
        <v>4</v>
      </c>
      <c r="BD298" s="377">
        <f>BA298/BB298</f>
        <v>0.19999999999999998</v>
      </c>
      <c r="BE298" s="375">
        <v>1</v>
      </c>
      <c r="BF298" s="377">
        <f>BD298*BE298</f>
        <v>0.19999999999999998</v>
      </c>
      <c r="BG298" s="378">
        <f>BF298^2</f>
        <v>3.9999999999999994E-2</v>
      </c>
      <c r="BH298" s="379">
        <f>BG298^2/BC298</f>
        <v>3.9999999999999986E-4</v>
      </c>
      <c r="BI298" s="402"/>
    </row>
    <row r="299" spans="1:61" x14ac:dyDescent="0.35">
      <c r="A299" s="402"/>
      <c r="B299" s="380" t="s">
        <v>206</v>
      </c>
      <c r="C299" s="19" t="str">
        <f>C298</f>
        <v>µA</v>
      </c>
      <c r="D299" s="375" t="s">
        <v>205</v>
      </c>
      <c r="E299" s="381">
        <f>'Sert Time Electronics'!AA137</f>
        <v>1.4507134751277388</v>
      </c>
      <c r="F299" s="377">
        <v>2</v>
      </c>
      <c r="G299" s="375">
        <f>0.5*(100/10)^2</f>
        <v>50</v>
      </c>
      <c r="H299" s="377">
        <f>E299/F299</f>
        <v>0.72535673756386942</v>
      </c>
      <c r="I299" s="375">
        <v>1</v>
      </c>
      <c r="J299" s="377">
        <f>H299*I299</f>
        <v>0.72535673756386942</v>
      </c>
      <c r="K299" s="378">
        <f>J299^2</f>
        <v>0.52614239672930019</v>
      </c>
      <c r="L299" s="379">
        <f>K299^2/G299</f>
        <v>5.5365164327210456E-3</v>
      </c>
      <c r="N299" s="380" t="s">
        <v>206</v>
      </c>
      <c r="O299" s="19" t="str">
        <f>O298</f>
        <v>µA</v>
      </c>
      <c r="P299" s="375" t="s">
        <v>205</v>
      </c>
      <c r="Q299" s="381">
        <f>'Sert Time Electronics'!AA145</f>
        <v>1.4507134751277388</v>
      </c>
      <c r="R299" s="377">
        <v>2</v>
      </c>
      <c r="S299" s="375">
        <f>0.5*(100/10)^2</f>
        <v>50</v>
      </c>
      <c r="T299" s="377">
        <f>Q299/R299</f>
        <v>0.72535673756386942</v>
      </c>
      <c r="U299" s="375">
        <v>1</v>
      </c>
      <c r="V299" s="377">
        <f>T299*U299</f>
        <v>0.72535673756386942</v>
      </c>
      <c r="W299" s="378">
        <f>V299^2</f>
        <v>0.52614239672930019</v>
      </c>
      <c r="X299" s="379">
        <f>W299^2/S299</f>
        <v>5.5365164327210456E-3</v>
      </c>
      <c r="Z299" s="380" t="s">
        <v>206</v>
      </c>
      <c r="AA299" s="19" t="str">
        <f>AA298</f>
        <v>µA</v>
      </c>
      <c r="AB299" s="375" t="s">
        <v>205</v>
      </c>
      <c r="AC299" s="381">
        <f>'Sert Time Electronics'!AA153</f>
        <v>1.4515844626071646</v>
      </c>
      <c r="AD299" s="377">
        <v>2</v>
      </c>
      <c r="AE299" s="375">
        <f>0.5*(100/10)^2</f>
        <v>50</v>
      </c>
      <c r="AF299" s="377">
        <f>AC299/AD299</f>
        <v>0.72579223130358228</v>
      </c>
      <c r="AG299" s="375">
        <v>1</v>
      </c>
      <c r="AH299" s="377">
        <f>AF299*AG299</f>
        <v>0.72579223130358228</v>
      </c>
      <c r="AI299" s="378">
        <f>AH299^2</f>
        <v>0.52677436302063263</v>
      </c>
      <c r="AJ299" s="379">
        <f>AI299^2/AE299</f>
        <v>5.5498245907158652E-3</v>
      </c>
      <c r="AL299" s="380" t="s">
        <v>206</v>
      </c>
      <c r="AM299" s="19" t="str">
        <f>AM298</f>
        <v>µA</v>
      </c>
      <c r="AN299" s="375" t="s">
        <v>205</v>
      </c>
      <c r="AO299" s="381">
        <f>'Sert Time Electronics'!AA161</f>
        <v>1.4501328168081218</v>
      </c>
      <c r="AP299" s="377">
        <v>2</v>
      </c>
      <c r="AQ299" s="375">
        <f>0.5*(100/10)^2</f>
        <v>50</v>
      </c>
      <c r="AR299" s="377">
        <f>AO299/AP299</f>
        <v>0.72506640840406089</v>
      </c>
      <c r="AS299" s="375">
        <v>1</v>
      </c>
      <c r="AT299" s="377">
        <f>AR299*AS299</f>
        <v>0.72506640840406089</v>
      </c>
      <c r="AU299" s="378">
        <f>AT299^2</f>
        <v>0.52572129659596445</v>
      </c>
      <c r="AV299" s="379">
        <f>AU299^2/AQ299</f>
        <v>5.52765763389084E-3</v>
      </c>
      <c r="AX299" s="380" t="s">
        <v>206</v>
      </c>
      <c r="AY299" s="19" t="str">
        <f>AY298</f>
        <v>µA</v>
      </c>
      <c r="AZ299" s="375" t="s">
        <v>205</v>
      </c>
      <c r="BA299" s="381">
        <f>'Sert Time Electronics'!AA169</f>
        <v>1.4504231459679302</v>
      </c>
      <c r="BB299" s="377">
        <v>2</v>
      </c>
      <c r="BC299" s="375">
        <f>0.5*(100/10)^2</f>
        <v>50</v>
      </c>
      <c r="BD299" s="377">
        <f>BA299/BB299</f>
        <v>0.7252115729839651</v>
      </c>
      <c r="BE299" s="375">
        <v>1</v>
      </c>
      <c r="BF299" s="377">
        <f>BD299*BE299</f>
        <v>0.7252115729839651</v>
      </c>
      <c r="BG299" s="378">
        <f>BF299^2</f>
        <v>0.52593182558987694</v>
      </c>
      <c r="BH299" s="379">
        <f>BG299^2/BC299</f>
        <v>5.5320857033660156E-3</v>
      </c>
      <c r="BI299" s="402"/>
    </row>
    <row r="300" spans="1:61" x14ac:dyDescent="0.35">
      <c r="A300" s="402"/>
      <c r="B300" s="380" t="s">
        <v>207</v>
      </c>
      <c r="C300" s="19" t="str">
        <f>C299</f>
        <v>µA</v>
      </c>
      <c r="D300" s="375" t="s">
        <v>208</v>
      </c>
      <c r="E300" s="382">
        <f>'Sert Time Electronics'!Y137</f>
        <v>0.5</v>
      </c>
      <c r="F300" s="377">
        <f>SQRT(3)</f>
        <v>1.7320508075688772</v>
      </c>
      <c r="G300" s="375">
        <v>50</v>
      </c>
      <c r="H300" s="377">
        <f>E300/F300</f>
        <v>0.28867513459481292</v>
      </c>
      <c r="I300" s="375">
        <v>1</v>
      </c>
      <c r="J300" s="377">
        <f>H300*I300</f>
        <v>0.28867513459481292</v>
      </c>
      <c r="K300" s="378">
        <f>J300^2</f>
        <v>8.3333333333333356E-2</v>
      </c>
      <c r="L300" s="379">
        <f>K300^2/G300</f>
        <v>1.3888888888888897E-4</v>
      </c>
      <c r="N300" s="380" t="s">
        <v>207</v>
      </c>
      <c r="O300" s="19" t="str">
        <f>O299</f>
        <v>µA</v>
      </c>
      <c r="P300" s="375" t="s">
        <v>208</v>
      </c>
      <c r="Q300" s="382">
        <f>'Sert Time Electronics'!Y145</f>
        <v>0.5</v>
      </c>
      <c r="R300" s="377">
        <f>SQRT(3)</f>
        <v>1.7320508075688772</v>
      </c>
      <c r="S300" s="375">
        <v>50</v>
      </c>
      <c r="T300" s="377">
        <f>Q300/R300</f>
        <v>0.28867513459481292</v>
      </c>
      <c r="U300" s="375">
        <v>1</v>
      </c>
      <c r="V300" s="377">
        <f>T300*U300</f>
        <v>0.28867513459481292</v>
      </c>
      <c r="W300" s="378">
        <f>V300^2</f>
        <v>8.3333333333333356E-2</v>
      </c>
      <c r="X300" s="379">
        <f>W300^2/S300</f>
        <v>1.3888888888888897E-4</v>
      </c>
      <c r="Z300" s="380" t="s">
        <v>207</v>
      </c>
      <c r="AA300" s="19" t="str">
        <f>AA299</f>
        <v>µA</v>
      </c>
      <c r="AB300" s="375" t="s">
        <v>208</v>
      </c>
      <c r="AC300" s="382">
        <f>'Sert Time Electronics'!Y153</f>
        <v>0.5</v>
      </c>
      <c r="AD300" s="377">
        <f>SQRT(3)</f>
        <v>1.7320508075688772</v>
      </c>
      <c r="AE300" s="375">
        <v>50</v>
      </c>
      <c r="AF300" s="377">
        <f>AC300/AD300</f>
        <v>0.28867513459481292</v>
      </c>
      <c r="AG300" s="375">
        <v>1</v>
      </c>
      <c r="AH300" s="377">
        <f>AF300*AG300</f>
        <v>0.28867513459481292</v>
      </c>
      <c r="AI300" s="378">
        <f>AH300^2</f>
        <v>8.3333333333333356E-2</v>
      </c>
      <c r="AJ300" s="379">
        <f>AI300^2/AE300</f>
        <v>1.3888888888888897E-4</v>
      </c>
      <c r="AL300" s="380" t="s">
        <v>207</v>
      </c>
      <c r="AM300" s="19" t="str">
        <f>AM299</f>
        <v>µA</v>
      </c>
      <c r="AN300" s="375" t="s">
        <v>208</v>
      </c>
      <c r="AO300" s="382">
        <f>'Sert Time Electronics'!Y161</f>
        <v>0.5</v>
      </c>
      <c r="AP300" s="377">
        <f>SQRT(3)</f>
        <v>1.7320508075688772</v>
      </c>
      <c r="AQ300" s="375">
        <v>50</v>
      </c>
      <c r="AR300" s="377">
        <f>AO300/AP300</f>
        <v>0.28867513459481292</v>
      </c>
      <c r="AS300" s="375">
        <v>1</v>
      </c>
      <c r="AT300" s="377">
        <f>AR300*AS300</f>
        <v>0.28867513459481292</v>
      </c>
      <c r="AU300" s="378">
        <f>AT300^2</f>
        <v>8.3333333333333356E-2</v>
      </c>
      <c r="AV300" s="379">
        <f>AU300^2/AQ300</f>
        <v>1.3888888888888897E-4</v>
      </c>
      <c r="AX300" s="380" t="s">
        <v>207</v>
      </c>
      <c r="AY300" s="19" t="str">
        <f>AY299</f>
        <v>µA</v>
      </c>
      <c r="AZ300" s="375" t="s">
        <v>208</v>
      </c>
      <c r="BA300" s="382">
        <f>'Sert Time Electronics'!Y169</f>
        <v>0.5</v>
      </c>
      <c r="BB300" s="377">
        <f>SQRT(3)</f>
        <v>1.7320508075688772</v>
      </c>
      <c r="BC300" s="375">
        <v>50</v>
      </c>
      <c r="BD300" s="377">
        <f>BA300/BB300</f>
        <v>0.28867513459481292</v>
      </c>
      <c r="BE300" s="375">
        <v>1</v>
      </c>
      <c r="BF300" s="377">
        <f>BD300*BE300</f>
        <v>0.28867513459481292</v>
      </c>
      <c r="BG300" s="378">
        <f>BF300^2</f>
        <v>8.3333333333333356E-2</v>
      </c>
      <c r="BH300" s="379">
        <f>BG300^2/BC300</f>
        <v>1.3888888888888897E-4</v>
      </c>
      <c r="BI300" s="402"/>
    </row>
    <row r="301" spans="1:61" x14ac:dyDescent="0.35">
      <c r="A301" s="402"/>
      <c r="B301" s="383" t="s">
        <v>209</v>
      </c>
      <c r="C301" s="19" t="str">
        <f>C300</f>
        <v>µA</v>
      </c>
      <c r="D301" s="375" t="s">
        <v>208</v>
      </c>
      <c r="E301" s="381">
        <f>'Sert Time Electronics'!Z137</f>
        <v>0.48357115837591286</v>
      </c>
      <c r="F301" s="377">
        <f>SQRT(3)</f>
        <v>1.7320508075688772</v>
      </c>
      <c r="G301" s="375">
        <v>50</v>
      </c>
      <c r="H301" s="377">
        <f>E301/F301</f>
        <v>0.27918993846067247</v>
      </c>
      <c r="I301" s="375">
        <v>1</v>
      </c>
      <c r="J301" s="377">
        <f>H301*I301</f>
        <v>0.27918993846067247</v>
      </c>
      <c r="K301" s="378">
        <f>J301^2</f>
        <v>7.794702173767408E-2</v>
      </c>
      <c r="L301" s="379">
        <f>K301^2/G301</f>
        <v>1.2151476395546871E-4</v>
      </c>
      <c r="N301" s="383" t="s">
        <v>209</v>
      </c>
      <c r="O301" s="19" t="str">
        <f>O300</f>
        <v>µA</v>
      </c>
      <c r="P301" s="375" t="s">
        <v>208</v>
      </c>
      <c r="Q301" s="381">
        <f>'Sert Time Electronics'!Z145</f>
        <v>0.48357115837591286</v>
      </c>
      <c r="R301" s="377">
        <f>SQRT(3)</f>
        <v>1.7320508075688772</v>
      </c>
      <c r="S301" s="375">
        <v>50</v>
      </c>
      <c r="T301" s="377">
        <f>Q301/R301</f>
        <v>0.27918993846067247</v>
      </c>
      <c r="U301" s="375">
        <v>1</v>
      </c>
      <c r="V301" s="377">
        <f>T301*U301</f>
        <v>0.27918993846067247</v>
      </c>
      <c r="W301" s="378">
        <f>V301^2</f>
        <v>7.794702173767408E-2</v>
      </c>
      <c r="X301" s="379">
        <f>W301^2/S301</f>
        <v>1.2151476395546871E-4</v>
      </c>
      <c r="Z301" s="383" t="s">
        <v>209</v>
      </c>
      <c r="AA301" s="19" t="str">
        <f>AA300</f>
        <v>µA</v>
      </c>
      <c r="AB301" s="375" t="s">
        <v>208</v>
      </c>
      <c r="AC301" s="381">
        <f>'Sert Time Electronics'!Z153</f>
        <v>0.48386148753572145</v>
      </c>
      <c r="AD301" s="377">
        <f>SQRT(3)</f>
        <v>1.7320508075688772</v>
      </c>
      <c r="AE301" s="375">
        <v>50</v>
      </c>
      <c r="AF301" s="377">
        <f>AC301/AD301</f>
        <v>0.27935756007924156</v>
      </c>
      <c r="AG301" s="375">
        <v>1</v>
      </c>
      <c r="AH301" s="377">
        <f>AF301*AG301</f>
        <v>0.27935756007924156</v>
      </c>
      <c r="AI301" s="378">
        <f>AH301^2</f>
        <v>7.8040646373427058E-2</v>
      </c>
      <c r="AJ301" s="379">
        <f>AI301^2/AE301</f>
        <v>1.2180684972764588E-4</v>
      </c>
      <c r="AL301" s="383" t="s">
        <v>209</v>
      </c>
      <c r="AM301" s="19" t="str">
        <f>AM300</f>
        <v>µA</v>
      </c>
      <c r="AN301" s="375" t="s">
        <v>208</v>
      </c>
      <c r="AO301" s="381">
        <f>'Sert Time Electronics'!Z161</f>
        <v>0.48337760560270715</v>
      </c>
      <c r="AP301" s="377">
        <f>SQRT(3)</f>
        <v>1.7320508075688772</v>
      </c>
      <c r="AQ301" s="375">
        <v>50</v>
      </c>
      <c r="AR301" s="377">
        <f>AO301/AP301</f>
        <v>0.27907819071495976</v>
      </c>
      <c r="AS301" s="375">
        <v>1</v>
      </c>
      <c r="AT301" s="377">
        <f>AR301*AS301</f>
        <v>0.27907819071495976</v>
      </c>
      <c r="AU301" s="378">
        <f>AT301^2</f>
        <v>7.7884636532735446E-2</v>
      </c>
      <c r="AV301" s="379">
        <f>AU301^2/AQ301</f>
        <v>1.2132033215672618E-4</v>
      </c>
      <c r="AX301" s="383" t="s">
        <v>209</v>
      </c>
      <c r="AY301" s="19" t="str">
        <f>AY300</f>
        <v>µA</v>
      </c>
      <c r="AZ301" s="375" t="s">
        <v>208</v>
      </c>
      <c r="BA301" s="381">
        <f>'Sert Time Electronics'!Z169</f>
        <v>0.48347438198930998</v>
      </c>
      <c r="BB301" s="377">
        <f>SQRT(3)</f>
        <v>1.7320508075688772</v>
      </c>
      <c r="BC301" s="375">
        <v>50</v>
      </c>
      <c r="BD301" s="377">
        <f>BA301/BB301</f>
        <v>0.27913406458781609</v>
      </c>
      <c r="BE301" s="375">
        <v>1</v>
      </c>
      <c r="BF301" s="377">
        <f>BD301*BE301</f>
        <v>0.27913406458781609</v>
      </c>
      <c r="BG301" s="378">
        <f>BF301^2</f>
        <v>7.7915826013315079E-2</v>
      </c>
      <c r="BH301" s="379">
        <f>BG301^2/BC301</f>
        <v>1.2141751886674374E-4</v>
      </c>
      <c r="BI301" s="402"/>
    </row>
    <row r="302" spans="1:61" x14ac:dyDescent="0.35">
      <c r="A302" s="402"/>
      <c r="B302" s="374" t="s">
        <v>210</v>
      </c>
      <c r="C302" s="384"/>
      <c r="D302" s="384"/>
      <c r="E302" s="384"/>
      <c r="F302" s="384"/>
      <c r="G302" s="384"/>
      <c r="H302" s="384"/>
      <c r="I302" s="384"/>
      <c r="J302" s="384"/>
      <c r="K302" s="378">
        <f>SUM(K298:K301)</f>
        <v>0.68742275180030765</v>
      </c>
      <c r="L302" s="379">
        <f>SUM(L298:L301)</f>
        <v>5.7969200855654034E-3</v>
      </c>
      <c r="N302" s="374" t="s">
        <v>210</v>
      </c>
      <c r="O302" s="384"/>
      <c r="P302" s="384"/>
      <c r="Q302" s="384"/>
      <c r="R302" s="384"/>
      <c r="S302" s="384"/>
      <c r="T302" s="384"/>
      <c r="U302" s="384"/>
      <c r="V302" s="384"/>
      <c r="W302" s="378">
        <f>SUM(W298:W301)</f>
        <v>0.68742275180030765</v>
      </c>
      <c r="X302" s="379">
        <f>SUM(X298:X301)</f>
        <v>5.7969200855654034E-3</v>
      </c>
      <c r="Z302" s="374" t="s">
        <v>210</v>
      </c>
      <c r="AA302" s="384"/>
      <c r="AB302" s="384"/>
      <c r="AC302" s="384"/>
      <c r="AD302" s="384"/>
      <c r="AE302" s="384"/>
      <c r="AF302" s="384"/>
      <c r="AG302" s="384"/>
      <c r="AH302" s="384"/>
      <c r="AI302" s="378">
        <f>SUM(AI298:AI301)</f>
        <v>0.74814834272739317</v>
      </c>
      <c r="AJ302" s="379">
        <f>SUM(AJ298:AJ301)</f>
        <v>6.710520329332401E-3</v>
      </c>
      <c r="AL302" s="374" t="s">
        <v>210</v>
      </c>
      <c r="AM302" s="384"/>
      <c r="AN302" s="384"/>
      <c r="AO302" s="384"/>
      <c r="AP302" s="384"/>
      <c r="AQ302" s="384"/>
      <c r="AR302" s="384"/>
      <c r="AS302" s="384"/>
      <c r="AT302" s="384"/>
      <c r="AU302" s="378">
        <f>SUM(AU298:AU301)</f>
        <v>0.74693926646203335</v>
      </c>
      <c r="AV302" s="379">
        <f>SUM(AV298:AV301)</f>
        <v>6.6878668549364556E-3</v>
      </c>
      <c r="AX302" s="374" t="s">
        <v>210</v>
      </c>
      <c r="AY302" s="384"/>
      <c r="AZ302" s="384"/>
      <c r="BA302" s="384"/>
      <c r="BB302" s="384"/>
      <c r="BC302" s="384"/>
      <c r="BD302" s="384"/>
      <c r="BE302" s="384"/>
      <c r="BF302" s="384"/>
      <c r="BG302" s="378">
        <f>SUM(BG298:BG301)</f>
        <v>0.72718098493652539</v>
      </c>
      <c r="BH302" s="379">
        <f>SUM(BH298:BH301)</f>
        <v>6.192392111121648E-3</v>
      </c>
      <c r="BI302" s="402"/>
    </row>
    <row r="303" spans="1:61" ht="15" x14ac:dyDescent="0.4">
      <c r="A303" s="402"/>
      <c r="B303" s="374" t="s">
        <v>211</v>
      </c>
      <c r="C303" s="384"/>
      <c r="D303" s="384"/>
      <c r="E303" s="384"/>
      <c r="F303" s="384"/>
      <c r="G303" s="384"/>
      <c r="H303" s="385" t="s">
        <v>212</v>
      </c>
      <c r="I303" s="386"/>
      <c r="J303" s="384"/>
      <c r="K303" s="387">
        <f>SQRT(K302)</f>
        <v>0.82910961386315363</v>
      </c>
      <c r="L303" s="388"/>
      <c r="N303" s="374" t="s">
        <v>211</v>
      </c>
      <c r="O303" s="384"/>
      <c r="P303" s="384"/>
      <c r="Q303" s="384"/>
      <c r="R303" s="384"/>
      <c r="S303" s="384"/>
      <c r="T303" s="385" t="s">
        <v>212</v>
      </c>
      <c r="U303" s="386"/>
      <c r="V303" s="384"/>
      <c r="W303" s="387">
        <f>SQRT(W302)</f>
        <v>0.82910961386315363</v>
      </c>
      <c r="X303" s="388"/>
      <c r="Z303" s="374" t="s">
        <v>211</v>
      </c>
      <c r="AA303" s="384"/>
      <c r="AB303" s="384"/>
      <c r="AC303" s="384"/>
      <c r="AD303" s="384"/>
      <c r="AE303" s="384"/>
      <c r="AF303" s="385" t="s">
        <v>212</v>
      </c>
      <c r="AG303" s="386"/>
      <c r="AH303" s="384"/>
      <c r="AI303" s="387">
        <f>SQRT(AI302)</f>
        <v>0.86495568830281311</v>
      </c>
      <c r="AJ303" s="388"/>
      <c r="AL303" s="374" t="s">
        <v>211</v>
      </c>
      <c r="AM303" s="384"/>
      <c r="AN303" s="384"/>
      <c r="AO303" s="384"/>
      <c r="AP303" s="384"/>
      <c r="AQ303" s="384"/>
      <c r="AR303" s="385" t="s">
        <v>212</v>
      </c>
      <c r="AS303" s="386"/>
      <c r="AT303" s="384"/>
      <c r="AU303" s="387">
        <f>SQRT(AU302)</f>
        <v>0.86425648187446846</v>
      </c>
      <c r="AV303" s="388"/>
      <c r="AX303" s="374" t="s">
        <v>211</v>
      </c>
      <c r="AY303" s="384"/>
      <c r="AZ303" s="384"/>
      <c r="BA303" s="384"/>
      <c r="BB303" s="384"/>
      <c r="BC303" s="384"/>
      <c r="BD303" s="385" t="s">
        <v>212</v>
      </c>
      <c r="BE303" s="386"/>
      <c r="BF303" s="384"/>
      <c r="BG303" s="387">
        <f>SQRT(BG302)</f>
        <v>0.85274907501358532</v>
      </c>
      <c r="BH303" s="388"/>
      <c r="BI303" s="402"/>
    </row>
    <row r="304" spans="1:61" ht="16.5" x14ac:dyDescent="0.4">
      <c r="A304" s="402"/>
      <c r="B304" s="374" t="s">
        <v>213</v>
      </c>
      <c r="C304" s="384"/>
      <c r="D304" s="384"/>
      <c r="E304" s="384"/>
      <c r="F304" s="384"/>
      <c r="G304" s="384"/>
      <c r="H304" s="389" t="s">
        <v>214</v>
      </c>
      <c r="I304" s="390"/>
      <c r="J304" s="384"/>
      <c r="K304" s="375">
        <f>K303^4/L302</f>
        <v>81.517432139418105</v>
      </c>
      <c r="L304" s="388"/>
      <c r="N304" s="374" t="s">
        <v>213</v>
      </c>
      <c r="O304" s="384"/>
      <c r="P304" s="384"/>
      <c r="Q304" s="384"/>
      <c r="R304" s="384"/>
      <c r="S304" s="384"/>
      <c r="T304" s="389" t="s">
        <v>214</v>
      </c>
      <c r="U304" s="390"/>
      <c r="V304" s="384"/>
      <c r="W304" s="375">
        <f>W303^4/X302</f>
        <v>81.517432139418105</v>
      </c>
      <c r="X304" s="388"/>
      <c r="Z304" s="374" t="s">
        <v>213</v>
      </c>
      <c r="AA304" s="384"/>
      <c r="AB304" s="384"/>
      <c r="AC304" s="384"/>
      <c r="AD304" s="384"/>
      <c r="AE304" s="384"/>
      <c r="AF304" s="389" t="s">
        <v>214</v>
      </c>
      <c r="AG304" s="390"/>
      <c r="AH304" s="384"/>
      <c r="AI304" s="375">
        <f>AI303^4/AJ302</f>
        <v>83.410214894830588</v>
      </c>
      <c r="AJ304" s="388"/>
      <c r="AL304" s="374" t="s">
        <v>213</v>
      </c>
      <c r="AM304" s="384"/>
      <c r="AN304" s="384"/>
      <c r="AO304" s="384"/>
      <c r="AP304" s="384"/>
      <c r="AQ304" s="384"/>
      <c r="AR304" s="389" t="s">
        <v>214</v>
      </c>
      <c r="AS304" s="390"/>
      <c r="AT304" s="384"/>
      <c r="AU304" s="375">
        <f>AU303^4/AV302</f>
        <v>83.422454406524153</v>
      </c>
      <c r="AV304" s="388"/>
      <c r="AX304" s="374" t="s">
        <v>213</v>
      </c>
      <c r="AY304" s="384"/>
      <c r="AZ304" s="384"/>
      <c r="BA304" s="384"/>
      <c r="BB304" s="384"/>
      <c r="BC304" s="384"/>
      <c r="BD304" s="389" t="s">
        <v>214</v>
      </c>
      <c r="BE304" s="390"/>
      <c r="BF304" s="384"/>
      <c r="BG304" s="375">
        <f>BG303^4/BH302</f>
        <v>85.393847056864317</v>
      </c>
      <c r="BH304" s="388"/>
      <c r="BI304" s="402"/>
    </row>
    <row r="305" spans="1:61" x14ac:dyDescent="0.35">
      <c r="A305" s="402"/>
      <c r="B305" s="374" t="s">
        <v>215</v>
      </c>
      <c r="C305" s="384"/>
      <c r="D305" s="384"/>
      <c r="E305" s="384"/>
      <c r="F305" s="384"/>
      <c r="G305" s="384"/>
      <c r="H305" s="391" t="s">
        <v>216</v>
      </c>
      <c r="I305" s="392"/>
      <c r="J305" s="384"/>
      <c r="K305" s="377">
        <f>1.95996+(2.37356/K304)+(2.818745/K304^2)+(2.546662/K304^3)+(1.761829/K304^4)+(0.245458/K304^5)+(1.000764/K304^6)</f>
        <v>1.9895061334690989</v>
      </c>
      <c r="L305" s="393">
        <f>TINV(0.05,K304)</f>
        <v>1.9896863234569038</v>
      </c>
      <c r="N305" s="374" t="s">
        <v>215</v>
      </c>
      <c r="O305" s="384"/>
      <c r="P305" s="384"/>
      <c r="Q305" s="384"/>
      <c r="R305" s="384"/>
      <c r="S305" s="384"/>
      <c r="T305" s="391" t="s">
        <v>216</v>
      </c>
      <c r="U305" s="392"/>
      <c r="V305" s="384"/>
      <c r="W305" s="377">
        <f>1.95996+(2.37356/W304)+(2.818745/W304^2)+(2.546662/W304^3)+(1.761829/W304^4)+(0.245458/W304^5)+(1.000764/W304^6)</f>
        <v>1.9895061334690989</v>
      </c>
      <c r="X305" s="393">
        <f>TINV(0.05,W304)</f>
        <v>1.9896863234569038</v>
      </c>
      <c r="Z305" s="374" t="s">
        <v>215</v>
      </c>
      <c r="AA305" s="384"/>
      <c r="AB305" s="384"/>
      <c r="AC305" s="384"/>
      <c r="AD305" s="384"/>
      <c r="AE305" s="384"/>
      <c r="AF305" s="391" t="s">
        <v>216</v>
      </c>
      <c r="AG305" s="392"/>
      <c r="AH305" s="384"/>
      <c r="AI305" s="377">
        <f>1.95996+(2.37356/AI304)+(2.818745/AI304^2)+(2.546662/AI304^3)+(1.761829/AI304^4)+(0.245458/AI304^5)+(1.000764/AI304^6)</f>
        <v>1.9888260429731071</v>
      </c>
      <c r="AJ305" s="393">
        <f>TINV(0.05,AI304)</f>
        <v>1.9889597801751635</v>
      </c>
      <c r="AL305" s="374" t="s">
        <v>215</v>
      </c>
      <c r="AM305" s="384"/>
      <c r="AN305" s="384"/>
      <c r="AO305" s="384"/>
      <c r="AP305" s="384"/>
      <c r="AQ305" s="384"/>
      <c r="AR305" s="391" t="s">
        <v>216</v>
      </c>
      <c r="AS305" s="392"/>
      <c r="AT305" s="384"/>
      <c r="AU305" s="377">
        <f>1.95996+(2.37356/AU304)+(2.818745/AU304^2)+(2.546662/AU304^3)+(1.761829/AU304^4)+(0.245458/AU304^5)+(1.000764/AU304^6)</f>
        <v>1.9888217470896832</v>
      </c>
      <c r="AV305" s="393">
        <f>TINV(0.05,AU304)</f>
        <v>1.9889597801751635</v>
      </c>
      <c r="AX305" s="374" t="s">
        <v>215</v>
      </c>
      <c r="AY305" s="384"/>
      <c r="AZ305" s="384"/>
      <c r="BA305" s="384"/>
      <c r="BB305" s="384"/>
      <c r="BC305" s="384"/>
      <c r="BD305" s="391" t="s">
        <v>216</v>
      </c>
      <c r="BE305" s="392"/>
      <c r="BF305" s="384"/>
      <c r="BG305" s="377">
        <f>1.95996+(2.37356/BG304)+(2.818745/BG304^2)+(2.546662/BG304^3)+(1.761829/BG304^4)+(0.245458/BG304^5)+(1.000764/BG304^6)</f>
        <v>1.9881461154216791</v>
      </c>
      <c r="BH305" s="393">
        <f>TINV(0.05,BG304)</f>
        <v>1.9882679074772251</v>
      </c>
      <c r="BI305" s="402"/>
    </row>
    <row r="306" spans="1:61" ht="15.5" x14ac:dyDescent="0.35">
      <c r="A306" s="402"/>
      <c r="B306" s="374" t="s">
        <v>217</v>
      </c>
      <c r="C306" s="384"/>
      <c r="D306" s="384"/>
      <c r="E306" s="384"/>
      <c r="F306" s="384"/>
      <c r="G306" s="384"/>
      <c r="H306" s="394" t="s">
        <v>218</v>
      </c>
      <c r="I306" s="395"/>
      <c r="J306" s="384"/>
      <c r="K306" s="398">
        <f>K305*K303</f>
        <v>1.6495186620989404</v>
      </c>
      <c r="L306" s="19" t="str">
        <f>D296</f>
        <v>µA</v>
      </c>
      <c r="N306" s="374" t="s">
        <v>217</v>
      </c>
      <c r="O306" s="384"/>
      <c r="P306" s="384"/>
      <c r="Q306" s="384"/>
      <c r="R306" s="384"/>
      <c r="S306" s="384"/>
      <c r="T306" s="394" t="s">
        <v>218</v>
      </c>
      <c r="U306" s="395"/>
      <c r="V306" s="384"/>
      <c r="W306" s="398">
        <f>W305*W303</f>
        <v>1.6495186620989404</v>
      </c>
      <c r="X306" s="19" t="str">
        <f>P296</f>
        <v>µA</v>
      </c>
      <c r="Z306" s="374" t="s">
        <v>217</v>
      </c>
      <c r="AA306" s="384"/>
      <c r="AB306" s="384"/>
      <c r="AC306" s="384"/>
      <c r="AD306" s="384"/>
      <c r="AE306" s="384"/>
      <c r="AF306" s="394" t="s">
        <v>218</v>
      </c>
      <c r="AG306" s="395"/>
      <c r="AH306" s="384"/>
      <c r="AI306" s="398">
        <f>AI305*AI303</f>
        <v>1.7202463989143639</v>
      </c>
      <c r="AJ306" s="19" t="str">
        <f>AB296</f>
        <v>µA</v>
      </c>
      <c r="AL306" s="374" t="s">
        <v>217</v>
      </c>
      <c r="AM306" s="384"/>
      <c r="AN306" s="384"/>
      <c r="AO306" s="384"/>
      <c r="AP306" s="384"/>
      <c r="AQ306" s="384"/>
      <c r="AR306" s="394" t="s">
        <v>218</v>
      </c>
      <c r="AS306" s="395"/>
      <c r="AT306" s="384"/>
      <c r="AU306" s="398">
        <f>AU305*AU303</f>
        <v>1.7188520862151635</v>
      </c>
      <c r="AV306" s="19" t="str">
        <f>AN296</f>
        <v>µA</v>
      </c>
      <c r="AX306" s="374" t="s">
        <v>217</v>
      </c>
      <c r="AY306" s="384"/>
      <c r="AZ306" s="384"/>
      <c r="BA306" s="384"/>
      <c r="BB306" s="384"/>
      <c r="BC306" s="384"/>
      <c r="BD306" s="394" t="s">
        <v>218</v>
      </c>
      <c r="BE306" s="395"/>
      <c r="BF306" s="384"/>
      <c r="BG306" s="398">
        <f>BG305*BG303</f>
        <v>1.6953897609176898</v>
      </c>
      <c r="BH306" s="19" t="str">
        <f>AZ296</f>
        <v>µA</v>
      </c>
      <c r="BI306" s="402"/>
    </row>
    <row r="307" spans="1:61" x14ac:dyDescent="0.35">
      <c r="A307" s="402"/>
      <c r="B307" s="396"/>
      <c r="C307" s="396"/>
      <c r="D307" s="396"/>
      <c r="E307" s="396"/>
      <c r="F307" s="396"/>
      <c r="G307" s="396"/>
      <c r="H307" s="396"/>
      <c r="I307" s="396"/>
      <c r="J307" s="396"/>
      <c r="K307" s="388">
        <f>(K306/C296)*100</f>
        <v>0.16495186620989402</v>
      </c>
      <c r="L307" s="19" t="s">
        <v>219</v>
      </c>
      <c r="N307" s="396"/>
      <c r="O307" s="396"/>
      <c r="P307" s="396"/>
      <c r="Q307" s="396"/>
      <c r="R307" s="396"/>
      <c r="S307" s="396"/>
      <c r="T307" s="396"/>
      <c r="U307" s="396"/>
      <c r="V307" s="396"/>
      <c r="W307" s="388">
        <f>(W306/O296)*100</f>
        <v>0.16495186620989402</v>
      </c>
      <c r="X307" s="19" t="s">
        <v>219</v>
      </c>
      <c r="Z307" s="396"/>
      <c r="AA307" s="396"/>
      <c r="AB307" s="396"/>
      <c r="AC307" s="396"/>
      <c r="AD307" s="396"/>
      <c r="AE307" s="396"/>
      <c r="AF307" s="396"/>
      <c r="AG307" s="396"/>
      <c r="AH307" s="396"/>
      <c r="AI307" s="388">
        <f>(AI306/AA296)*100</f>
        <v>0.1720246398914364</v>
      </c>
      <c r="AJ307" s="19" t="s">
        <v>219</v>
      </c>
      <c r="AL307" s="396"/>
      <c r="AM307" s="396"/>
      <c r="AN307" s="396"/>
      <c r="AO307" s="396"/>
      <c r="AP307" s="396"/>
      <c r="AQ307" s="396"/>
      <c r="AR307" s="396"/>
      <c r="AS307" s="396"/>
      <c r="AT307" s="396"/>
      <c r="AU307" s="388">
        <f>(AU306/AM296)*100</f>
        <v>0.17188520862151635</v>
      </c>
      <c r="AV307" s="19" t="s">
        <v>219</v>
      </c>
      <c r="AX307" s="396"/>
      <c r="AY307" s="396"/>
      <c r="AZ307" s="396"/>
      <c r="BA307" s="396"/>
      <c r="BB307" s="396"/>
      <c r="BC307" s="396"/>
      <c r="BD307" s="396"/>
      <c r="BE307" s="396"/>
      <c r="BF307" s="396"/>
      <c r="BG307" s="388">
        <f>(BG306/AY296)*100</f>
        <v>0.16953897609176899</v>
      </c>
      <c r="BH307" s="19" t="s">
        <v>219</v>
      </c>
      <c r="BI307" s="402"/>
    </row>
    <row r="308" spans="1:61" x14ac:dyDescent="0.35">
      <c r="A308" s="402"/>
      <c r="B308" s="402"/>
      <c r="C308" s="402"/>
      <c r="D308" s="402"/>
      <c r="E308" s="402"/>
      <c r="F308" s="402"/>
      <c r="G308" s="402"/>
      <c r="H308" s="402"/>
      <c r="I308" s="402"/>
      <c r="J308" s="402"/>
      <c r="K308" s="402"/>
      <c r="L308" s="402"/>
      <c r="M308" s="402"/>
      <c r="N308" s="402"/>
      <c r="O308" s="402"/>
      <c r="P308" s="402"/>
      <c r="Q308" s="402"/>
      <c r="R308" s="402"/>
      <c r="S308" s="402"/>
      <c r="T308" s="402"/>
      <c r="U308" s="402"/>
      <c r="V308" s="402"/>
      <c r="W308" s="402"/>
      <c r="X308" s="402"/>
      <c r="Y308" s="402"/>
      <c r="Z308" s="402"/>
      <c r="AA308" s="402"/>
      <c r="AB308" s="402"/>
      <c r="AC308" s="402"/>
      <c r="AD308" s="402"/>
      <c r="AE308" s="402"/>
      <c r="AF308" s="402"/>
      <c r="AG308" s="402"/>
      <c r="AH308" s="402"/>
      <c r="AI308" s="402"/>
      <c r="AJ308" s="402"/>
      <c r="AK308" s="402"/>
      <c r="AL308" s="402"/>
      <c r="AM308" s="402"/>
      <c r="AN308" s="402"/>
      <c r="AO308" s="402"/>
      <c r="AP308" s="402"/>
      <c r="AQ308" s="402"/>
      <c r="AR308" s="402"/>
      <c r="AS308" s="402"/>
      <c r="AT308" s="402"/>
      <c r="AU308" s="402"/>
      <c r="AV308" s="402"/>
      <c r="AW308" s="402"/>
      <c r="AX308" s="402"/>
      <c r="AY308" s="402"/>
      <c r="AZ308" s="402"/>
      <c r="BA308" s="402"/>
      <c r="BB308" s="402"/>
      <c r="BC308" s="402"/>
      <c r="BD308" s="402"/>
      <c r="BE308" s="402"/>
      <c r="BF308" s="402"/>
      <c r="BG308" s="402"/>
      <c r="BH308" s="402"/>
      <c r="BI308" s="402"/>
    </row>
    <row r="309" spans="1:61" x14ac:dyDescent="0.35">
      <c r="A309" s="402"/>
      <c r="B309" s="402"/>
      <c r="C309" s="402"/>
      <c r="D309" s="402"/>
      <c r="E309" s="402"/>
      <c r="F309" s="402"/>
      <c r="G309" s="402"/>
      <c r="H309" s="402"/>
      <c r="I309" s="402"/>
      <c r="J309" s="402"/>
      <c r="K309" s="402"/>
      <c r="L309" s="402"/>
      <c r="M309" s="402"/>
      <c r="N309" s="402"/>
      <c r="O309" s="402"/>
      <c r="P309" s="402"/>
      <c r="Q309" s="402"/>
      <c r="R309" s="402"/>
      <c r="S309" s="402"/>
      <c r="T309" s="402"/>
      <c r="U309" s="402"/>
      <c r="V309" s="402"/>
      <c r="W309" s="402"/>
      <c r="X309" s="402"/>
      <c r="Y309" s="402"/>
      <c r="Z309" s="402"/>
      <c r="AA309" s="402"/>
      <c r="AB309" s="402"/>
      <c r="AC309" s="402"/>
      <c r="AD309" s="402"/>
      <c r="AE309" s="402"/>
      <c r="AF309" s="402"/>
      <c r="AG309" s="402"/>
      <c r="AH309" s="402"/>
      <c r="AI309" s="402"/>
      <c r="AJ309" s="402"/>
      <c r="AK309" s="402"/>
      <c r="AL309" s="402"/>
      <c r="AM309" s="402"/>
      <c r="AN309" s="402"/>
      <c r="AO309" s="402"/>
      <c r="AP309" s="402"/>
      <c r="AQ309" s="402"/>
      <c r="AR309" s="402"/>
      <c r="AS309" s="402"/>
      <c r="AT309" s="402"/>
      <c r="AU309" s="402"/>
      <c r="AV309" s="402"/>
      <c r="AW309" s="402"/>
      <c r="AX309" s="402"/>
      <c r="AY309" s="402"/>
      <c r="AZ309" s="402"/>
      <c r="BA309" s="402"/>
      <c r="BB309" s="402"/>
      <c r="BC309" s="402"/>
      <c r="BD309" s="402"/>
      <c r="BE309" s="402"/>
      <c r="BF309" s="402"/>
      <c r="BG309" s="402"/>
      <c r="BH309" s="402"/>
      <c r="BI309" s="402"/>
    </row>
    <row r="312" spans="1:61" x14ac:dyDescent="0.35">
      <c r="A312" s="467" t="str">
        <f>ID!B107</f>
        <v>5.</v>
      </c>
      <c r="B312" s="468" t="str">
        <f>ID!C107</f>
        <v xml:space="preserve">Kalibrasi Dual Lead Leakage Current </v>
      </c>
      <c r="C312" s="402"/>
      <c r="D312" s="402"/>
      <c r="E312" s="402"/>
      <c r="F312" s="402"/>
      <c r="G312" s="402"/>
      <c r="H312" s="402"/>
      <c r="I312" s="402"/>
      <c r="J312" s="402"/>
      <c r="K312" s="402"/>
      <c r="L312" s="402"/>
      <c r="M312" s="402"/>
      <c r="N312" s="402"/>
      <c r="O312" s="402"/>
      <c r="P312" s="402"/>
      <c r="Q312" s="402"/>
      <c r="R312" s="402"/>
      <c r="S312" s="402"/>
      <c r="T312" s="402"/>
      <c r="U312" s="402"/>
      <c r="V312" s="402"/>
      <c r="W312" s="402"/>
      <c r="X312" s="402"/>
      <c r="Y312" s="402"/>
    </row>
    <row r="313" spans="1:61" x14ac:dyDescent="0.35">
      <c r="A313" s="402"/>
      <c r="B313" s="396" t="s">
        <v>193</v>
      </c>
      <c r="C313" s="77">
        <f>ID!D111</f>
        <v>0</v>
      </c>
      <c r="D313" s="397" t="s">
        <v>222</v>
      </c>
      <c r="M313" s="402"/>
      <c r="N313" s="402"/>
      <c r="O313" s="402"/>
      <c r="P313" s="402"/>
      <c r="Q313" s="402"/>
      <c r="R313" s="402"/>
      <c r="S313" s="402"/>
      <c r="T313" s="402"/>
      <c r="U313" s="402"/>
      <c r="V313" s="402"/>
      <c r="W313" s="402"/>
      <c r="X313" s="402"/>
      <c r="Y313" s="402"/>
    </row>
    <row r="314" spans="1:61" x14ac:dyDescent="0.35">
      <c r="A314" s="402"/>
      <c r="B314" s="372" t="s">
        <v>194</v>
      </c>
      <c r="C314" s="373" t="s">
        <v>72</v>
      </c>
      <c r="D314" s="373" t="s">
        <v>195</v>
      </c>
      <c r="E314" s="372" t="s">
        <v>196</v>
      </c>
      <c r="F314" s="372" t="s">
        <v>197</v>
      </c>
      <c r="G314" s="372" t="s">
        <v>198</v>
      </c>
      <c r="H314" s="372" t="s">
        <v>199</v>
      </c>
      <c r="I314" s="372" t="s">
        <v>200</v>
      </c>
      <c r="J314" s="372" t="s">
        <v>201</v>
      </c>
      <c r="K314" s="372" t="s">
        <v>202</v>
      </c>
      <c r="L314" s="373" t="s">
        <v>203</v>
      </c>
      <c r="M314" s="402"/>
      <c r="N314" s="402"/>
      <c r="O314" s="402"/>
      <c r="P314" s="402"/>
      <c r="Q314" s="402"/>
      <c r="R314" s="402"/>
      <c r="S314" s="402"/>
      <c r="T314" s="402"/>
      <c r="U314" s="402"/>
      <c r="V314" s="402"/>
      <c r="W314" s="402"/>
      <c r="X314" s="402"/>
      <c r="Y314" s="402"/>
    </row>
    <row r="315" spans="1:61" x14ac:dyDescent="0.35">
      <c r="A315" s="402"/>
      <c r="B315" s="374" t="s">
        <v>223</v>
      </c>
      <c r="C315" s="19" t="str">
        <f>D313</f>
        <v>µA</v>
      </c>
      <c r="D315" s="375" t="s">
        <v>205</v>
      </c>
      <c r="E315" s="376">
        <f>'Sert Time Electronics'!X172</f>
        <v>0</v>
      </c>
      <c r="F315" s="377">
        <f>SQRT(5)</f>
        <v>2.2360679774997898</v>
      </c>
      <c r="G315" s="375">
        <f>5-1</f>
        <v>4</v>
      </c>
      <c r="H315" s="377">
        <f>E315/F315</f>
        <v>0</v>
      </c>
      <c r="I315" s="375">
        <v>1</v>
      </c>
      <c r="J315" s="377">
        <f>H315*I315</f>
        <v>0</v>
      </c>
      <c r="K315" s="378">
        <f>J315^2</f>
        <v>0</v>
      </c>
      <c r="L315" s="379">
        <f>K315^2/G315</f>
        <v>0</v>
      </c>
      <c r="M315" s="402"/>
      <c r="N315" s="402"/>
      <c r="O315" s="402"/>
      <c r="P315" s="402"/>
      <c r="Q315" s="402"/>
      <c r="R315" s="402"/>
      <c r="S315" s="402"/>
      <c r="T315" s="402"/>
      <c r="U315" s="402"/>
      <c r="V315" s="402"/>
      <c r="W315" s="402"/>
      <c r="X315" s="402"/>
      <c r="Y315" s="402"/>
    </row>
    <row r="316" spans="1:61" x14ac:dyDescent="0.35">
      <c r="A316" s="402"/>
      <c r="B316" s="380" t="s">
        <v>206</v>
      </c>
      <c r="C316" s="19" t="str">
        <f>C315</f>
        <v>µA</v>
      </c>
      <c r="D316" s="375" t="s">
        <v>205</v>
      </c>
      <c r="E316" s="381">
        <f>'Sert Time Electronics'!AA172</f>
        <v>5.1932188400600132E-4</v>
      </c>
      <c r="F316" s="377">
        <v>2</v>
      </c>
      <c r="G316" s="375">
        <f>0.5*(100/10)^2</f>
        <v>50</v>
      </c>
      <c r="H316" s="377">
        <f>E316/F316</f>
        <v>2.5966094200300066E-4</v>
      </c>
      <c r="I316" s="375">
        <v>1</v>
      </c>
      <c r="J316" s="377">
        <f>H316*I316</f>
        <v>2.5966094200300066E-4</v>
      </c>
      <c r="K316" s="378">
        <f>J316^2</f>
        <v>6.7423804801885667E-8</v>
      </c>
      <c r="L316" s="379">
        <f>K316^2/G316</f>
        <v>9.0919389079255608E-17</v>
      </c>
      <c r="M316" s="402"/>
      <c r="N316" s="402"/>
      <c r="O316" s="402"/>
      <c r="P316" s="402"/>
      <c r="Q316" s="402"/>
      <c r="R316" s="402"/>
      <c r="S316" s="402"/>
      <c r="T316" s="402"/>
      <c r="U316" s="402"/>
      <c r="V316" s="402"/>
      <c r="W316" s="402"/>
      <c r="X316" s="402"/>
      <c r="Y316" s="402"/>
    </row>
    <row r="317" spans="1:61" x14ac:dyDescent="0.35">
      <c r="A317" s="402"/>
      <c r="B317" s="380" t="s">
        <v>207</v>
      </c>
      <c r="C317" s="19" t="str">
        <f>C316</f>
        <v>µA</v>
      </c>
      <c r="D317" s="375" t="s">
        <v>208</v>
      </c>
      <c r="E317" s="382">
        <f>'Sert Time Electronics'!Y172</f>
        <v>0.05</v>
      </c>
      <c r="F317" s="377">
        <f>SQRT(3)</f>
        <v>1.7320508075688772</v>
      </c>
      <c r="G317" s="375">
        <v>50</v>
      </c>
      <c r="H317" s="377">
        <f>E317/F317</f>
        <v>2.8867513459481291E-2</v>
      </c>
      <c r="I317" s="375">
        <v>1</v>
      </c>
      <c r="J317" s="377">
        <f>H317*I317</f>
        <v>2.8867513459481291E-2</v>
      </c>
      <c r="K317" s="378">
        <f>J317^2</f>
        <v>8.333333333333335E-4</v>
      </c>
      <c r="L317" s="379">
        <f>K317^2/G317</f>
        <v>1.3888888888888894E-8</v>
      </c>
      <c r="M317" s="402"/>
      <c r="N317" s="402"/>
      <c r="O317" s="402"/>
      <c r="P317" s="402"/>
      <c r="Q317" s="402"/>
      <c r="R317" s="402"/>
      <c r="S317" s="402"/>
      <c r="T317" s="402"/>
      <c r="U317" s="402"/>
      <c r="V317" s="402"/>
      <c r="W317" s="402"/>
      <c r="X317" s="402"/>
      <c r="Y317" s="402"/>
    </row>
    <row r="318" spans="1:61" x14ac:dyDescent="0.35">
      <c r="A318" s="402"/>
      <c r="B318" s="383" t="s">
        <v>209</v>
      </c>
      <c r="C318" s="19" t="str">
        <f>C317</f>
        <v>µA</v>
      </c>
      <c r="D318" s="375" t="s">
        <v>208</v>
      </c>
      <c r="E318" s="381">
        <f>'Sert Time Electronics'!Z172</f>
        <v>1.7310729466867635E-4</v>
      </c>
      <c r="F318" s="377">
        <f>SQRT(3)</f>
        <v>1.7320508075688772</v>
      </c>
      <c r="G318" s="375">
        <v>50</v>
      </c>
      <c r="H318" s="377">
        <f>E318/F318</f>
        <v>9.9943543175648166E-5</v>
      </c>
      <c r="I318" s="375">
        <v>1</v>
      </c>
      <c r="J318" s="377">
        <f>H318*I318</f>
        <v>9.9943543175648166E-5</v>
      </c>
      <c r="K318" s="378">
        <f>J318^2</f>
        <v>9.9887118225026496E-9</v>
      </c>
      <c r="L318" s="379">
        <f>K318^2/G318</f>
        <v>1.995487277460084E-18</v>
      </c>
      <c r="M318" s="402"/>
      <c r="N318" s="402"/>
      <c r="O318" s="402"/>
      <c r="P318" s="402"/>
      <c r="Q318" s="402"/>
      <c r="R318" s="402"/>
      <c r="S318" s="402"/>
      <c r="T318" s="402"/>
      <c r="U318" s="402"/>
      <c r="V318" s="402"/>
      <c r="W318" s="402"/>
      <c r="X318" s="402"/>
      <c r="Y318" s="402"/>
    </row>
    <row r="319" spans="1:61" x14ac:dyDescent="0.35">
      <c r="A319" s="402"/>
      <c r="B319" s="374" t="s">
        <v>210</v>
      </c>
      <c r="C319" s="384"/>
      <c r="D319" s="384"/>
      <c r="E319" s="384"/>
      <c r="F319" s="384"/>
      <c r="G319" s="384"/>
      <c r="H319" s="384"/>
      <c r="I319" s="384"/>
      <c r="J319" s="384"/>
      <c r="K319" s="378">
        <f>SUM(K315:K318)</f>
        <v>8.3341074584995789E-4</v>
      </c>
      <c r="L319" s="379">
        <f>SUM(L315:L318)</f>
        <v>1.3888888981803769E-8</v>
      </c>
      <c r="M319" s="402"/>
      <c r="N319" s="402"/>
      <c r="O319" s="402"/>
      <c r="P319" s="402"/>
      <c r="Q319" s="402"/>
      <c r="R319" s="402"/>
      <c r="S319" s="402"/>
      <c r="T319" s="402"/>
      <c r="U319" s="402"/>
      <c r="V319" s="402"/>
      <c r="W319" s="402"/>
      <c r="X319" s="402"/>
      <c r="Y319" s="402"/>
    </row>
    <row r="320" spans="1:61" ht="15" x14ac:dyDescent="0.4">
      <c r="A320" s="402"/>
      <c r="B320" s="374" t="s">
        <v>211</v>
      </c>
      <c r="C320" s="384"/>
      <c r="D320" s="384"/>
      <c r="E320" s="384"/>
      <c r="F320" s="384"/>
      <c r="G320" s="384"/>
      <c r="H320" s="385" t="s">
        <v>212</v>
      </c>
      <c r="I320" s="386"/>
      <c r="J320" s="384"/>
      <c r="K320" s="387">
        <f>SQRT(K319)</f>
        <v>2.8868854252463119E-2</v>
      </c>
      <c r="L320" s="388"/>
      <c r="M320" s="402"/>
      <c r="N320" s="402"/>
      <c r="O320" s="402"/>
      <c r="P320" s="402"/>
      <c r="Q320" s="402"/>
      <c r="R320" s="402"/>
      <c r="S320" s="402"/>
      <c r="T320" s="402"/>
      <c r="U320" s="402"/>
      <c r="V320" s="402"/>
      <c r="W320" s="402"/>
      <c r="X320" s="402"/>
      <c r="Y320" s="402"/>
    </row>
    <row r="321" spans="1:25" ht="16.5" x14ac:dyDescent="0.4">
      <c r="A321" s="402"/>
      <c r="B321" s="374" t="s">
        <v>213</v>
      </c>
      <c r="C321" s="384"/>
      <c r="D321" s="384"/>
      <c r="E321" s="384"/>
      <c r="F321" s="384"/>
      <c r="G321" s="384"/>
      <c r="H321" s="389" t="s">
        <v>214</v>
      </c>
      <c r="I321" s="390"/>
      <c r="J321" s="384"/>
      <c r="K321" s="375">
        <f>K320^4/L319</f>
        <v>50.009289598913469</v>
      </c>
      <c r="L321" s="388"/>
      <c r="M321" s="402"/>
      <c r="N321" s="402"/>
      <c r="O321" s="402"/>
      <c r="P321" s="402"/>
      <c r="Q321" s="402"/>
      <c r="R321" s="402"/>
      <c r="S321" s="402"/>
      <c r="T321" s="402"/>
      <c r="U321" s="402"/>
      <c r="V321" s="402"/>
      <c r="W321" s="402"/>
      <c r="X321" s="402"/>
      <c r="Y321" s="402"/>
    </row>
    <row r="322" spans="1:25" x14ac:dyDescent="0.35">
      <c r="A322" s="402"/>
      <c r="B322" s="374" t="s">
        <v>215</v>
      </c>
      <c r="C322" s="384"/>
      <c r="D322" s="384"/>
      <c r="E322" s="384"/>
      <c r="F322" s="384"/>
      <c r="G322" s="384"/>
      <c r="H322" s="391" t="s">
        <v>216</v>
      </c>
      <c r="I322" s="392"/>
      <c r="J322" s="384"/>
      <c r="K322" s="377">
        <f>1.95996+(2.37356/K321)+(2.818745/K321^2)+(2.546662/K321^3)+(1.761829/K321^4)+(0.245458/K321^5)+(1.000764/K321^6)</f>
        <v>2.0085701055033329</v>
      </c>
      <c r="L322" s="393">
        <f>TINV(0.05,K321)</f>
        <v>2.0085591121007611</v>
      </c>
      <c r="M322" s="402"/>
      <c r="N322" s="402"/>
      <c r="O322" s="402"/>
      <c r="P322" s="402"/>
      <c r="Q322" s="402"/>
      <c r="R322" s="402"/>
      <c r="S322" s="402"/>
      <c r="T322" s="402"/>
      <c r="U322" s="402"/>
      <c r="V322" s="402"/>
      <c r="W322" s="402"/>
      <c r="X322" s="402"/>
      <c r="Y322" s="402"/>
    </row>
    <row r="323" spans="1:25" ht="15.5" x14ac:dyDescent="0.35">
      <c r="A323" s="402"/>
      <c r="B323" s="374" t="s">
        <v>217</v>
      </c>
      <c r="C323" s="384"/>
      <c r="D323" s="384"/>
      <c r="E323" s="384"/>
      <c r="F323" s="384"/>
      <c r="G323" s="384"/>
      <c r="H323" s="394" t="s">
        <v>218</v>
      </c>
      <c r="I323" s="395"/>
      <c r="J323" s="384"/>
      <c r="K323" s="398">
        <f>K322*K320</f>
        <v>5.7985117631630188E-2</v>
      </c>
      <c r="L323" s="19" t="str">
        <f>D313</f>
        <v>µA</v>
      </c>
      <c r="M323" s="402"/>
      <c r="N323" s="402"/>
      <c r="O323" s="402"/>
      <c r="P323" s="402"/>
      <c r="Q323" s="402"/>
      <c r="R323" s="402"/>
      <c r="S323" s="402"/>
      <c r="T323" s="402"/>
      <c r="U323" s="402"/>
      <c r="V323" s="402"/>
      <c r="W323" s="402"/>
      <c r="X323" s="402"/>
      <c r="Y323" s="402"/>
    </row>
    <row r="324" spans="1:25" x14ac:dyDescent="0.35">
      <c r="A324" s="402"/>
      <c r="B324" s="396"/>
      <c r="C324" s="396"/>
      <c r="D324" s="396"/>
      <c r="E324" s="396"/>
      <c r="F324" s="396"/>
      <c r="G324" s="396"/>
      <c r="H324" s="396"/>
      <c r="I324" s="396"/>
      <c r="J324" s="396"/>
      <c r="K324" s="388"/>
      <c r="L324" s="19" t="s">
        <v>219</v>
      </c>
      <c r="M324" s="402"/>
      <c r="N324" s="402"/>
      <c r="O324" s="402"/>
      <c r="P324" s="402"/>
      <c r="Q324" s="402"/>
      <c r="R324" s="402"/>
      <c r="S324" s="402"/>
      <c r="T324" s="402"/>
      <c r="U324" s="402"/>
      <c r="V324" s="402"/>
      <c r="W324" s="402"/>
      <c r="X324" s="402"/>
      <c r="Y324" s="402"/>
    </row>
    <row r="325" spans="1:25" x14ac:dyDescent="0.35">
      <c r="A325" s="402"/>
      <c r="B325" s="396" t="s">
        <v>193</v>
      </c>
      <c r="C325" s="77">
        <f>ID!D112</f>
        <v>1</v>
      </c>
      <c r="D325" s="397" t="s">
        <v>222</v>
      </c>
      <c r="M325" s="402"/>
      <c r="N325" s="402"/>
      <c r="O325" s="402"/>
      <c r="P325" s="402"/>
      <c r="Q325" s="402"/>
      <c r="R325" s="402"/>
      <c r="S325" s="402"/>
      <c r="T325" s="402"/>
      <c r="U325" s="402"/>
      <c r="V325" s="402"/>
      <c r="W325" s="402"/>
      <c r="X325" s="402"/>
      <c r="Y325" s="402"/>
    </row>
    <row r="326" spans="1:25" x14ac:dyDescent="0.35">
      <c r="A326" s="402"/>
      <c r="B326" s="372" t="s">
        <v>194</v>
      </c>
      <c r="C326" s="373" t="s">
        <v>72</v>
      </c>
      <c r="D326" s="373" t="s">
        <v>195</v>
      </c>
      <c r="E326" s="372" t="s">
        <v>196</v>
      </c>
      <c r="F326" s="372" t="s">
        <v>197</v>
      </c>
      <c r="G326" s="372" t="s">
        <v>198</v>
      </c>
      <c r="H326" s="372" t="s">
        <v>199</v>
      </c>
      <c r="I326" s="372" t="s">
        <v>200</v>
      </c>
      <c r="J326" s="372" t="s">
        <v>201</v>
      </c>
      <c r="K326" s="372" t="s">
        <v>202</v>
      </c>
      <c r="L326" s="373" t="s">
        <v>203</v>
      </c>
      <c r="M326" s="402"/>
      <c r="N326" s="402"/>
      <c r="O326" s="402"/>
      <c r="P326" s="402"/>
      <c r="Q326" s="402"/>
      <c r="R326" s="402"/>
      <c r="S326" s="402"/>
      <c r="T326" s="402"/>
      <c r="U326" s="402"/>
      <c r="V326" s="402"/>
      <c r="W326" s="402"/>
      <c r="X326" s="402"/>
      <c r="Y326" s="402"/>
    </row>
    <row r="327" spans="1:25" x14ac:dyDescent="0.35">
      <c r="A327" s="402"/>
      <c r="B327" s="374" t="s">
        <v>223</v>
      </c>
      <c r="C327" s="19" t="str">
        <f>D325</f>
        <v>µA</v>
      </c>
      <c r="D327" s="375" t="s">
        <v>205</v>
      </c>
      <c r="E327" s="376">
        <f>'Sert Time Electronics'!X173</f>
        <v>0</v>
      </c>
      <c r="F327" s="377">
        <f>SQRT(5)</f>
        <v>2.2360679774997898</v>
      </c>
      <c r="G327" s="375">
        <f>5-1</f>
        <v>4</v>
      </c>
      <c r="H327" s="377">
        <f>E327/F327</f>
        <v>0</v>
      </c>
      <c r="I327" s="375">
        <v>1</v>
      </c>
      <c r="J327" s="377">
        <f>H327*I327</f>
        <v>0</v>
      </c>
      <c r="K327" s="378">
        <f>J327^2</f>
        <v>0</v>
      </c>
      <c r="L327" s="379">
        <f>K327^2/G327</f>
        <v>0</v>
      </c>
      <c r="M327" s="402"/>
      <c r="N327" s="402"/>
      <c r="O327" s="402"/>
      <c r="P327" s="402"/>
      <c r="Q327" s="402"/>
      <c r="R327" s="402"/>
      <c r="S327" s="402"/>
      <c r="T327" s="402"/>
      <c r="U327" s="402"/>
      <c r="V327" s="402"/>
      <c r="W327" s="402"/>
      <c r="X327" s="402"/>
      <c r="Y327" s="402"/>
    </row>
    <row r="328" spans="1:25" x14ac:dyDescent="0.35">
      <c r="A328" s="402"/>
      <c r="B328" s="380" t="s">
        <v>206</v>
      </c>
      <c r="C328" s="19" t="str">
        <f>C327</f>
        <v>µA</v>
      </c>
      <c r="D328" s="375" t="s">
        <v>205</v>
      </c>
      <c r="E328" s="381">
        <f>'Sert Time Electronics'!AA173</f>
        <v>1.0999802036231116E-3</v>
      </c>
      <c r="F328" s="377">
        <v>2</v>
      </c>
      <c r="G328" s="375">
        <f>0.5*(100/10)^2</f>
        <v>50</v>
      </c>
      <c r="H328" s="377">
        <f>E328/F328</f>
        <v>5.4999010181155581E-4</v>
      </c>
      <c r="I328" s="375">
        <v>1</v>
      </c>
      <c r="J328" s="377">
        <f>H328*I328</f>
        <v>5.4999010181155581E-4</v>
      </c>
      <c r="K328" s="378">
        <f>J328^2</f>
        <v>3.0248911209068553E-7</v>
      </c>
      <c r="L328" s="379">
        <f>K328^2/G328</f>
        <v>1.8299932586682263E-15</v>
      </c>
      <c r="M328" s="402"/>
      <c r="N328" s="402"/>
      <c r="O328" s="402"/>
      <c r="P328" s="402"/>
      <c r="Q328" s="402"/>
      <c r="R328" s="402"/>
      <c r="S328" s="402"/>
      <c r="T328" s="402"/>
      <c r="U328" s="402"/>
      <c r="V328" s="402"/>
      <c r="W328" s="402"/>
      <c r="X328" s="402"/>
      <c r="Y328" s="402"/>
    </row>
    <row r="329" spans="1:25" x14ac:dyDescent="0.35">
      <c r="A329" s="402"/>
      <c r="B329" s="380" t="s">
        <v>207</v>
      </c>
      <c r="C329" s="19" t="str">
        <f>C328</f>
        <v>µA</v>
      </c>
      <c r="D329" s="375" t="s">
        <v>208</v>
      </c>
      <c r="E329" s="382">
        <f>'Sert Time Electronics'!Y173</f>
        <v>0.05</v>
      </c>
      <c r="F329" s="377">
        <f>SQRT(3)</f>
        <v>1.7320508075688772</v>
      </c>
      <c r="G329" s="375">
        <v>50</v>
      </c>
      <c r="H329" s="377">
        <f>E329/F329</f>
        <v>2.8867513459481291E-2</v>
      </c>
      <c r="I329" s="375">
        <v>1</v>
      </c>
      <c r="J329" s="377">
        <f>H329*I329</f>
        <v>2.8867513459481291E-2</v>
      </c>
      <c r="K329" s="378">
        <f>J329^2</f>
        <v>8.333333333333335E-4</v>
      </c>
      <c r="L329" s="379">
        <f>K329^2/G329</f>
        <v>1.3888888888888894E-8</v>
      </c>
      <c r="M329" s="402"/>
      <c r="N329" s="402"/>
      <c r="O329" s="402"/>
      <c r="P329" s="402"/>
      <c r="Q329" s="402"/>
      <c r="R329" s="402"/>
      <c r="S329" s="402"/>
      <c r="T329" s="402"/>
      <c r="U329" s="402"/>
      <c r="V329" s="402"/>
      <c r="W329" s="402"/>
      <c r="X329" s="402"/>
      <c r="Y329" s="402"/>
    </row>
    <row r="330" spans="1:25" x14ac:dyDescent="0.35">
      <c r="A330" s="402"/>
      <c r="B330" s="383" t="s">
        <v>209</v>
      </c>
      <c r="C330" s="19" t="str">
        <f>C329</f>
        <v>µA</v>
      </c>
      <c r="D330" s="375" t="s">
        <v>208</v>
      </c>
      <c r="E330" s="381">
        <f>'Sert Time Electronics'!Z173</f>
        <v>3.6666006787437972E-4</v>
      </c>
      <c r="F330" s="377">
        <f>SQRT(3)</f>
        <v>1.7320508075688772</v>
      </c>
      <c r="G330" s="375">
        <v>50</v>
      </c>
      <c r="H330" s="377">
        <f>E330/F330</f>
        <v>2.1169128888835959E-4</v>
      </c>
      <c r="I330" s="375">
        <v>1</v>
      </c>
      <c r="J330" s="377">
        <f>H330*I330</f>
        <v>2.1169128888835959E-4</v>
      </c>
      <c r="K330" s="378">
        <f>J330^2</f>
        <v>4.4813201791214919E-8</v>
      </c>
      <c r="L330" s="379">
        <f>K330^2/G330</f>
        <v>4.016446109560296E-17</v>
      </c>
      <c r="M330" s="402"/>
      <c r="N330" s="402"/>
      <c r="O330" s="402"/>
      <c r="P330" s="402"/>
      <c r="Q330" s="402"/>
      <c r="R330" s="402"/>
      <c r="S330" s="402"/>
      <c r="T330" s="402"/>
      <c r="U330" s="402"/>
      <c r="V330" s="402"/>
      <c r="W330" s="402"/>
      <c r="X330" s="402"/>
      <c r="Y330" s="402"/>
    </row>
    <row r="331" spans="1:25" x14ac:dyDescent="0.35">
      <c r="A331" s="402"/>
      <c r="B331" s="374" t="s">
        <v>210</v>
      </c>
      <c r="C331" s="384"/>
      <c r="D331" s="384"/>
      <c r="E331" s="384"/>
      <c r="F331" s="384"/>
      <c r="G331" s="384"/>
      <c r="H331" s="384"/>
      <c r="I331" s="384"/>
      <c r="J331" s="384"/>
      <c r="K331" s="378">
        <f>SUM(K327:K330)</f>
        <v>8.3368063564721537E-4</v>
      </c>
      <c r="L331" s="379">
        <f>SUM(L327:L330)</f>
        <v>1.3888890759046613E-8</v>
      </c>
      <c r="M331" s="402"/>
      <c r="N331" s="402"/>
      <c r="O331" s="402"/>
      <c r="P331" s="402"/>
      <c r="Q331" s="402"/>
      <c r="R331" s="402"/>
      <c r="S331" s="402"/>
      <c r="T331" s="402"/>
      <c r="U331" s="402"/>
      <c r="V331" s="402"/>
      <c r="W331" s="402"/>
      <c r="X331" s="402"/>
      <c r="Y331" s="402"/>
    </row>
    <row r="332" spans="1:25" ht="15" x14ac:dyDescent="0.4">
      <c r="A332" s="402"/>
      <c r="B332" s="374" t="s">
        <v>211</v>
      </c>
      <c r="C332" s="384"/>
      <c r="D332" s="384"/>
      <c r="E332" s="384"/>
      <c r="F332" s="384"/>
      <c r="G332" s="384"/>
      <c r="H332" s="385" t="s">
        <v>212</v>
      </c>
      <c r="I332" s="386"/>
      <c r="J332" s="384"/>
      <c r="K332" s="387">
        <f>SQRT(K331)</f>
        <v>2.8873528285389981E-2</v>
      </c>
      <c r="L332" s="388"/>
      <c r="M332" s="402"/>
      <c r="N332" s="402"/>
      <c r="O332" s="402"/>
      <c r="P332" s="402"/>
      <c r="Q332" s="402"/>
      <c r="R332" s="402"/>
      <c r="S332" s="402"/>
      <c r="T332" s="402"/>
      <c r="U332" s="402"/>
      <c r="V332" s="402"/>
      <c r="W332" s="402"/>
      <c r="X332" s="402"/>
      <c r="Y332" s="402"/>
    </row>
    <row r="333" spans="1:25" ht="16.5" x14ac:dyDescent="0.4">
      <c r="A333" s="402"/>
      <c r="B333" s="374" t="s">
        <v>213</v>
      </c>
      <c r="C333" s="384"/>
      <c r="D333" s="384"/>
      <c r="E333" s="384"/>
      <c r="F333" s="384"/>
      <c r="G333" s="384"/>
      <c r="H333" s="389" t="s">
        <v>214</v>
      </c>
      <c r="I333" s="390"/>
      <c r="J333" s="384"/>
      <c r="K333" s="375">
        <f>K332^4/L331</f>
        <v>50.041678224046613</v>
      </c>
      <c r="L333" s="388"/>
      <c r="M333" s="402"/>
      <c r="N333" s="402"/>
      <c r="O333" s="402"/>
      <c r="P333" s="402"/>
      <c r="Q333" s="402"/>
      <c r="R333" s="402"/>
      <c r="S333" s="402"/>
      <c r="T333" s="402"/>
      <c r="U333" s="402"/>
      <c r="V333" s="402"/>
      <c r="W333" s="402"/>
      <c r="X333" s="402"/>
      <c r="Y333" s="402"/>
    </row>
    <row r="334" spans="1:25" x14ac:dyDescent="0.35">
      <c r="A334" s="402"/>
      <c r="B334" s="374" t="s">
        <v>215</v>
      </c>
      <c r="C334" s="384"/>
      <c r="D334" s="384"/>
      <c r="E334" s="384"/>
      <c r="F334" s="384"/>
      <c r="G334" s="384"/>
      <c r="H334" s="391" t="s">
        <v>216</v>
      </c>
      <c r="I334" s="392"/>
      <c r="J334" s="384"/>
      <c r="K334" s="377">
        <f>1.95996+(2.37356/K333)+(2.818745/K333^2)+(2.546662/K333^3)+(1.761829/K333^4)+(0.245458/K333^5)+(1.000764/K333^6)</f>
        <v>2.0085378875478934</v>
      </c>
      <c r="L334" s="393">
        <f>TINV(0.05,K333)</f>
        <v>2.0085591121007611</v>
      </c>
      <c r="M334" s="402"/>
      <c r="N334" s="402"/>
      <c r="O334" s="402"/>
      <c r="P334" s="402"/>
      <c r="Q334" s="402"/>
      <c r="R334" s="402"/>
      <c r="S334" s="402"/>
      <c r="T334" s="402"/>
      <c r="U334" s="402"/>
      <c r="V334" s="402"/>
      <c r="W334" s="402"/>
      <c r="X334" s="402"/>
      <c r="Y334" s="402"/>
    </row>
    <row r="335" spans="1:25" ht="15.5" x14ac:dyDescent="0.35">
      <c r="A335" s="402"/>
      <c r="B335" s="374" t="s">
        <v>217</v>
      </c>
      <c r="C335" s="384"/>
      <c r="D335" s="384"/>
      <c r="E335" s="384"/>
      <c r="F335" s="384"/>
      <c r="G335" s="384"/>
      <c r="H335" s="394" t="s">
        <v>218</v>
      </c>
      <c r="I335" s="395"/>
      <c r="J335" s="384"/>
      <c r="K335" s="398">
        <f>K334*K332</f>
        <v>5.7993575508391543E-2</v>
      </c>
      <c r="L335" s="19" t="str">
        <f>D325</f>
        <v>µA</v>
      </c>
      <c r="M335" s="402"/>
      <c r="N335" s="402"/>
      <c r="O335" s="402"/>
      <c r="P335" s="402"/>
      <c r="Q335" s="402"/>
      <c r="R335" s="402"/>
      <c r="S335" s="402"/>
      <c r="T335" s="402"/>
      <c r="U335" s="402"/>
      <c r="V335" s="402"/>
      <c r="W335" s="402"/>
      <c r="X335" s="402"/>
      <c r="Y335" s="402"/>
    </row>
    <row r="336" spans="1:25" x14ac:dyDescent="0.35">
      <c r="A336" s="402"/>
      <c r="B336" s="396"/>
      <c r="C336" s="396"/>
      <c r="D336" s="396"/>
      <c r="E336" s="396"/>
      <c r="F336" s="396"/>
      <c r="G336" s="396"/>
      <c r="H336" s="396"/>
      <c r="I336" s="396"/>
      <c r="J336" s="396"/>
      <c r="K336" s="388">
        <f>(K335/C325)*100</f>
        <v>5.7993575508391544</v>
      </c>
      <c r="L336" s="19" t="s">
        <v>219</v>
      </c>
      <c r="M336" s="402"/>
      <c r="N336" s="402"/>
      <c r="O336" s="402"/>
      <c r="P336" s="402"/>
      <c r="Q336" s="402"/>
      <c r="R336" s="402"/>
      <c r="S336" s="402"/>
      <c r="T336" s="402"/>
      <c r="U336" s="402"/>
      <c r="V336" s="402"/>
      <c r="W336" s="402"/>
      <c r="X336" s="402"/>
      <c r="Y336" s="402"/>
    </row>
    <row r="337" spans="1:25" x14ac:dyDescent="0.35">
      <c r="A337" s="402"/>
      <c r="B337" s="396" t="s">
        <v>193</v>
      </c>
      <c r="C337" s="77">
        <f>ID!D113</f>
        <v>50</v>
      </c>
      <c r="D337" s="397" t="s">
        <v>222</v>
      </c>
      <c r="M337" s="402"/>
      <c r="N337" s="402"/>
      <c r="O337" s="402"/>
      <c r="P337" s="402"/>
      <c r="Q337" s="402"/>
      <c r="R337" s="402"/>
      <c r="S337" s="402"/>
      <c r="T337" s="402"/>
      <c r="U337" s="402"/>
      <c r="V337" s="402"/>
      <c r="W337" s="402"/>
      <c r="X337" s="402"/>
      <c r="Y337" s="402"/>
    </row>
    <row r="338" spans="1:25" x14ac:dyDescent="0.35">
      <c r="A338" s="402"/>
      <c r="B338" s="372" t="s">
        <v>194</v>
      </c>
      <c r="C338" s="373" t="s">
        <v>72</v>
      </c>
      <c r="D338" s="373" t="s">
        <v>195</v>
      </c>
      <c r="E338" s="372" t="s">
        <v>196</v>
      </c>
      <c r="F338" s="372" t="s">
        <v>197</v>
      </c>
      <c r="G338" s="372" t="s">
        <v>198</v>
      </c>
      <c r="H338" s="372" t="s">
        <v>199</v>
      </c>
      <c r="I338" s="372" t="s">
        <v>200</v>
      </c>
      <c r="J338" s="372" t="s">
        <v>201</v>
      </c>
      <c r="K338" s="372" t="s">
        <v>202</v>
      </c>
      <c r="L338" s="373" t="s">
        <v>203</v>
      </c>
      <c r="M338" s="402"/>
      <c r="N338" s="402"/>
      <c r="O338" s="402"/>
      <c r="P338" s="402"/>
      <c r="Q338" s="402"/>
      <c r="R338" s="402"/>
      <c r="S338" s="402"/>
      <c r="T338" s="402"/>
      <c r="U338" s="402"/>
      <c r="V338" s="402"/>
      <c r="W338" s="402"/>
      <c r="X338" s="402"/>
      <c r="Y338" s="402"/>
    </row>
    <row r="339" spans="1:25" x14ac:dyDescent="0.35">
      <c r="A339" s="402"/>
      <c r="B339" s="374" t="s">
        <v>223</v>
      </c>
      <c r="C339" s="19" t="str">
        <f>D337</f>
        <v>µA</v>
      </c>
      <c r="D339" s="375" t="s">
        <v>205</v>
      </c>
      <c r="E339" s="376">
        <f>'Sert Time Electronics'!X174</f>
        <v>0</v>
      </c>
      <c r="F339" s="377">
        <f>SQRT(5)</f>
        <v>2.2360679774997898</v>
      </c>
      <c r="G339" s="375">
        <f>5-1</f>
        <v>4</v>
      </c>
      <c r="H339" s="377">
        <f>E339/F339</f>
        <v>0</v>
      </c>
      <c r="I339" s="375">
        <v>1</v>
      </c>
      <c r="J339" s="377">
        <f>H339*I339</f>
        <v>0</v>
      </c>
      <c r="K339" s="378">
        <f>J339^2</f>
        <v>0</v>
      </c>
      <c r="L339" s="379">
        <f>K339^2/G339</f>
        <v>0</v>
      </c>
      <c r="M339" s="402"/>
      <c r="N339" s="402"/>
      <c r="O339" s="402"/>
      <c r="P339" s="402"/>
      <c r="Q339" s="402"/>
      <c r="R339" s="402"/>
      <c r="S339" s="402"/>
      <c r="T339" s="402"/>
      <c r="U339" s="402"/>
      <c r="V339" s="402"/>
      <c r="W339" s="402"/>
      <c r="X339" s="402"/>
      <c r="Y339" s="402"/>
    </row>
    <row r="340" spans="1:25" x14ac:dyDescent="0.35">
      <c r="A340" s="402"/>
      <c r="B340" s="380" t="s">
        <v>206</v>
      </c>
      <c r="C340" s="19" t="str">
        <f>C339</f>
        <v>µA</v>
      </c>
      <c r="D340" s="375" t="s">
        <v>205</v>
      </c>
      <c r="E340" s="381">
        <f>'Sert Time Electronics'!AA174</f>
        <v>7.1504801457197731E-2</v>
      </c>
      <c r="F340" s="377">
        <v>2</v>
      </c>
      <c r="G340" s="375">
        <f>0.5*(100/10)^2</f>
        <v>50</v>
      </c>
      <c r="H340" s="377">
        <f>E340/F340</f>
        <v>3.5752400728598865E-2</v>
      </c>
      <c r="I340" s="375">
        <v>1</v>
      </c>
      <c r="J340" s="377">
        <f>H340*I340</f>
        <v>3.5752400728598865E-2</v>
      </c>
      <c r="K340" s="378">
        <f>J340^2</f>
        <v>1.2782341578583168E-3</v>
      </c>
      <c r="L340" s="379">
        <f>K340^2/G340</f>
        <v>3.2677651246315204E-8</v>
      </c>
      <c r="M340" s="402"/>
      <c r="N340" s="402"/>
      <c r="O340" s="402"/>
      <c r="P340" s="402"/>
      <c r="Q340" s="402"/>
      <c r="R340" s="402"/>
      <c r="S340" s="402"/>
      <c r="T340" s="402"/>
      <c r="U340" s="402"/>
      <c r="V340" s="402"/>
      <c r="W340" s="402"/>
      <c r="X340" s="402"/>
      <c r="Y340" s="402"/>
    </row>
    <row r="341" spans="1:25" x14ac:dyDescent="0.35">
      <c r="A341" s="402"/>
      <c r="B341" s="380" t="s">
        <v>207</v>
      </c>
      <c r="C341" s="19" t="str">
        <f>C340</f>
        <v>µA</v>
      </c>
      <c r="D341" s="375" t="s">
        <v>208</v>
      </c>
      <c r="E341" s="382">
        <f>'Sert Time Electronics'!Y174</f>
        <v>0.05</v>
      </c>
      <c r="F341" s="377">
        <f>SQRT(3)</f>
        <v>1.7320508075688772</v>
      </c>
      <c r="G341" s="375">
        <v>50</v>
      </c>
      <c r="H341" s="377">
        <f>E341/F341</f>
        <v>2.8867513459481291E-2</v>
      </c>
      <c r="I341" s="375">
        <v>1</v>
      </c>
      <c r="J341" s="377">
        <f>H341*I341</f>
        <v>2.8867513459481291E-2</v>
      </c>
      <c r="K341" s="378">
        <f>J341^2</f>
        <v>8.333333333333335E-4</v>
      </c>
      <c r="L341" s="379">
        <f>K341^2/G341</f>
        <v>1.3888888888888894E-8</v>
      </c>
      <c r="M341" s="402"/>
      <c r="N341" s="402"/>
      <c r="O341" s="402"/>
      <c r="P341" s="402"/>
      <c r="Q341" s="402"/>
      <c r="R341" s="402"/>
      <c r="S341" s="402"/>
      <c r="T341" s="402"/>
      <c r="U341" s="402"/>
      <c r="V341" s="402"/>
      <c r="W341" s="402"/>
      <c r="X341" s="402"/>
      <c r="Y341" s="402"/>
    </row>
    <row r="342" spans="1:25" x14ac:dyDescent="0.35">
      <c r="A342" s="402"/>
      <c r="B342" s="383" t="s">
        <v>209</v>
      </c>
      <c r="C342" s="19" t="str">
        <f>C341</f>
        <v>µA</v>
      </c>
      <c r="D342" s="375" t="s">
        <v>208</v>
      </c>
      <c r="E342" s="381">
        <f>'Sert Time Electronics'!Z174</f>
        <v>2.3834933819065915E-2</v>
      </c>
      <c r="F342" s="377">
        <f>SQRT(3)</f>
        <v>1.7320508075688772</v>
      </c>
      <c r="G342" s="375">
        <v>50</v>
      </c>
      <c r="H342" s="377">
        <f>E342/F342</f>
        <v>1.3761105456554621E-2</v>
      </c>
      <c r="I342" s="375">
        <v>1</v>
      </c>
      <c r="J342" s="377">
        <f>H342*I342</f>
        <v>1.3761105456554621E-2</v>
      </c>
      <c r="K342" s="378">
        <f>J342^2</f>
        <v>1.8936802338641738E-4</v>
      </c>
      <c r="L342" s="379">
        <f>K342^2/G342</f>
        <v>7.1720496562557432E-10</v>
      </c>
      <c r="M342" s="402"/>
      <c r="N342" s="402"/>
      <c r="O342" s="402"/>
      <c r="P342" s="402"/>
      <c r="Q342" s="402"/>
      <c r="R342" s="402"/>
      <c r="S342" s="402"/>
      <c r="T342" s="402"/>
      <c r="U342" s="402"/>
      <c r="V342" s="402"/>
      <c r="W342" s="402"/>
      <c r="X342" s="402"/>
      <c r="Y342" s="402"/>
    </row>
    <row r="343" spans="1:25" x14ac:dyDescent="0.35">
      <c r="A343" s="402"/>
      <c r="B343" s="374" t="s">
        <v>210</v>
      </c>
      <c r="C343" s="384"/>
      <c r="D343" s="384"/>
      <c r="E343" s="384"/>
      <c r="F343" s="384"/>
      <c r="G343" s="384"/>
      <c r="H343" s="384"/>
      <c r="I343" s="384"/>
      <c r="J343" s="384"/>
      <c r="K343" s="378">
        <f>SUM(K339:K342)</f>
        <v>2.3009355145780677E-3</v>
      </c>
      <c r="L343" s="379">
        <f>SUM(L339:L342)</f>
        <v>4.7283745100829667E-8</v>
      </c>
      <c r="M343" s="402"/>
      <c r="N343" s="402"/>
      <c r="O343" s="402"/>
      <c r="P343" s="402"/>
      <c r="Q343" s="402"/>
      <c r="R343" s="402"/>
      <c r="S343" s="402"/>
      <c r="T343" s="402"/>
      <c r="U343" s="402"/>
      <c r="V343" s="402"/>
      <c r="W343" s="402"/>
      <c r="X343" s="402"/>
      <c r="Y343" s="402"/>
    </row>
    <row r="344" spans="1:25" ht="15" x14ac:dyDescent="0.4">
      <c r="A344" s="402"/>
      <c r="B344" s="374" t="s">
        <v>211</v>
      </c>
      <c r="C344" s="384"/>
      <c r="D344" s="384"/>
      <c r="E344" s="384"/>
      <c r="F344" s="384"/>
      <c r="G344" s="384"/>
      <c r="H344" s="385" t="s">
        <v>212</v>
      </c>
      <c r="I344" s="386"/>
      <c r="J344" s="384"/>
      <c r="K344" s="387">
        <f>SQRT(K343)</f>
        <v>4.7968067655244022E-2</v>
      </c>
      <c r="L344" s="388"/>
      <c r="M344" s="402"/>
      <c r="N344" s="402"/>
      <c r="O344" s="402"/>
      <c r="P344" s="402"/>
      <c r="Q344" s="402"/>
      <c r="R344" s="402"/>
      <c r="S344" s="402"/>
      <c r="T344" s="402"/>
      <c r="U344" s="402"/>
      <c r="V344" s="402"/>
      <c r="W344" s="402"/>
      <c r="X344" s="402"/>
      <c r="Y344" s="402"/>
    </row>
    <row r="345" spans="1:25" ht="16.5" x14ac:dyDescent="0.4">
      <c r="A345" s="402"/>
      <c r="B345" s="374" t="s">
        <v>213</v>
      </c>
      <c r="C345" s="384"/>
      <c r="D345" s="384"/>
      <c r="E345" s="384"/>
      <c r="F345" s="384"/>
      <c r="G345" s="384"/>
      <c r="H345" s="389" t="s">
        <v>214</v>
      </c>
      <c r="I345" s="390"/>
      <c r="J345" s="384"/>
      <c r="K345" s="375">
        <f>K344^4/L343</f>
        <v>111.96880092634076</v>
      </c>
      <c r="L345" s="388"/>
      <c r="M345" s="402"/>
      <c r="N345" s="402"/>
      <c r="O345" s="402"/>
      <c r="P345" s="402"/>
      <c r="Q345" s="402"/>
      <c r="R345" s="402"/>
      <c r="S345" s="402"/>
      <c r="T345" s="402"/>
      <c r="U345" s="402"/>
      <c r="V345" s="402"/>
      <c r="W345" s="402"/>
      <c r="X345" s="402"/>
      <c r="Y345" s="402"/>
    </row>
    <row r="346" spans="1:25" x14ac:dyDescent="0.35">
      <c r="A346" s="402"/>
      <c r="B346" s="374" t="s">
        <v>215</v>
      </c>
      <c r="C346" s="384"/>
      <c r="D346" s="384"/>
      <c r="E346" s="384"/>
      <c r="F346" s="384"/>
      <c r="G346" s="384"/>
      <c r="H346" s="391" t="s">
        <v>216</v>
      </c>
      <c r="I346" s="392"/>
      <c r="J346" s="384"/>
      <c r="K346" s="377">
        <f>1.95996+(2.37356/K345)+(2.818745/K345^2)+(2.546662/K345^3)+(1.761829/K345^4)+(0.245458/K345^5)+(1.000764/K345^6)</f>
        <v>1.9813850643667763</v>
      </c>
      <c r="L346" s="393">
        <f>TINV(0.05,K345)</f>
        <v>1.9815667570749009</v>
      </c>
      <c r="M346" s="402"/>
      <c r="N346" s="402"/>
      <c r="O346" s="402"/>
      <c r="P346" s="402"/>
      <c r="Q346" s="402"/>
      <c r="R346" s="402"/>
      <c r="S346" s="402"/>
      <c r="T346" s="402"/>
      <c r="U346" s="402"/>
      <c r="V346" s="402"/>
      <c r="W346" s="402"/>
      <c r="X346" s="402"/>
      <c r="Y346" s="402"/>
    </row>
    <row r="347" spans="1:25" ht="15.5" x14ac:dyDescent="0.35">
      <c r="A347" s="402"/>
      <c r="B347" s="374" t="s">
        <v>217</v>
      </c>
      <c r="C347" s="384"/>
      <c r="D347" s="384"/>
      <c r="E347" s="384"/>
      <c r="F347" s="384"/>
      <c r="G347" s="384"/>
      <c r="H347" s="394" t="s">
        <v>218</v>
      </c>
      <c r="I347" s="395"/>
      <c r="J347" s="384"/>
      <c r="K347" s="398">
        <f>K346*K344</f>
        <v>9.504321281863555E-2</v>
      </c>
      <c r="L347" s="19" t="str">
        <f>D337</f>
        <v>µA</v>
      </c>
      <c r="M347" s="402"/>
      <c r="N347" s="402"/>
      <c r="O347" s="402"/>
      <c r="P347" s="402"/>
      <c r="Q347" s="402"/>
      <c r="R347" s="402"/>
      <c r="S347" s="402"/>
      <c r="T347" s="402"/>
      <c r="U347" s="402"/>
      <c r="V347" s="402"/>
      <c r="W347" s="402"/>
      <c r="X347" s="402"/>
      <c r="Y347" s="402"/>
    </row>
    <row r="348" spans="1:25" x14ac:dyDescent="0.35">
      <c r="A348" s="402"/>
      <c r="B348" s="396"/>
      <c r="C348" s="396"/>
      <c r="D348" s="396"/>
      <c r="E348" s="396"/>
      <c r="F348" s="396"/>
      <c r="G348" s="396"/>
      <c r="H348" s="396"/>
      <c r="I348" s="396"/>
      <c r="J348" s="396"/>
      <c r="K348" s="388">
        <f>(K347/C337)*100</f>
        <v>0.1900864256372711</v>
      </c>
      <c r="L348" s="19" t="s">
        <v>219</v>
      </c>
      <c r="M348" s="402"/>
      <c r="N348" s="402"/>
      <c r="O348" s="402"/>
      <c r="P348" s="402"/>
      <c r="Q348" s="402"/>
      <c r="R348" s="402"/>
      <c r="S348" s="402"/>
      <c r="T348" s="402"/>
      <c r="U348" s="402"/>
      <c r="V348" s="402"/>
      <c r="W348" s="402"/>
      <c r="X348" s="402"/>
      <c r="Y348" s="402"/>
    </row>
    <row r="349" spans="1:25" x14ac:dyDescent="0.35">
      <c r="A349" s="402"/>
      <c r="B349" s="396" t="s">
        <v>193</v>
      </c>
      <c r="C349" s="77">
        <f>ID!D114</f>
        <v>100</v>
      </c>
      <c r="D349" s="397" t="s">
        <v>222</v>
      </c>
      <c r="M349" s="402"/>
      <c r="N349" s="402"/>
      <c r="O349" s="402"/>
      <c r="P349" s="402"/>
      <c r="Q349" s="402"/>
      <c r="R349" s="402"/>
      <c r="S349" s="402"/>
      <c r="T349" s="402"/>
      <c r="U349" s="402"/>
      <c r="V349" s="402"/>
      <c r="W349" s="402"/>
      <c r="X349" s="402"/>
      <c r="Y349" s="402"/>
    </row>
    <row r="350" spans="1:25" x14ac:dyDescent="0.35">
      <c r="A350" s="402"/>
      <c r="B350" s="372" t="s">
        <v>194</v>
      </c>
      <c r="C350" s="373" t="s">
        <v>72</v>
      </c>
      <c r="D350" s="373" t="s">
        <v>195</v>
      </c>
      <c r="E350" s="372" t="s">
        <v>196</v>
      </c>
      <c r="F350" s="372" t="s">
        <v>197</v>
      </c>
      <c r="G350" s="372" t="s">
        <v>198</v>
      </c>
      <c r="H350" s="372" t="s">
        <v>199</v>
      </c>
      <c r="I350" s="372" t="s">
        <v>200</v>
      </c>
      <c r="J350" s="372" t="s">
        <v>201</v>
      </c>
      <c r="K350" s="372" t="s">
        <v>202</v>
      </c>
      <c r="L350" s="373" t="s">
        <v>203</v>
      </c>
      <c r="M350" s="402"/>
      <c r="N350" s="470"/>
      <c r="O350" s="470"/>
      <c r="P350" s="470"/>
      <c r="Q350" s="470"/>
      <c r="R350" s="470"/>
      <c r="S350" s="470"/>
      <c r="T350" s="470"/>
      <c r="U350" s="470"/>
      <c r="V350" s="470"/>
      <c r="W350" s="471"/>
      <c r="X350" s="472"/>
      <c r="Y350" s="402"/>
    </row>
    <row r="351" spans="1:25" x14ac:dyDescent="0.35">
      <c r="A351" s="402"/>
      <c r="B351" s="374" t="s">
        <v>223</v>
      </c>
      <c r="C351" s="19" t="str">
        <f>D349</f>
        <v>µA</v>
      </c>
      <c r="D351" s="375" t="s">
        <v>205</v>
      </c>
      <c r="E351" s="376">
        <f>'Sert Time Electronics'!X175</f>
        <v>0</v>
      </c>
      <c r="F351" s="377">
        <f>SQRT(5)</f>
        <v>2.2360679774997898</v>
      </c>
      <c r="G351" s="375">
        <f>5-1</f>
        <v>4</v>
      </c>
      <c r="H351" s="377">
        <f>E351/F351</f>
        <v>0</v>
      </c>
      <c r="I351" s="375">
        <v>1</v>
      </c>
      <c r="J351" s="377">
        <f>H351*I351</f>
        <v>0</v>
      </c>
      <c r="K351" s="378">
        <f>J351^2</f>
        <v>0</v>
      </c>
      <c r="L351" s="379">
        <f>K351^2/G351</f>
        <v>0</v>
      </c>
      <c r="M351" s="402"/>
      <c r="N351" s="470"/>
      <c r="O351" s="470"/>
      <c r="P351" s="470"/>
      <c r="Q351" s="470"/>
      <c r="R351" s="470"/>
      <c r="S351" s="470"/>
      <c r="T351" s="470"/>
      <c r="U351" s="470"/>
      <c r="V351" s="470"/>
      <c r="W351" s="471"/>
      <c r="X351" s="472"/>
      <c r="Y351" s="402"/>
    </row>
    <row r="352" spans="1:25" x14ac:dyDescent="0.35">
      <c r="A352" s="402"/>
      <c r="B352" s="380" t="s">
        <v>206</v>
      </c>
      <c r="C352" s="19" t="str">
        <f>C351</f>
        <v>µA</v>
      </c>
      <c r="D352" s="375" t="s">
        <v>205</v>
      </c>
      <c r="E352" s="381">
        <f>'Sert Time Electronics'!AA175</f>
        <v>0.14292577477010227</v>
      </c>
      <c r="F352" s="377">
        <v>2</v>
      </c>
      <c r="G352" s="375">
        <f>0.5*(100/10)^2</f>
        <v>50</v>
      </c>
      <c r="H352" s="377">
        <f>E352/F352</f>
        <v>7.1462887385051133E-2</v>
      </c>
      <c r="I352" s="375">
        <v>1</v>
      </c>
      <c r="J352" s="377">
        <f>H352*I352</f>
        <v>7.1462887385051133E-2</v>
      </c>
      <c r="K352" s="378">
        <f>J352^2</f>
        <v>5.1069442734085002E-3</v>
      </c>
      <c r="L352" s="379">
        <f>K352^2/G352</f>
        <v>5.2161759623399751E-7</v>
      </c>
      <c r="M352" s="402"/>
      <c r="N352" s="470"/>
      <c r="O352" s="470"/>
      <c r="P352" s="470"/>
      <c r="Q352" s="470"/>
      <c r="R352" s="470"/>
      <c r="S352" s="470"/>
      <c r="T352" s="470"/>
      <c r="U352" s="470"/>
      <c r="V352" s="470"/>
      <c r="W352" s="471"/>
      <c r="X352" s="472"/>
      <c r="Y352" s="402"/>
    </row>
    <row r="353" spans="1:25" x14ac:dyDescent="0.35">
      <c r="A353" s="402"/>
      <c r="B353" s="380" t="s">
        <v>207</v>
      </c>
      <c r="C353" s="19" t="str">
        <f>C352</f>
        <v>µA</v>
      </c>
      <c r="D353" s="375" t="s">
        <v>208</v>
      </c>
      <c r="E353" s="382">
        <f>'Sert Time Electronics'!Y175</f>
        <v>0.05</v>
      </c>
      <c r="F353" s="377">
        <f>SQRT(3)</f>
        <v>1.7320508075688772</v>
      </c>
      <c r="G353" s="375">
        <v>50</v>
      </c>
      <c r="H353" s="377">
        <f>E353/F353</f>
        <v>2.8867513459481291E-2</v>
      </c>
      <c r="I353" s="375">
        <v>1</v>
      </c>
      <c r="J353" s="377">
        <f>H353*I353</f>
        <v>2.8867513459481291E-2</v>
      </c>
      <c r="K353" s="378">
        <f>J353^2</f>
        <v>8.333333333333335E-4</v>
      </c>
      <c r="L353" s="379">
        <f>K353^2/G353</f>
        <v>1.3888888888888894E-8</v>
      </c>
      <c r="M353" s="402"/>
      <c r="N353" s="470"/>
      <c r="O353" s="470"/>
      <c r="P353" s="470"/>
      <c r="Q353" s="470"/>
      <c r="R353" s="470"/>
      <c r="S353" s="470"/>
      <c r="T353" s="470"/>
      <c r="U353" s="470"/>
      <c r="V353" s="470"/>
      <c r="W353" s="471"/>
      <c r="X353" s="472"/>
      <c r="Y353" s="402"/>
    </row>
    <row r="354" spans="1:25" x14ac:dyDescent="0.35">
      <c r="A354" s="402"/>
      <c r="B354" s="383" t="s">
        <v>209</v>
      </c>
      <c r="C354" s="19" t="str">
        <f>C353</f>
        <v>µA</v>
      </c>
      <c r="D354" s="375" t="s">
        <v>208</v>
      </c>
      <c r="E354" s="381">
        <f>'Sert Time Electronics'!Z175</f>
        <v>4.7641924923367426E-2</v>
      </c>
      <c r="F354" s="377">
        <f>SQRT(3)</f>
        <v>1.7320508075688772</v>
      </c>
      <c r="G354" s="375">
        <v>50</v>
      </c>
      <c r="H354" s="377">
        <f>E354/F354</f>
        <v>2.7506078179218126E-2</v>
      </c>
      <c r="I354" s="375">
        <v>1</v>
      </c>
      <c r="J354" s="377">
        <f>H354*I354</f>
        <v>2.7506078179218126E-2</v>
      </c>
      <c r="K354" s="378">
        <f>J354^2</f>
        <v>7.5658433680125955E-4</v>
      </c>
      <c r="L354" s="379">
        <f>K354^2/G354</f>
        <v>1.1448397173860036E-8</v>
      </c>
      <c r="M354" s="402"/>
      <c r="N354" s="470"/>
      <c r="O354" s="470"/>
      <c r="P354" s="470"/>
      <c r="Q354" s="470"/>
      <c r="R354" s="470"/>
      <c r="S354" s="470"/>
      <c r="T354" s="470"/>
      <c r="U354" s="470"/>
      <c r="V354" s="470"/>
      <c r="W354" s="471"/>
      <c r="X354" s="472"/>
      <c r="Y354" s="402"/>
    </row>
    <row r="355" spans="1:25" x14ac:dyDescent="0.35">
      <c r="A355" s="402"/>
      <c r="B355" s="374" t="s">
        <v>210</v>
      </c>
      <c r="C355" s="384"/>
      <c r="D355" s="384"/>
      <c r="E355" s="384"/>
      <c r="F355" s="384"/>
      <c r="G355" s="384"/>
      <c r="H355" s="384"/>
      <c r="I355" s="384"/>
      <c r="J355" s="384"/>
      <c r="K355" s="378">
        <f>SUM(K351:K354)</f>
        <v>6.6968619435430936E-3</v>
      </c>
      <c r="L355" s="379">
        <f>SUM(L351:L354)</f>
        <v>5.4695488229674638E-7</v>
      </c>
      <c r="M355" s="402"/>
      <c r="N355" s="470"/>
      <c r="O355" s="470"/>
      <c r="P355" s="470"/>
      <c r="Q355" s="470"/>
      <c r="R355" s="470"/>
      <c r="S355" s="470"/>
      <c r="T355" s="470"/>
      <c r="U355" s="470"/>
      <c r="V355" s="470"/>
      <c r="W355" s="471"/>
      <c r="X355" s="472"/>
      <c r="Y355" s="402"/>
    </row>
    <row r="356" spans="1:25" ht="15" x14ac:dyDescent="0.4">
      <c r="A356" s="402"/>
      <c r="B356" s="374" t="s">
        <v>211</v>
      </c>
      <c r="C356" s="384"/>
      <c r="D356" s="384"/>
      <c r="E356" s="384"/>
      <c r="F356" s="384"/>
      <c r="G356" s="384"/>
      <c r="H356" s="385" t="s">
        <v>212</v>
      </c>
      <c r="I356" s="386"/>
      <c r="J356" s="384"/>
      <c r="K356" s="387">
        <f>SQRT(K355)</f>
        <v>8.1834356743015299E-2</v>
      </c>
      <c r="L356" s="388"/>
      <c r="M356" s="402"/>
      <c r="N356" s="470"/>
      <c r="O356" s="470"/>
      <c r="P356" s="470"/>
      <c r="Q356" s="470"/>
      <c r="R356" s="470"/>
      <c r="S356" s="470"/>
      <c r="T356" s="470"/>
      <c r="U356" s="470"/>
      <c r="V356" s="470"/>
      <c r="W356" s="471"/>
      <c r="X356" s="472"/>
      <c r="Y356" s="402"/>
    </row>
    <row r="357" spans="1:25" ht="16.5" x14ac:dyDescent="0.4">
      <c r="A357" s="402"/>
      <c r="B357" s="374" t="s">
        <v>213</v>
      </c>
      <c r="C357" s="384"/>
      <c r="D357" s="384"/>
      <c r="E357" s="384"/>
      <c r="F357" s="384"/>
      <c r="G357" s="384"/>
      <c r="H357" s="389" t="s">
        <v>214</v>
      </c>
      <c r="I357" s="390"/>
      <c r="J357" s="384"/>
      <c r="K357" s="375">
        <f>K356^4/L355</f>
        <v>81.995720931409195</v>
      </c>
      <c r="L357" s="388"/>
      <c r="M357" s="402"/>
      <c r="N357" s="470"/>
      <c r="O357" s="470"/>
      <c r="P357" s="470"/>
      <c r="Q357" s="470"/>
      <c r="R357" s="470"/>
      <c r="S357" s="470"/>
      <c r="T357" s="470"/>
      <c r="U357" s="470"/>
      <c r="V357" s="470"/>
      <c r="W357" s="471"/>
      <c r="X357" s="472"/>
      <c r="Y357" s="402"/>
    </row>
    <row r="358" spans="1:25" x14ac:dyDescent="0.35">
      <c r="A358" s="402"/>
      <c r="B358" s="374" t="s">
        <v>215</v>
      </c>
      <c r="C358" s="384"/>
      <c r="D358" s="384"/>
      <c r="E358" s="384"/>
      <c r="F358" s="384"/>
      <c r="G358" s="384"/>
      <c r="H358" s="391" t="s">
        <v>216</v>
      </c>
      <c r="I358" s="392"/>
      <c r="J358" s="384"/>
      <c r="K358" s="377">
        <f>1.95996+(2.37356/K357)+(2.818745/K357^2)+(2.546662/K357^3)+(1.761829/K357^4)+(0.245458/K357^5)+(1.000764/K357^6)</f>
        <v>1.9893312731445301</v>
      </c>
      <c r="L358" s="393">
        <f>TINV(0.05,K357)</f>
        <v>1.9896863234569038</v>
      </c>
      <c r="M358" s="402"/>
      <c r="N358" s="470"/>
      <c r="O358" s="470"/>
      <c r="P358" s="470"/>
      <c r="Q358" s="470"/>
      <c r="R358" s="470"/>
      <c r="S358" s="470"/>
      <c r="T358" s="470"/>
      <c r="U358" s="470"/>
      <c r="V358" s="470"/>
      <c r="W358" s="471"/>
      <c r="X358" s="472"/>
      <c r="Y358" s="402"/>
    </row>
    <row r="359" spans="1:25" ht="15.5" x14ac:dyDescent="0.35">
      <c r="A359" s="402"/>
      <c r="B359" s="374" t="s">
        <v>217</v>
      </c>
      <c r="C359" s="384"/>
      <c r="D359" s="384"/>
      <c r="E359" s="384"/>
      <c r="F359" s="384"/>
      <c r="G359" s="384"/>
      <c r="H359" s="394" t="s">
        <v>218</v>
      </c>
      <c r="I359" s="395"/>
      <c r="J359" s="384"/>
      <c r="K359" s="398">
        <f>K358*K356</f>
        <v>0.16279564508654629</v>
      </c>
      <c r="L359" s="19" t="str">
        <f>D349</f>
        <v>µA</v>
      </c>
      <c r="M359" s="402"/>
      <c r="N359" s="470"/>
      <c r="O359" s="470"/>
      <c r="P359" s="470"/>
      <c r="Q359" s="470"/>
      <c r="R359" s="470"/>
      <c r="S359" s="470"/>
      <c r="T359" s="470"/>
      <c r="U359" s="470"/>
      <c r="V359" s="470"/>
      <c r="W359" s="471"/>
      <c r="X359" s="472"/>
      <c r="Y359" s="402"/>
    </row>
    <row r="360" spans="1:25" x14ac:dyDescent="0.35">
      <c r="A360" s="402"/>
      <c r="B360" s="396"/>
      <c r="C360" s="396"/>
      <c r="D360" s="396"/>
      <c r="E360" s="396"/>
      <c r="F360" s="396"/>
      <c r="G360" s="396"/>
      <c r="H360" s="396"/>
      <c r="I360" s="396"/>
      <c r="J360" s="396"/>
      <c r="K360" s="388">
        <f>(K359/C349)*100</f>
        <v>0.16279564508654629</v>
      </c>
      <c r="L360" s="19" t="s">
        <v>219</v>
      </c>
      <c r="M360" s="402"/>
      <c r="N360" s="470"/>
      <c r="O360" s="470"/>
      <c r="P360" s="470"/>
      <c r="Q360" s="470"/>
      <c r="R360" s="470"/>
      <c r="S360" s="470"/>
      <c r="T360" s="470"/>
      <c r="U360" s="470"/>
      <c r="V360" s="470"/>
      <c r="W360" s="471"/>
      <c r="X360" s="472"/>
      <c r="Y360" s="402"/>
    </row>
    <row r="361" spans="1:25" x14ac:dyDescent="0.35">
      <c r="A361" s="402"/>
      <c r="B361" s="396" t="s">
        <v>193</v>
      </c>
      <c r="C361" s="77">
        <f>ID!D115</f>
        <v>500</v>
      </c>
      <c r="D361" s="397" t="s">
        <v>222</v>
      </c>
      <c r="M361" s="402"/>
      <c r="N361" s="470"/>
      <c r="O361" s="470"/>
      <c r="P361" s="470"/>
      <c r="Q361" s="470"/>
      <c r="R361" s="470"/>
      <c r="S361" s="470"/>
      <c r="T361" s="470"/>
      <c r="U361" s="470"/>
      <c r="V361" s="470"/>
      <c r="W361" s="471"/>
      <c r="X361" s="472"/>
      <c r="Y361" s="402"/>
    </row>
    <row r="362" spans="1:25" x14ac:dyDescent="0.35">
      <c r="A362" s="402"/>
      <c r="B362" s="372" t="s">
        <v>194</v>
      </c>
      <c r="C362" s="373" t="s">
        <v>72</v>
      </c>
      <c r="D362" s="373" t="s">
        <v>195</v>
      </c>
      <c r="E362" s="372" t="s">
        <v>196</v>
      </c>
      <c r="F362" s="372" t="s">
        <v>197</v>
      </c>
      <c r="G362" s="372" t="s">
        <v>198</v>
      </c>
      <c r="H362" s="372" t="s">
        <v>199</v>
      </c>
      <c r="I362" s="372" t="s">
        <v>200</v>
      </c>
      <c r="J362" s="372" t="s">
        <v>201</v>
      </c>
      <c r="K362" s="372" t="s">
        <v>202</v>
      </c>
      <c r="L362" s="373" t="s">
        <v>203</v>
      </c>
      <c r="M362" s="402"/>
      <c r="N362" s="470"/>
      <c r="O362" s="470"/>
      <c r="P362" s="470"/>
      <c r="Q362" s="470"/>
      <c r="R362" s="470"/>
      <c r="S362" s="470"/>
      <c r="T362" s="470"/>
      <c r="U362" s="470"/>
      <c r="V362" s="470"/>
      <c r="W362" s="471"/>
      <c r="X362" s="472"/>
      <c r="Y362" s="402"/>
    </row>
    <row r="363" spans="1:25" x14ac:dyDescent="0.35">
      <c r="A363" s="402"/>
      <c r="B363" s="374" t="s">
        <v>223</v>
      </c>
      <c r="C363" s="19" t="str">
        <f>D361</f>
        <v>µA</v>
      </c>
      <c r="D363" s="375" t="s">
        <v>205</v>
      </c>
      <c r="E363" s="376">
        <f>'Sert Time Electronics'!X176</f>
        <v>0</v>
      </c>
      <c r="F363" s="377">
        <f>SQRT(5)</f>
        <v>2.2360679774997898</v>
      </c>
      <c r="G363" s="375">
        <f>5-1</f>
        <v>4</v>
      </c>
      <c r="H363" s="377">
        <f>E363/F363</f>
        <v>0</v>
      </c>
      <c r="I363" s="375">
        <v>1</v>
      </c>
      <c r="J363" s="377">
        <f>H363*I363</f>
        <v>0</v>
      </c>
      <c r="K363" s="378">
        <f>J363^2</f>
        <v>0</v>
      </c>
      <c r="L363" s="379">
        <f>K363^2/G363</f>
        <v>0</v>
      </c>
      <c r="M363" s="402"/>
      <c r="N363" s="470"/>
      <c r="O363" s="470"/>
      <c r="P363" s="470"/>
      <c r="Q363" s="470"/>
      <c r="R363" s="470"/>
      <c r="S363" s="470"/>
      <c r="T363" s="470"/>
      <c r="U363" s="470"/>
      <c r="V363" s="470"/>
      <c r="W363" s="471"/>
      <c r="X363" s="472"/>
      <c r="Y363" s="402"/>
    </row>
    <row r="364" spans="1:25" x14ac:dyDescent="0.35">
      <c r="A364" s="402"/>
      <c r="B364" s="380" t="s">
        <v>206</v>
      </c>
      <c r="C364" s="19" t="str">
        <f>C363</f>
        <v>µA</v>
      </c>
      <c r="D364" s="375" t="s">
        <v>205</v>
      </c>
      <c r="E364" s="381">
        <f>'Sert Time Electronics'!AA176</f>
        <v>0.71182576341496606</v>
      </c>
      <c r="F364" s="377">
        <v>2</v>
      </c>
      <c r="G364" s="375">
        <f>0.5*(100/10)^2</f>
        <v>50</v>
      </c>
      <c r="H364" s="377">
        <f>E364/F364</f>
        <v>0.35591288170748303</v>
      </c>
      <c r="I364" s="375">
        <v>1</v>
      </c>
      <c r="J364" s="377">
        <f>H364*I364</f>
        <v>0.35591288170748303</v>
      </c>
      <c r="K364" s="378">
        <f>J364^2</f>
        <v>0.12667397936532482</v>
      </c>
      <c r="L364" s="379">
        <f>K364^2/G364</f>
        <v>3.2092594096493478E-4</v>
      </c>
      <c r="M364" s="402"/>
      <c r="N364" s="470"/>
      <c r="O364" s="470"/>
      <c r="P364" s="470"/>
      <c r="Q364" s="470"/>
      <c r="R364" s="470"/>
      <c r="S364" s="470"/>
      <c r="T364" s="470"/>
      <c r="U364" s="470"/>
      <c r="V364" s="470"/>
      <c r="W364" s="471"/>
      <c r="X364" s="472"/>
      <c r="Y364" s="402"/>
    </row>
    <row r="365" spans="1:25" x14ac:dyDescent="0.35">
      <c r="A365" s="402"/>
      <c r="B365" s="380" t="s">
        <v>207</v>
      </c>
      <c r="C365" s="19" t="str">
        <f>C364</f>
        <v>µA</v>
      </c>
      <c r="D365" s="375" t="s">
        <v>208</v>
      </c>
      <c r="E365" s="382">
        <f>'Sert Time Electronics'!Y176</f>
        <v>0.5</v>
      </c>
      <c r="F365" s="377">
        <f>SQRT(3)</f>
        <v>1.7320508075688772</v>
      </c>
      <c r="G365" s="375">
        <v>50</v>
      </c>
      <c r="H365" s="377">
        <f>E365/F365</f>
        <v>0.28867513459481292</v>
      </c>
      <c r="I365" s="375">
        <v>1</v>
      </c>
      <c r="J365" s="377">
        <f>H365*I365</f>
        <v>0.28867513459481292</v>
      </c>
      <c r="K365" s="378">
        <f>J365^2</f>
        <v>8.3333333333333356E-2</v>
      </c>
      <c r="L365" s="379">
        <f>K365^2/G365</f>
        <v>1.3888888888888897E-4</v>
      </c>
      <c r="M365" s="402"/>
      <c r="N365" s="470"/>
      <c r="O365" s="470"/>
      <c r="P365" s="470"/>
      <c r="Q365" s="470"/>
      <c r="R365" s="470"/>
      <c r="S365" s="470"/>
      <c r="T365" s="470"/>
      <c r="U365" s="470"/>
      <c r="V365" s="470"/>
      <c r="W365" s="471"/>
      <c r="X365" s="472"/>
      <c r="Y365" s="402"/>
    </row>
    <row r="366" spans="1:25" x14ac:dyDescent="0.35">
      <c r="A366" s="402"/>
      <c r="B366" s="383" t="s">
        <v>209</v>
      </c>
      <c r="C366" s="19" t="str">
        <f>C365</f>
        <v>µA</v>
      </c>
      <c r="D366" s="375" t="s">
        <v>208</v>
      </c>
      <c r="E366" s="381">
        <f>'Sert Time Electronics'!Z177</f>
        <v>0.47486128358165619</v>
      </c>
      <c r="F366" s="377">
        <f>SQRT(3)</f>
        <v>1.7320508075688772</v>
      </c>
      <c r="G366" s="375">
        <v>50</v>
      </c>
      <c r="H366" s="377">
        <f>E366/F366</f>
        <v>0.27416128990360045</v>
      </c>
      <c r="I366" s="375">
        <v>1</v>
      </c>
      <c r="J366" s="377">
        <f>H366*I366</f>
        <v>0.27416128990360045</v>
      </c>
      <c r="K366" s="378">
        <f>J366^2</f>
        <v>7.5164412881606052E-2</v>
      </c>
      <c r="L366" s="379">
        <f>K366^2/G366</f>
        <v>1.1299377927673092E-4</v>
      </c>
      <c r="M366" s="402"/>
      <c r="N366" s="470"/>
      <c r="O366" s="470"/>
      <c r="P366" s="470"/>
      <c r="Q366" s="470"/>
      <c r="R366" s="470"/>
      <c r="S366" s="470"/>
      <c r="T366" s="470"/>
      <c r="U366" s="470"/>
      <c r="V366" s="470"/>
      <c r="W366" s="471"/>
      <c r="X366" s="472"/>
      <c r="Y366" s="402"/>
    </row>
    <row r="367" spans="1:25" x14ac:dyDescent="0.35">
      <c r="A367" s="402"/>
      <c r="B367" s="374" t="s">
        <v>210</v>
      </c>
      <c r="C367" s="384"/>
      <c r="D367" s="384"/>
      <c r="E367" s="384"/>
      <c r="F367" s="384"/>
      <c r="G367" s="384"/>
      <c r="H367" s="384"/>
      <c r="I367" s="384"/>
      <c r="J367" s="384"/>
      <c r="K367" s="378">
        <f>SUM(K363:K366)</f>
        <v>0.28517172558026427</v>
      </c>
      <c r="L367" s="379">
        <f>SUM(L363:L366)</f>
        <v>5.7280860913055465E-4</v>
      </c>
      <c r="M367" s="402"/>
      <c r="N367" s="470"/>
      <c r="O367" s="470"/>
      <c r="P367" s="470"/>
      <c r="Q367" s="470"/>
      <c r="R367" s="470"/>
      <c r="S367" s="470"/>
      <c r="T367" s="470"/>
      <c r="U367" s="470"/>
      <c r="V367" s="470"/>
      <c r="W367" s="471"/>
      <c r="X367" s="472"/>
      <c r="Y367" s="402"/>
    </row>
    <row r="368" spans="1:25" ht="15" x14ac:dyDescent="0.4">
      <c r="A368" s="402"/>
      <c r="B368" s="374" t="s">
        <v>211</v>
      </c>
      <c r="C368" s="384"/>
      <c r="D368" s="384"/>
      <c r="E368" s="384"/>
      <c r="F368" s="384"/>
      <c r="G368" s="384"/>
      <c r="H368" s="385" t="s">
        <v>212</v>
      </c>
      <c r="I368" s="386"/>
      <c r="J368" s="384"/>
      <c r="K368" s="387">
        <f>SQRT(K367)</f>
        <v>0.53401472412309403</v>
      </c>
      <c r="L368" s="388"/>
      <c r="M368" s="402"/>
      <c r="N368" s="470"/>
      <c r="O368" s="470"/>
      <c r="P368" s="470"/>
      <c r="Q368" s="470"/>
      <c r="R368" s="470"/>
      <c r="S368" s="470"/>
      <c r="T368" s="470"/>
      <c r="U368" s="470"/>
      <c r="V368" s="470"/>
      <c r="W368" s="471"/>
      <c r="X368" s="472"/>
      <c r="Y368" s="402"/>
    </row>
    <row r="369" spans="1:25" ht="16.5" x14ac:dyDescent="0.4">
      <c r="A369" s="402"/>
      <c r="B369" s="374" t="s">
        <v>213</v>
      </c>
      <c r="C369" s="384"/>
      <c r="D369" s="384"/>
      <c r="E369" s="384"/>
      <c r="F369" s="384"/>
      <c r="G369" s="384"/>
      <c r="H369" s="389" t="s">
        <v>214</v>
      </c>
      <c r="I369" s="390"/>
      <c r="J369" s="384"/>
      <c r="K369" s="375">
        <f>K368^4/L367</f>
        <v>141.97222558135539</v>
      </c>
      <c r="L369" s="388"/>
      <c r="M369" s="402"/>
      <c r="N369" s="470"/>
      <c r="O369" s="470"/>
      <c r="P369" s="470"/>
      <c r="Q369" s="470"/>
      <c r="R369" s="470"/>
      <c r="S369" s="470"/>
      <c r="T369" s="470"/>
      <c r="U369" s="470"/>
      <c r="V369" s="470"/>
      <c r="W369" s="471"/>
      <c r="X369" s="472"/>
      <c r="Y369" s="402"/>
    </row>
    <row r="370" spans="1:25" x14ac:dyDescent="0.35">
      <c r="A370" s="402"/>
      <c r="B370" s="374" t="s">
        <v>215</v>
      </c>
      <c r="C370" s="384"/>
      <c r="D370" s="384"/>
      <c r="E370" s="384"/>
      <c r="F370" s="384"/>
      <c r="G370" s="384"/>
      <c r="H370" s="391" t="s">
        <v>216</v>
      </c>
      <c r="I370" s="392"/>
      <c r="J370" s="384"/>
      <c r="K370" s="377">
        <f>1.95996+(2.37356/K369)+(2.818745/K369^2)+(2.546662/K369^3)+(1.761829/K369^4)+(0.245458/K369^5)+(1.000764/K369^6)</f>
        <v>1.9768192212572102</v>
      </c>
      <c r="L370" s="393">
        <f>TINV(0.05,K369)</f>
        <v>1.9769314886342577</v>
      </c>
      <c r="M370" s="402"/>
      <c r="N370" s="470"/>
      <c r="O370" s="470"/>
      <c r="P370" s="470"/>
      <c r="Q370" s="470"/>
      <c r="R370" s="470"/>
      <c r="S370" s="470"/>
      <c r="T370" s="470"/>
      <c r="U370" s="470"/>
      <c r="V370" s="470"/>
      <c r="W370" s="471"/>
      <c r="X370" s="472"/>
      <c r="Y370" s="402"/>
    </row>
    <row r="371" spans="1:25" ht="15.5" x14ac:dyDescent="0.35">
      <c r="A371" s="402"/>
      <c r="B371" s="374" t="s">
        <v>217</v>
      </c>
      <c r="C371" s="384"/>
      <c r="D371" s="384"/>
      <c r="E371" s="384"/>
      <c r="F371" s="384"/>
      <c r="G371" s="384"/>
      <c r="H371" s="394" t="s">
        <v>218</v>
      </c>
      <c r="I371" s="395"/>
      <c r="J371" s="384"/>
      <c r="K371" s="398">
        <f>K370*K368</f>
        <v>1.0556505710808988</v>
      </c>
      <c r="L371" s="19" t="str">
        <f>D361</f>
        <v>µA</v>
      </c>
      <c r="M371" s="402"/>
      <c r="N371" s="470"/>
      <c r="O371" s="470"/>
      <c r="P371" s="470"/>
      <c r="Q371" s="470"/>
      <c r="R371" s="470"/>
      <c r="S371" s="470"/>
      <c r="T371" s="470"/>
      <c r="U371" s="470"/>
      <c r="V371" s="470"/>
      <c r="W371" s="471"/>
      <c r="X371" s="472"/>
      <c r="Y371" s="402"/>
    </row>
    <row r="372" spans="1:25" x14ac:dyDescent="0.35">
      <c r="A372" s="402"/>
      <c r="B372" s="396"/>
      <c r="C372" s="396"/>
      <c r="D372" s="396"/>
      <c r="E372" s="396"/>
      <c r="F372" s="396"/>
      <c r="G372" s="396"/>
      <c r="H372" s="396"/>
      <c r="I372" s="396"/>
      <c r="J372" s="396"/>
      <c r="K372" s="388">
        <f>(K371/C361)*100</f>
        <v>0.21113011421617975</v>
      </c>
      <c r="L372" s="19" t="s">
        <v>219</v>
      </c>
      <c r="M372" s="402"/>
      <c r="N372" s="470"/>
      <c r="O372" s="470"/>
      <c r="P372" s="470"/>
      <c r="Q372" s="470"/>
      <c r="R372" s="470"/>
      <c r="S372" s="470"/>
      <c r="T372" s="470"/>
      <c r="U372" s="470"/>
      <c r="V372" s="470"/>
      <c r="W372" s="471"/>
      <c r="X372" s="472"/>
      <c r="Y372" s="402"/>
    </row>
    <row r="373" spans="1:25" x14ac:dyDescent="0.35">
      <c r="A373" s="402"/>
      <c r="B373" s="396" t="s">
        <v>193</v>
      </c>
      <c r="C373" s="77">
        <f>ID!D116</f>
        <v>1000</v>
      </c>
      <c r="D373" s="397" t="s">
        <v>222</v>
      </c>
      <c r="M373" s="402"/>
      <c r="N373" s="470"/>
      <c r="O373" s="470"/>
      <c r="P373" s="470"/>
      <c r="Q373" s="470"/>
      <c r="R373" s="470"/>
      <c r="S373" s="470"/>
      <c r="T373" s="470"/>
      <c r="U373" s="470"/>
      <c r="V373" s="470"/>
      <c r="W373" s="471"/>
      <c r="X373" s="472"/>
      <c r="Y373" s="402"/>
    </row>
    <row r="374" spans="1:25" x14ac:dyDescent="0.35">
      <c r="A374" s="402"/>
      <c r="B374" s="372" t="s">
        <v>194</v>
      </c>
      <c r="C374" s="373" t="s">
        <v>72</v>
      </c>
      <c r="D374" s="373" t="s">
        <v>195</v>
      </c>
      <c r="E374" s="372" t="s">
        <v>196</v>
      </c>
      <c r="F374" s="372" t="s">
        <v>197</v>
      </c>
      <c r="G374" s="372" t="s">
        <v>198</v>
      </c>
      <c r="H374" s="372" t="s">
        <v>199</v>
      </c>
      <c r="I374" s="372" t="s">
        <v>200</v>
      </c>
      <c r="J374" s="372" t="s">
        <v>201</v>
      </c>
      <c r="K374" s="372" t="s">
        <v>202</v>
      </c>
      <c r="L374" s="373" t="s">
        <v>203</v>
      </c>
      <c r="M374" s="402"/>
      <c r="N374" s="470"/>
      <c r="O374" s="470"/>
      <c r="P374" s="470"/>
      <c r="Q374" s="470"/>
      <c r="R374" s="470"/>
      <c r="S374" s="470"/>
      <c r="T374" s="470"/>
      <c r="U374" s="470"/>
      <c r="V374" s="470"/>
      <c r="W374" s="471"/>
      <c r="X374" s="472"/>
      <c r="Y374" s="402"/>
    </row>
    <row r="375" spans="1:25" x14ac:dyDescent="0.35">
      <c r="A375" s="402"/>
      <c r="B375" s="374" t="s">
        <v>223</v>
      </c>
      <c r="C375" s="19" t="str">
        <f>D373</f>
        <v>µA</v>
      </c>
      <c r="D375" s="375" t="s">
        <v>205</v>
      </c>
      <c r="E375" s="376">
        <f>'Sert Time Electronics'!X177</f>
        <v>0</v>
      </c>
      <c r="F375" s="377">
        <f>SQRT(5)</f>
        <v>2.2360679774997898</v>
      </c>
      <c r="G375" s="375">
        <f>5-1</f>
        <v>4</v>
      </c>
      <c r="H375" s="377">
        <f>E375/F375</f>
        <v>0</v>
      </c>
      <c r="I375" s="375">
        <v>1</v>
      </c>
      <c r="J375" s="377">
        <f>H375*I375</f>
        <v>0</v>
      </c>
      <c r="K375" s="378">
        <f>J375^2</f>
        <v>0</v>
      </c>
      <c r="L375" s="379">
        <f>K375^2/G375</f>
        <v>0</v>
      </c>
      <c r="M375" s="402"/>
      <c r="N375" s="470"/>
      <c r="O375" s="470"/>
      <c r="P375" s="470"/>
      <c r="Q375" s="470"/>
      <c r="R375" s="470"/>
      <c r="S375" s="470"/>
      <c r="T375" s="470"/>
      <c r="U375" s="470"/>
      <c r="V375" s="470"/>
      <c r="W375" s="471"/>
      <c r="X375" s="472"/>
      <c r="Y375" s="402"/>
    </row>
    <row r="376" spans="1:25" x14ac:dyDescent="0.35">
      <c r="A376" s="402"/>
      <c r="B376" s="380" t="s">
        <v>206</v>
      </c>
      <c r="C376" s="19" t="str">
        <f>C375</f>
        <v>µA</v>
      </c>
      <c r="D376" s="375" t="s">
        <v>205</v>
      </c>
      <c r="E376" s="381">
        <f>'Sert Time Electronics'!AA177</f>
        <v>1.4245838507449688</v>
      </c>
      <c r="F376" s="377">
        <v>2</v>
      </c>
      <c r="G376" s="375">
        <f>0.5*(100/10)^2</f>
        <v>50</v>
      </c>
      <c r="H376" s="377">
        <f>E376/F376</f>
        <v>0.71229192537248442</v>
      </c>
      <c r="I376" s="375">
        <v>1</v>
      </c>
      <c r="J376" s="377">
        <f>H376*I376</f>
        <v>0.71229192537248442</v>
      </c>
      <c r="K376" s="378">
        <f>J376^2</f>
        <v>0.50735978695084094</v>
      </c>
      <c r="L376" s="379">
        <f>K376^2/G376</f>
        <v>5.1482790682960541E-3</v>
      </c>
      <c r="M376" s="402"/>
      <c r="N376" s="470"/>
      <c r="O376" s="470"/>
      <c r="P376" s="470"/>
      <c r="Q376" s="470"/>
      <c r="R376" s="470"/>
      <c r="S376" s="470"/>
      <c r="T376" s="470"/>
      <c r="U376" s="470"/>
      <c r="V376" s="470"/>
      <c r="W376" s="471"/>
      <c r="X376" s="472"/>
      <c r="Y376" s="402"/>
    </row>
    <row r="377" spans="1:25" x14ac:dyDescent="0.35">
      <c r="A377" s="402"/>
      <c r="B377" s="380" t="s">
        <v>207</v>
      </c>
      <c r="C377" s="19" t="str">
        <f>C376</f>
        <v>µA</v>
      </c>
      <c r="D377" s="375" t="s">
        <v>208</v>
      </c>
      <c r="E377" s="382">
        <f>'Sert Time Electronics'!Y177</f>
        <v>0.5</v>
      </c>
      <c r="F377" s="377">
        <f>SQRT(3)</f>
        <v>1.7320508075688772</v>
      </c>
      <c r="G377" s="375">
        <v>50</v>
      </c>
      <c r="H377" s="377">
        <f>E377/F377</f>
        <v>0.28867513459481292</v>
      </c>
      <c r="I377" s="375">
        <v>1</v>
      </c>
      <c r="J377" s="377">
        <f>H377*I377</f>
        <v>0.28867513459481292</v>
      </c>
      <c r="K377" s="378">
        <f>J377^2</f>
        <v>8.3333333333333356E-2</v>
      </c>
      <c r="L377" s="379">
        <f>K377^2/G377</f>
        <v>1.3888888888888897E-4</v>
      </c>
      <c r="M377" s="402"/>
      <c r="N377" s="470"/>
      <c r="O377" s="470"/>
      <c r="P377" s="470"/>
      <c r="Q377" s="470"/>
      <c r="R377" s="470"/>
      <c r="S377" s="470"/>
      <c r="T377" s="470"/>
      <c r="U377" s="470"/>
      <c r="V377" s="470"/>
      <c r="W377" s="471"/>
      <c r="X377" s="472"/>
      <c r="Y377" s="402"/>
    </row>
    <row r="378" spans="1:25" x14ac:dyDescent="0.35">
      <c r="A378" s="402"/>
      <c r="B378" s="383" t="s">
        <v>209</v>
      </c>
      <c r="C378" s="19" t="str">
        <f>C377</f>
        <v>µA</v>
      </c>
      <c r="D378" s="375" t="s">
        <v>208</v>
      </c>
      <c r="E378" s="381">
        <f>'Sert Time Electronics'!Z177</f>
        <v>0.47486128358165619</v>
      </c>
      <c r="F378" s="377">
        <f>SQRT(3)</f>
        <v>1.7320508075688772</v>
      </c>
      <c r="G378" s="375">
        <v>50</v>
      </c>
      <c r="H378" s="377">
        <f>E378/F378</f>
        <v>0.27416128990360045</v>
      </c>
      <c r="I378" s="375">
        <v>1</v>
      </c>
      <c r="J378" s="377">
        <f>H378*I378</f>
        <v>0.27416128990360045</v>
      </c>
      <c r="K378" s="378">
        <f>J378^2</f>
        <v>7.5164412881606052E-2</v>
      </c>
      <c r="L378" s="379">
        <f>K378^2/G378</f>
        <v>1.1299377927673092E-4</v>
      </c>
      <c r="M378" s="402"/>
      <c r="N378" s="470"/>
      <c r="O378" s="470"/>
      <c r="P378" s="470"/>
      <c r="Q378" s="470"/>
      <c r="R378" s="470"/>
      <c r="S378" s="470"/>
      <c r="T378" s="470"/>
      <c r="U378" s="470"/>
      <c r="V378" s="470"/>
      <c r="W378" s="471"/>
      <c r="X378" s="472"/>
      <c r="Y378" s="402"/>
    </row>
    <row r="379" spans="1:25" x14ac:dyDescent="0.35">
      <c r="A379" s="402"/>
      <c r="B379" s="374" t="s">
        <v>210</v>
      </c>
      <c r="C379" s="384"/>
      <c r="D379" s="384"/>
      <c r="E379" s="384"/>
      <c r="F379" s="384"/>
      <c r="G379" s="384"/>
      <c r="H379" s="384"/>
      <c r="I379" s="384"/>
      <c r="J379" s="384"/>
      <c r="K379" s="378">
        <f>SUM(K375:K378)</f>
        <v>0.66585753316578034</v>
      </c>
      <c r="L379" s="379">
        <f>SUM(L375:L378)</f>
        <v>5.4001617364616743E-3</v>
      </c>
      <c r="M379" s="402"/>
      <c r="N379" s="470"/>
      <c r="O379" s="470"/>
      <c r="P379" s="470"/>
      <c r="Q379" s="470"/>
      <c r="R379" s="470"/>
      <c r="S379" s="470"/>
      <c r="T379" s="470"/>
      <c r="U379" s="470"/>
      <c r="V379" s="470"/>
      <c r="W379" s="471"/>
      <c r="X379" s="472"/>
      <c r="Y379" s="402"/>
    </row>
    <row r="380" spans="1:25" ht="15" x14ac:dyDescent="0.4">
      <c r="A380" s="402"/>
      <c r="B380" s="374" t="s">
        <v>211</v>
      </c>
      <c r="C380" s="384"/>
      <c r="D380" s="384"/>
      <c r="E380" s="384"/>
      <c r="F380" s="384"/>
      <c r="G380" s="384"/>
      <c r="H380" s="385" t="s">
        <v>212</v>
      </c>
      <c r="I380" s="386"/>
      <c r="J380" s="384"/>
      <c r="K380" s="387">
        <f>SQRT(K379)</f>
        <v>0.81600093943927565</v>
      </c>
      <c r="L380" s="388"/>
      <c r="M380" s="402"/>
      <c r="N380" s="470"/>
      <c r="O380" s="470"/>
      <c r="P380" s="470"/>
      <c r="Q380" s="470"/>
      <c r="R380" s="470"/>
      <c r="S380" s="470"/>
      <c r="T380" s="470"/>
      <c r="U380" s="470"/>
      <c r="V380" s="470"/>
      <c r="W380" s="471"/>
      <c r="X380" s="472"/>
      <c r="Y380" s="402"/>
    </row>
    <row r="381" spans="1:25" ht="16.5" x14ac:dyDescent="0.4">
      <c r="A381" s="402"/>
      <c r="B381" s="374" t="s">
        <v>213</v>
      </c>
      <c r="C381" s="384"/>
      <c r="D381" s="384"/>
      <c r="E381" s="384"/>
      <c r="F381" s="384"/>
      <c r="G381" s="384"/>
      <c r="H381" s="389" t="s">
        <v>214</v>
      </c>
      <c r="I381" s="390"/>
      <c r="J381" s="384"/>
      <c r="K381" s="375">
        <f>K380^4/L379</f>
        <v>82.102402874348613</v>
      </c>
      <c r="L381" s="388"/>
      <c r="M381" s="402"/>
      <c r="N381" s="402"/>
      <c r="O381" s="402"/>
      <c r="P381" s="402"/>
      <c r="Q381" s="402"/>
      <c r="R381" s="402"/>
      <c r="S381" s="402"/>
      <c r="T381" s="402"/>
      <c r="U381" s="402"/>
      <c r="V381" s="402"/>
      <c r="W381" s="402"/>
      <c r="X381" s="402"/>
      <c r="Y381" s="402"/>
    </row>
    <row r="382" spans="1:25" x14ac:dyDescent="0.35">
      <c r="A382" s="402"/>
      <c r="B382" s="374" t="s">
        <v>215</v>
      </c>
      <c r="C382" s="384"/>
      <c r="D382" s="384"/>
      <c r="E382" s="384"/>
      <c r="F382" s="384"/>
      <c r="G382" s="384"/>
      <c r="H382" s="391" t="s">
        <v>216</v>
      </c>
      <c r="I382" s="392"/>
      <c r="J382" s="384"/>
      <c r="K382" s="377">
        <f>1.95996+(2.37356/K381)+(2.818745/K381^2)+(2.546662/K381^3)+(1.761829/K381^4)+(0.245458/K381^5)+(1.000764/K381^6)</f>
        <v>1.9892925526090806</v>
      </c>
      <c r="L382" s="393">
        <f>TINV(0.05,K381)</f>
        <v>1.9893185571365706</v>
      </c>
      <c r="M382" s="402"/>
      <c r="N382" s="402"/>
      <c r="O382" s="402"/>
      <c r="P382" s="402"/>
      <c r="Q382" s="402"/>
      <c r="R382" s="402"/>
      <c r="S382" s="402"/>
      <c r="T382" s="402"/>
      <c r="U382" s="402"/>
      <c r="V382" s="402"/>
      <c r="W382" s="402"/>
      <c r="X382" s="402"/>
      <c r="Y382" s="402"/>
    </row>
    <row r="383" spans="1:25" ht="15.5" x14ac:dyDescent="0.35">
      <c r="B383" s="374" t="s">
        <v>217</v>
      </c>
      <c r="C383" s="384"/>
      <c r="D383" s="384"/>
      <c r="E383" s="384"/>
      <c r="F383" s="384"/>
      <c r="G383" s="384"/>
      <c r="H383" s="394" t="s">
        <v>218</v>
      </c>
      <c r="I383" s="395"/>
      <c r="J383" s="384"/>
      <c r="K383" s="398">
        <f>K382*K380</f>
        <v>1.6232645917485644</v>
      </c>
      <c r="L383" s="19" t="str">
        <f>D373</f>
        <v>µA</v>
      </c>
      <c r="M383" s="402"/>
      <c r="N383" s="402"/>
      <c r="O383" s="402"/>
      <c r="P383" s="402"/>
      <c r="Q383" s="402"/>
      <c r="R383" s="402"/>
      <c r="S383" s="402"/>
      <c r="T383" s="402"/>
      <c r="U383" s="402"/>
      <c r="V383" s="402"/>
      <c r="W383" s="402"/>
      <c r="X383" s="402"/>
      <c r="Y383" s="402"/>
    </row>
    <row r="384" spans="1:25" x14ac:dyDescent="0.35">
      <c r="B384" s="396"/>
      <c r="C384" s="396"/>
      <c r="D384" s="396"/>
      <c r="E384" s="396"/>
      <c r="F384" s="396"/>
      <c r="G384" s="396"/>
      <c r="H384" s="396"/>
      <c r="I384" s="396"/>
      <c r="J384" s="396"/>
      <c r="K384" s="388">
        <f>(K383/C373)*100</f>
        <v>0.16232645917485644</v>
      </c>
      <c r="L384" s="19" t="s">
        <v>219</v>
      </c>
      <c r="M384" s="402"/>
      <c r="N384" s="402"/>
      <c r="O384" s="402"/>
      <c r="P384" s="402"/>
      <c r="Q384" s="402"/>
      <c r="R384" s="402"/>
      <c r="S384" s="402"/>
      <c r="T384" s="402"/>
      <c r="U384" s="402"/>
      <c r="V384" s="402"/>
      <c r="W384" s="402"/>
      <c r="X384" s="402"/>
      <c r="Y384" s="402"/>
    </row>
    <row r="385" spans="1:61" x14ac:dyDescent="0.35">
      <c r="B385" s="396"/>
      <c r="C385" s="396"/>
      <c r="D385" s="396"/>
      <c r="E385" s="396"/>
      <c r="F385" s="396"/>
      <c r="G385" s="396"/>
      <c r="H385" s="396"/>
      <c r="I385" s="396"/>
      <c r="J385" s="396"/>
      <c r="K385" s="469"/>
      <c r="L385" s="77"/>
      <c r="M385" s="402"/>
      <c r="N385" s="402"/>
      <c r="O385" s="402"/>
      <c r="P385" s="402"/>
      <c r="Q385" s="402"/>
      <c r="R385" s="402"/>
      <c r="S385" s="402"/>
      <c r="T385" s="402"/>
      <c r="U385" s="402"/>
      <c r="V385" s="402"/>
      <c r="W385" s="402"/>
      <c r="X385" s="402"/>
      <c r="Y385" s="402"/>
    </row>
    <row r="386" spans="1:61" x14ac:dyDescent="0.35">
      <c r="B386" s="396"/>
      <c r="C386" s="396"/>
      <c r="D386" s="396"/>
      <c r="E386" s="396"/>
      <c r="F386" s="396"/>
      <c r="G386" s="396"/>
      <c r="H386" s="396"/>
      <c r="I386" s="396"/>
      <c r="J386" s="396"/>
      <c r="K386" s="469"/>
      <c r="L386" s="77"/>
      <c r="M386" s="402"/>
      <c r="N386" s="402"/>
      <c r="O386" s="402"/>
      <c r="P386" s="402"/>
      <c r="Q386" s="402"/>
      <c r="R386" s="402"/>
      <c r="S386" s="402"/>
      <c r="T386" s="402"/>
      <c r="U386" s="402"/>
      <c r="V386" s="402"/>
      <c r="W386" s="402"/>
      <c r="X386" s="402"/>
      <c r="Y386" s="402"/>
    </row>
    <row r="387" spans="1:61" x14ac:dyDescent="0.35">
      <c r="B387" s="396"/>
      <c r="C387" s="396"/>
      <c r="D387" s="396"/>
      <c r="E387" s="396"/>
      <c r="F387" s="396"/>
      <c r="G387" s="396"/>
      <c r="H387" s="396"/>
      <c r="I387" s="396"/>
      <c r="J387" s="396"/>
      <c r="K387" s="469"/>
      <c r="L387" s="77"/>
      <c r="M387" s="402"/>
      <c r="N387" s="402"/>
      <c r="O387" s="402"/>
      <c r="P387" s="402"/>
      <c r="Q387" s="402"/>
      <c r="R387" s="402"/>
      <c r="S387" s="402"/>
      <c r="T387" s="402"/>
      <c r="U387" s="402"/>
      <c r="V387" s="402"/>
      <c r="W387" s="402"/>
      <c r="X387" s="402"/>
      <c r="Y387" s="402"/>
    </row>
    <row r="388" spans="1:61" x14ac:dyDescent="0.35">
      <c r="B388" s="396"/>
      <c r="C388" s="396"/>
      <c r="D388" s="396"/>
      <c r="E388" s="396"/>
      <c r="F388" s="396"/>
      <c r="G388" s="396"/>
      <c r="H388" s="396"/>
      <c r="I388" s="396"/>
      <c r="J388" s="396"/>
      <c r="K388" s="469"/>
      <c r="L388" s="77"/>
      <c r="M388" s="402"/>
      <c r="N388" s="402"/>
      <c r="O388" s="402"/>
      <c r="P388" s="402"/>
      <c r="Q388" s="402"/>
      <c r="R388" s="402"/>
      <c r="S388" s="402"/>
      <c r="T388" s="402"/>
      <c r="U388" s="402"/>
      <c r="V388" s="402"/>
      <c r="W388" s="402"/>
      <c r="X388" s="402"/>
      <c r="Y388" s="402"/>
    </row>
    <row r="389" spans="1:61" x14ac:dyDescent="0.35">
      <c r="B389" s="396"/>
      <c r="C389" s="396"/>
      <c r="D389" s="396"/>
      <c r="E389" s="396"/>
      <c r="F389" s="396"/>
      <c r="G389" s="396"/>
      <c r="H389" s="396"/>
      <c r="I389" s="396"/>
      <c r="J389" s="396"/>
      <c r="K389" s="469"/>
      <c r="L389" s="77"/>
      <c r="M389" s="402"/>
      <c r="N389" s="402"/>
      <c r="O389" s="402"/>
      <c r="P389" s="402"/>
      <c r="Q389" s="402"/>
      <c r="R389" s="402"/>
      <c r="S389" s="402"/>
      <c r="T389" s="402"/>
      <c r="U389" s="402"/>
      <c r="V389" s="402"/>
      <c r="W389" s="402"/>
      <c r="X389" s="402"/>
      <c r="Y389" s="402"/>
    </row>
    <row r="390" spans="1:61" x14ac:dyDescent="0.35">
      <c r="A390" s="467" t="str">
        <f>ID!B118</f>
        <v>6.</v>
      </c>
      <c r="B390" s="468" t="str">
        <f>ID!C118</f>
        <v>Kalibrasi Patient Auxillary Leakage Current</v>
      </c>
      <c r="C390" s="402"/>
      <c r="D390" s="402"/>
      <c r="E390" s="402"/>
      <c r="F390" s="402"/>
      <c r="G390" s="402"/>
      <c r="H390" s="402"/>
      <c r="I390" s="402"/>
      <c r="J390" s="402"/>
      <c r="K390" s="402"/>
      <c r="L390" s="402"/>
      <c r="M390" s="402"/>
      <c r="N390" s="402"/>
      <c r="O390" s="402"/>
      <c r="P390" s="402"/>
      <c r="Q390" s="402"/>
      <c r="R390" s="402"/>
      <c r="S390" s="402"/>
      <c r="T390" s="402"/>
      <c r="U390" s="402"/>
      <c r="V390" s="402"/>
      <c r="W390" s="402"/>
      <c r="X390" s="402"/>
      <c r="Y390" s="402"/>
      <c r="Z390" s="402"/>
      <c r="AA390" s="402"/>
      <c r="AB390" s="402"/>
      <c r="AC390" s="402"/>
      <c r="AD390" s="402"/>
      <c r="AE390" s="402"/>
      <c r="AF390" s="402"/>
      <c r="AG390" s="402"/>
      <c r="AH390" s="402"/>
      <c r="AI390" s="402"/>
      <c r="AJ390" s="402"/>
      <c r="AK390" s="402"/>
      <c r="AL390" s="402"/>
      <c r="AM390" s="402"/>
      <c r="AN390" s="402"/>
      <c r="AO390" s="402"/>
      <c r="AP390" s="402"/>
      <c r="AQ390" s="402"/>
      <c r="AR390" s="402"/>
      <c r="AS390" s="402"/>
      <c r="AT390" s="402"/>
      <c r="AU390" s="402"/>
      <c r="AV390" s="402"/>
      <c r="AW390" s="402"/>
      <c r="AX390" s="402"/>
      <c r="AY390" s="402"/>
      <c r="AZ390" s="402"/>
      <c r="BA390" s="402"/>
      <c r="BB390" s="402"/>
      <c r="BC390" s="402"/>
      <c r="BD390" s="402"/>
      <c r="BE390" s="402"/>
      <c r="BF390" s="402"/>
      <c r="BG390" s="402"/>
      <c r="BH390" s="402"/>
      <c r="BI390" s="402"/>
    </row>
    <row r="391" spans="1:61" x14ac:dyDescent="0.35">
      <c r="A391" s="467"/>
      <c r="B391" s="403" t="str">
        <f>ID!D122</f>
        <v>R Terhadap Semua Elektroda</v>
      </c>
      <c r="C391" s="402"/>
      <c r="D391" s="402"/>
      <c r="E391" s="402"/>
      <c r="F391" s="402"/>
      <c r="G391" s="402"/>
      <c r="H391" s="402"/>
      <c r="I391" s="402"/>
      <c r="J391" s="402"/>
      <c r="K391" s="402"/>
      <c r="L391" s="402"/>
      <c r="N391" s="403" t="str">
        <f>ID!D129</f>
        <v>F Terhadap Semua Elektroda</v>
      </c>
      <c r="O391" s="402"/>
      <c r="P391" s="402"/>
      <c r="Q391" s="402"/>
      <c r="R391" s="402"/>
      <c r="S391" s="402"/>
      <c r="T391" s="402"/>
      <c r="U391" s="402"/>
      <c r="V391" s="402"/>
      <c r="W391" s="402"/>
      <c r="X391" s="402"/>
      <c r="Z391" s="403" t="str">
        <f>ID!D136</f>
        <v>L Terhadap Semua Elektroda</v>
      </c>
      <c r="AA391" s="402"/>
      <c r="AB391" s="402"/>
      <c r="AC391" s="402"/>
      <c r="AD391" s="402"/>
      <c r="AE391" s="402"/>
      <c r="AF391" s="402"/>
      <c r="AG391" s="402"/>
      <c r="AH391" s="402"/>
      <c r="AI391" s="402"/>
      <c r="AJ391" s="402"/>
      <c r="AL391" s="403" t="str">
        <f>ID!D143</f>
        <v>N Terhadap Semua Elektroda</v>
      </c>
      <c r="AM391" s="402"/>
      <c r="AN391" s="402"/>
      <c r="AO391" s="402"/>
      <c r="AP391" s="402"/>
      <c r="AQ391" s="402"/>
      <c r="AR391" s="402"/>
      <c r="AS391" s="402"/>
      <c r="AT391" s="402"/>
      <c r="AU391" s="402"/>
      <c r="AV391" s="402"/>
      <c r="AX391" s="403" t="str">
        <f>ID!D150</f>
        <v>V1 - V6 Terhadap Semua Elektroda</v>
      </c>
      <c r="AY391" s="402"/>
      <c r="AZ391" s="402"/>
      <c r="BA391" s="402"/>
      <c r="BB391" s="402"/>
      <c r="BC391" s="402"/>
      <c r="BD391" s="402"/>
      <c r="BE391" s="402"/>
      <c r="BF391" s="402"/>
      <c r="BG391" s="402"/>
      <c r="BH391" s="402"/>
      <c r="BI391" s="402"/>
    </row>
    <row r="392" spans="1:61" x14ac:dyDescent="0.35">
      <c r="A392" s="402"/>
      <c r="B392" s="396" t="s">
        <v>193</v>
      </c>
      <c r="C392" s="77">
        <f>ID!D123</f>
        <v>0</v>
      </c>
      <c r="D392" s="397" t="s">
        <v>222</v>
      </c>
      <c r="N392" s="396" t="s">
        <v>193</v>
      </c>
      <c r="O392" s="77">
        <f>ID!D130</f>
        <v>0</v>
      </c>
      <c r="P392" s="397" t="s">
        <v>222</v>
      </c>
      <c r="Z392" s="396" t="s">
        <v>193</v>
      </c>
      <c r="AA392" s="77">
        <f>ID!D137</f>
        <v>0</v>
      </c>
      <c r="AB392" s="397" t="s">
        <v>222</v>
      </c>
      <c r="AL392" s="396" t="s">
        <v>193</v>
      </c>
      <c r="AM392" s="77">
        <f>ID!D144</f>
        <v>0</v>
      </c>
      <c r="AN392" s="397" t="s">
        <v>222</v>
      </c>
      <c r="AX392" s="396" t="s">
        <v>193</v>
      </c>
      <c r="AY392" s="77">
        <f>ID!D151</f>
        <v>0</v>
      </c>
      <c r="AZ392" s="397" t="s">
        <v>222</v>
      </c>
      <c r="BI392" s="402"/>
    </row>
    <row r="393" spans="1:61" x14ac:dyDescent="0.35">
      <c r="A393" s="402"/>
      <c r="B393" s="372" t="s">
        <v>194</v>
      </c>
      <c r="C393" s="373" t="s">
        <v>72</v>
      </c>
      <c r="D393" s="373" t="s">
        <v>195</v>
      </c>
      <c r="E393" s="372" t="s">
        <v>196</v>
      </c>
      <c r="F393" s="372" t="s">
        <v>197</v>
      </c>
      <c r="G393" s="372" t="s">
        <v>198</v>
      </c>
      <c r="H393" s="372" t="s">
        <v>199</v>
      </c>
      <c r="I393" s="372" t="s">
        <v>200</v>
      </c>
      <c r="J393" s="372" t="s">
        <v>201</v>
      </c>
      <c r="K393" s="372" t="s">
        <v>202</v>
      </c>
      <c r="L393" s="373" t="s">
        <v>203</v>
      </c>
      <c r="N393" s="372" t="s">
        <v>194</v>
      </c>
      <c r="O393" s="373" t="s">
        <v>72</v>
      </c>
      <c r="P393" s="373" t="s">
        <v>195</v>
      </c>
      <c r="Q393" s="372" t="s">
        <v>196</v>
      </c>
      <c r="R393" s="372" t="s">
        <v>197</v>
      </c>
      <c r="S393" s="372" t="s">
        <v>198</v>
      </c>
      <c r="T393" s="372" t="s">
        <v>199</v>
      </c>
      <c r="U393" s="372" t="s">
        <v>200</v>
      </c>
      <c r="V393" s="372" t="s">
        <v>201</v>
      </c>
      <c r="W393" s="372" t="s">
        <v>202</v>
      </c>
      <c r="X393" s="373" t="s">
        <v>203</v>
      </c>
      <c r="Z393" s="372" t="s">
        <v>194</v>
      </c>
      <c r="AA393" s="373" t="s">
        <v>72</v>
      </c>
      <c r="AB393" s="373" t="s">
        <v>195</v>
      </c>
      <c r="AC393" s="372" t="s">
        <v>196</v>
      </c>
      <c r="AD393" s="372" t="s">
        <v>197</v>
      </c>
      <c r="AE393" s="372" t="s">
        <v>198</v>
      </c>
      <c r="AF393" s="372" t="s">
        <v>199</v>
      </c>
      <c r="AG393" s="372" t="s">
        <v>200</v>
      </c>
      <c r="AH393" s="372" t="s">
        <v>201</v>
      </c>
      <c r="AI393" s="372" t="s">
        <v>202</v>
      </c>
      <c r="AJ393" s="373" t="s">
        <v>203</v>
      </c>
      <c r="AL393" s="372" t="s">
        <v>194</v>
      </c>
      <c r="AM393" s="373" t="s">
        <v>72</v>
      </c>
      <c r="AN393" s="373" t="s">
        <v>195</v>
      </c>
      <c r="AO393" s="372" t="s">
        <v>196</v>
      </c>
      <c r="AP393" s="372" t="s">
        <v>197</v>
      </c>
      <c r="AQ393" s="372" t="s">
        <v>198</v>
      </c>
      <c r="AR393" s="372" t="s">
        <v>199</v>
      </c>
      <c r="AS393" s="372" t="s">
        <v>200</v>
      </c>
      <c r="AT393" s="372" t="s">
        <v>201</v>
      </c>
      <c r="AU393" s="372" t="s">
        <v>202</v>
      </c>
      <c r="AV393" s="373" t="s">
        <v>203</v>
      </c>
      <c r="AX393" s="372" t="s">
        <v>194</v>
      </c>
      <c r="AY393" s="373" t="s">
        <v>72</v>
      </c>
      <c r="AZ393" s="373" t="s">
        <v>195</v>
      </c>
      <c r="BA393" s="372" t="s">
        <v>196</v>
      </c>
      <c r="BB393" s="372" t="s">
        <v>197</v>
      </c>
      <c r="BC393" s="372" t="s">
        <v>198</v>
      </c>
      <c r="BD393" s="372" t="s">
        <v>199</v>
      </c>
      <c r="BE393" s="372" t="s">
        <v>200</v>
      </c>
      <c r="BF393" s="372" t="s">
        <v>201</v>
      </c>
      <c r="BG393" s="372" t="s">
        <v>202</v>
      </c>
      <c r="BH393" s="373" t="s">
        <v>203</v>
      </c>
      <c r="BI393" s="402"/>
    </row>
    <row r="394" spans="1:61" x14ac:dyDescent="0.35">
      <c r="A394" s="402"/>
      <c r="B394" s="374" t="s">
        <v>223</v>
      </c>
      <c r="C394" s="19" t="str">
        <f>D392</f>
        <v>µA</v>
      </c>
      <c r="D394" s="375" t="s">
        <v>205</v>
      </c>
      <c r="E394" s="376">
        <f>'Sert Time Electronics'!X181</f>
        <v>0</v>
      </c>
      <c r="F394" s="377">
        <f>SQRT(5)</f>
        <v>2.2360679774997898</v>
      </c>
      <c r="G394" s="375">
        <f>5-1</f>
        <v>4</v>
      </c>
      <c r="H394" s="377">
        <f>E394/F394</f>
        <v>0</v>
      </c>
      <c r="I394" s="375">
        <v>1</v>
      </c>
      <c r="J394" s="377">
        <f>H394*I394</f>
        <v>0</v>
      </c>
      <c r="K394" s="378">
        <f>J394^2</f>
        <v>0</v>
      </c>
      <c r="L394" s="379">
        <f>K394^2/G394</f>
        <v>0</v>
      </c>
      <c r="N394" s="374" t="s">
        <v>223</v>
      </c>
      <c r="O394" s="19" t="str">
        <f>P392</f>
        <v>µA</v>
      </c>
      <c r="P394" s="375" t="s">
        <v>205</v>
      </c>
      <c r="Q394" s="376">
        <f>'Sert Time Electronics'!X189</f>
        <v>0</v>
      </c>
      <c r="R394" s="377">
        <f>SQRT(5)</f>
        <v>2.2360679774997898</v>
      </c>
      <c r="S394" s="375">
        <f>5-1</f>
        <v>4</v>
      </c>
      <c r="T394" s="377">
        <f>Q394/R394</f>
        <v>0</v>
      </c>
      <c r="U394" s="375">
        <v>1</v>
      </c>
      <c r="V394" s="377">
        <f>T394*U394</f>
        <v>0</v>
      </c>
      <c r="W394" s="378">
        <f>V394^2</f>
        <v>0</v>
      </c>
      <c r="X394" s="379">
        <f>W394^2/S394</f>
        <v>0</v>
      </c>
      <c r="Z394" s="374" t="s">
        <v>223</v>
      </c>
      <c r="AA394" s="19" t="str">
        <f>AB392</f>
        <v>µA</v>
      </c>
      <c r="AB394" s="375" t="s">
        <v>205</v>
      </c>
      <c r="AC394" s="376">
        <f>'Sert Time Electronics'!X197</f>
        <v>0</v>
      </c>
      <c r="AD394" s="377">
        <f>SQRT(5)</f>
        <v>2.2360679774997898</v>
      </c>
      <c r="AE394" s="375">
        <f>5-1</f>
        <v>4</v>
      </c>
      <c r="AF394" s="377">
        <f>AC394/AD394</f>
        <v>0</v>
      </c>
      <c r="AG394" s="375">
        <v>1</v>
      </c>
      <c r="AH394" s="377">
        <f>AF394*AG394</f>
        <v>0</v>
      </c>
      <c r="AI394" s="378">
        <f>AH394^2</f>
        <v>0</v>
      </c>
      <c r="AJ394" s="379">
        <f>AI394^2/AE394</f>
        <v>0</v>
      </c>
      <c r="AL394" s="374" t="s">
        <v>223</v>
      </c>
      <c r="AM394" s="19" t="str">
        <f>AN392</f>
        <v>µA</v>
      </c>
      <c r="AN394" s="375" t="s">
        <v>205</v>
      </c>
      <c r="AO394" s="376">
        <f>'Sert Time Electronics'!X205</f>
        <v>0</v>
      </c>
      <c r="AP394" s="377">
        <f>SQRT(5)</f>
        <v>2.2360679774997898</v>
      </c>
      <c r="AQ394" s="375">
        <f>5-1</f>
        <v>4</v>
      </c>
      <c r="AR394" s="377">
        <f>AO394/AP394</f>
        <v>0</v>
      </c>
      <c r="AS394" s="375">
        <v>1</v>
      </c>
      <c r="AT394" s="377">
        <f>AR394*AS394</f>
        <v>0</v>
      </c>
      <c r="AU394" s="378">
        <f>AT394^2</f>
        <v>0</v>
      </c>
      <c r="AV394" s="379">
        <f>AU394^2/AQ394</f>
        <v>0</v>
      </c>
      <c r="AX394" s="374" t="s">
        <v>223</v>
      </c>
      <c r="AY394" s="19" t="str">
        <f>AZ392</f>
        <v>µA</v>
      </c>
      <c r="AZ394" s="375" t="s">
        <v>205</v>
      </c>
      <c r="BA394" s="376">
        <f>'Sert Time Electronics'!X213</f>
        <v>0</v>
      </c>
      <c r="BB394" s="377">
        <f>SQRT(5)</f>
        <v>2.2360679774997898</v>
      </c>
      <c r="BC394" s="375">
        <f>5-1</f>
        <v>4</v>
      </c>
      <c r="BD394" s="377">
        <f>BA394/BB394</f>
        <v>0</v>
      </c>
      <c r="BE394" s="375">
        <v>1</v>
      </c>
      <c r="BF394" s="377">
        <f>BD394*BE394</f>
        <v>0</v>
      </c>
      <c r="BG394" s="378">
        <f>BF394^2</f>
        <v>0</v>
      </c>
      <c r="BH394" s="379">
        <f>BG394^2/BC394</f>
        <v>0</v>
      </c>
      <c r="BI394" s="402"/>
    </row>
    <row r="395" spans="1:61" x14ac:dyDescent="0.35">
      <c r="A395" s="402"/>
      <c r="B395" s="380" t="s">
        <v>206</v>
      </c>
      <c r="C395" s="19" t="str">
        <f>C394</f>
        <v>µA</v>
      </c>
      <c r="D395" s="375" t="s">
        <v>205</v>
      </c>
      <c r="E395" s="381">
        <f>'Sert Time Electronics'!AA181</f>
        <v>5.1932188400600132E-4</v>
      </c>
      <c r="F395" s="377">
        <v>2</v>
      </c>
      <c r="G395" s="375">
        <f>0.5*(100/10)^2</f>
        <v>50</v>
      </c>
      <c r="H395" s="377">
        <f>E395/F395</f>
        <v>2.5966094200300066E-4</v>
      </c>
      <c r="I395" s="375">
        <v>1</v>
      </c>
      <c r="J395" s="377">
        <f>H395*I395</f>
        <v>2.5966094200300066E-4</v>
      </c>
      <c r="K395" s="378">
        <f>J395^2</f>
        <v>6.7423804801885667E-8</v>
      </c>
      <c r="L395" s="379">
        <f>K395^2/G395</f>
        <v>9.0919389079255608E-17</v>
      </c>
      <c r="N395" s="380" t="s">
        <v>206</v>
      </c>
      <c r="O395" s="19" t="str">
        <f>O394</f>
        <v>µA</v>
      </c>
      <c r="P395" s="375" t="s">
        <v>205</v>
      </c>
      <c r="Q395" s="381">
        <f>'Sert Time Electronics'!AA189</f>
        <v>5.1932188400600132E-4</v>
      </c>
      <c r="R395" s="377">
        <v>2</v>
      </c>
      <c r="S395" s="375">
        <f>0.5*(100/10)^2</f>
        <v>50</v>
      </c>
      <c r="T395" s="377">
        <f>Q395/R395</f>
        <v>2.5966094200300066E-4</v>
      </c>
      <c r="U395" s="375">
        <v>1</v>
      </c>
      <c r="V395" s="377">
        <f>T395*U395</f>
        <v>2.5966094200300066E-4</v>
      </c>
      <c r="W395" s="378">
        <f>V395^2</f>
        <v>6.7423804801885667E-8</v>
      </c>
      <c r="X395" s="379">
        <f>W395^2/S395</f>
        <v>9.0919389079255608E-17</v>
      </c>
      <c r="Z395" s="380" t="s">
        <v>206</v>
      </c>
      <c r="AA395" s="19" t="str">
        <f>AA394</f>
        <v>µA</v>
      </c>
      <c r="AB395" s="375" t="s">
        <v>205</v>
      </c>
      <c r="AC395" s="381">
        <f>'Sert Time Electronics'!AA197</f>
        <v>5.1932188400600132E-4</v>
      </c>
      <c r="AD395" s="377">
        <v>2</v>
      </c>
      <c r="AE395" s="375">
        <f>0.5*(100/10)^2</f>
        <v>50</v>
      </c>
      <c r="AF395" s="377">
        <f>AC395/AD395</f>
        <v>2.5966094200300066E-4</v>
      </c>
      <c r="AG395" s="375">
        <v>1</v>
      </c>
      <c r="AH395" s="377">
        <f>AF395*AG395</f>
        <v>2.5966094200300066E-4</v>
      </c>
      <c r="AI395" s="378">
        <f>AH395^2</f>
        <v>6.7423804801885667E-8</v>
      </c>
      <c r="AJ395" s="379">
        <f>AI395^2/AE395</f>
        <v>9.0919389079255608E-17</v>
      </c>
      <c r="AL395" s="380" t="s">
        <v>206</v>
      </c>
      <c r="AM395" s="19" t="str">
        <f>AM394</f>
        <v>µA</v>
      </c>
      <c r="AN395" s="375" t="s">
        <v>205</v>
      </c>
      <c r="AO395" s="381">
        <f>'Sert Time Electronics'!AA205</f>
        <v>5.1932188400600132E-4</v>
      </c>
      <c r="AP395" s="377">
        <v>2</v>
      </c>
      <c r="AQ395" s="375">
        <f>0.5*(100/10)^2</f>
        <v>50</v>
      </c>
      <c r="AR395" s="377">
        <f>AO395/AP395</f>
        <v>2.5966094200300066E-4</v>
      </c>
      <c r="AS395" s="375">
        <v>1</v>
      </c>
      <c r="AT395" s="377">
        <f>AR395*AS395</f>
        <v>2.5966094200300066E-4</v>
      </c>
      <c r="AU395" s="378">
        <f>AT395^2</f>
        <v>6.7423804801885667E-8</v>
      </c>
      <c r="AV395" s="379">
        <f>AU395^2/AQ395</f>
        <v>9.0919389079255608E-17</v>
      </c>
      <c r="AX395" s="380" t="s">
        <v>206</v>
      </c>
      <c r="AY395" s="19" t="str">
        <f>AY394</f>
        <v>µA</v>
      </c>
      <c r="AZ395" s="375" t="s">
        <v>205</v>
      </c>
      <c r="BA395" s="381">
        <f>'Sert Time Electronics'!AA213</f>
        <v>5.1932188400600132E-4</v>
      </c>
      <c r="BB395" s="377">
        <v>2</v>
      </c>
      <c r="BC395" s="375">
        <f>0.5*(100/10)^2</f>
        <v>50</v>
      </c>
      <c r="BD395" s="377">
        <f>BA395/BB395</f>
        <v>2.5966094200300066E-4</v>
      </c>
      <c r="BE395" s="375">
        <v>1</v>
      </c>
      <c r="BF395" s="377">
        <f>BD395*BE395</f>
        <v>2.5966094200300066E-4</v>
      </c>
      <c r="BG395" s="378">
        <f>BF395^2</f>
        <v>6.7423804801885667E-8</v>
      </c>
      <c r="BH395" s="379">
        <f>BG395^2/BC395</f>
        <v>9.0919389079255608E-17</v>
      </c>
      <c r="BI395" s="402"/>
    </row>
    <row r="396" spans="1:61" x14ac:dyDescent="0.35">
      <c r="A396" s="402"/>
      <c r="B396" s="380" t="s">
        <v>207</v>
      </c>
      <c r="C396" s="19" t="str">
        <f>C395</f>
        <v>µA</v>
      </c>
      <c r="D396" s="375" t="s">
        <v>208</v>
      </c>
      <c r="E396" s="382">
        <f>'Sert Time Electronics'!Y181</f>
        <v>0.05</v>
      </c>
      <c r="F396" s="377">
        <f>SQRT(3)</f>
        <v>1.7320508075688772</v>
      </c>
      <c r="G396" s="375">
        <v>50</v>
      </c>
      <c r="H396" s="377">
        <f>E396/F396</f>
        <v>2.8867513459481291E-2</v>
      </c>
      <c r="I396" s="375">
        <v>1</v>
      </c>
      <c r="J396" s="377">
        <f>H396*I396</f>
        <v>2.8867513459481291E-2</v>
      </c>
      <c r="K396" s="378">
        <f>J396^2</f>
        <v>8.333333333333335E-4</v>
      </c>
      <c r="L396" s="379">
        <f>K396^2/G396</f>
        <v>1.3888888888888894E-8</v>
      </c>
      <c r="N396" s="380" t="s">
        <v>207</v>
      </c>
      <c r="O396" s="19" t="str">
        <f>O395</f>
        <v>µA</v>
      </c>
      <c r="P396" s="375" t="s">
        <v>208</v>
      </c>
      <c r="Q396" s="382">
        <f>'Sert Time Electronics'!Y189</f>
        <v>0.05</v>
      </c>
      <c r="R396" s="377">
        <f>SQRT(3)</f>
        <v>1.7320508075688772</v>
      </c>
      <c r="S396" s="375">
        <v>50</v>
      </c>
      <c r="T396" s="377">
        <f>Q396/R396</f>
        <v>2.8867513459481291E-2</v>
      </c>
      <c r="U396" s="375">
        <v>1</v>
      </c>
      <c r="V396" s="377">
        <f>T396*U396</f>
        <v>2.8867513459481291E-2</v>
      </c>
      <c r="W396" s="378">
        <f>V396^2</f>
        <v>8.333333333333335E-4</v>
      </c>
      <c r="X396" s="379">
        <f>W396^2/S396</f>
        <v>1.3888888888888894E-8</v>
      </c>
      <c r="Z396" s="380" t="s">
        <v>207</v>
      </c>
      <c r="AA396" s="19" t="str">
        <f>AA395</f>
        <v>µA</v>
      </c>
      <c r="AB396" s="375" t="s">
        <v>208</v>
      </c>
      <c r="AC396" s="382">
        <f>'Sert Time Electronics'!Y197</f>
        <v>0.05</v>
      </c>
      <c r="AD396" s="377">
        <f>SQRT(3)</f>
        <v>1.7320508075688772</v>
      </c>
      <c r="AE396" s="375">
        <v>50</v>
      </c>
      <c r="AF396" s="377">
        <f>AC396/AD396</f>
        <v>2.8867513459481291E-2</v>
      </c>
      <c r="AG396" s="375">
        <v>1</v>
      </c>
      <c r="AH396" s="377">
        <f>AF396*AG396</f>
        <v>2.8867513459481291E-2</v>
      </c>
      <c r="AI396" s="378">
        <f>AH396^2</f>
        <v>8.333333333333335E-4</v>
      </c>
      <c r="AJ396" s="379">
        <f>AI396^2/AE396</f>
        <v>1.3888888888888894E-8</v>
      </c>
      <c r="AL396" s="380" t="s">
        <v>207</v>
      </c>
      <c r="AM396" s="19" t="str">
        <f>AM395</f>
        <v>µA</v>
      </c>
      <c r="AN396" s="375" t="s">
        <v>208</v>
      </c>
      <c r="AO396" s="382">
        <f>'Sert Time Electronics'!Y205</f>
        <v>0.05</v>
      </c>
      <c r="AP396" s="377">
        <f>SQRT(3)</f>
        <v>1.7320508075688772</v>
      </c>
      <c r="AQ396" s="375">
        <v>50</v>
      </c>
      <c r="AR396" s="377">
        <f>AO396/AP396</f>
        <v>2.8867513459481291E-2</v>
      </c>
      <c r="AS396" s="375">
        <v>1</v>
      </c>
      <c r="AT396" s="377">
        <f>AR396*AS396</f>
        <v>2.8867513459481291E-2</v>
      </c>
      <c r="AU396" s="378">
        <f>AT396^2</f>
        <v>8.333333333333335E-4</v>
      </c>
      <c r="AV396" s="379">
        <f>AU396^2/AQ396</f>
        <v>1.3888888888888894E-8</v>
      </c>
      <c r="AX396" s="380" t="s">
        <v>207</v>
      </c>
      <c r="AY396" s="19" t="str">
        <f>AY395</f>
        <v>µA</v>
      </c>
      <c r="AZ396" s="375" t="s">
        <v>208</v>
      </c>
      <c r="BA396" s="382">
        <f>'Sert Time Electronics'!Y213</f>
        <v>0.05</v>
      </c>
      <c r="BB396" s="377">
        <f>SQRT(3)</f>
        <v>1.7320508075688772</v>
      </c>
      <c r="BC396" s="375">
        <v>50</v>
      </c>
      <c r="BD396" s="377">
        <f>BA396/BB396</f>
        <v>2.8867513459481291E-2</v>
      </c>
      <c r="BE396" s="375">
        <v>1</v>
      </c>
      <c r="BF396" s="377">
        <f>BD396*BE396</f>
        <v>2.8867513459481291E-2</v>
      </c>
      <c r="BG396" s="378">
        <f>BF396^2</f>
        <v>8.333333333333335E-4</v>
      </c>
      <c r="BH396" s="379">
        <f>BG396^2/BC396</f>
        <v>1.3888888888888894E-8</v>
      </c>
      <c r="BI396" s="402"/>
    </row>
    <row r="397" spans="1:61" x14ac:dyDescent="0.35">
      <c r="A397" s="402"/>
      <c r="B397" s="383" t="s">
        <v>209</v>
      </c>
      <c r="C397" s="19" t="str">
        <f>C396</f>
        <v>µA</v>
      </c>
      <c r="D397" s="375" t="s">
        <v>208</v>
      </c>
      <c r="E397" s="381">
        <f>'Sert Time Electronics'!Z181</f>
        <v>1.7310729466867635E-4</v>
      </c>
      <c r="F397" s="377">
        <f>SQRT(3)</f>
        <v>1.7320508075688772</v>
      </c>
      <c r="G397" s="375">
        <v>50</v>
      </c>
      <c r="H397" s="377">
        <f>E397/F397</f>
        <v>9.9943543175648166E-5</v>
      </c>
      <c r="I397" s="375">
        <v>1</v>
      </c>
      <c r="J397" s="377">
        <f>H397*I397</f>
        <v>9.9943543175648166E-5</v>
      </c>
      <c r="K397" s="378">
        <f>J397^2</f>
        <v>9.9887118225026496E-9</v>
      </c>
      <c r="L397" s="379">
        <f>K397^2/G397</f>
        <v>1.995487277460084E-18</v>
      </c>
      <c r="N397" s="383" t="s">
        <v>209</v>
      </c>
      <c r="O397" s="19" t="str">
        <f>O396</f>
        <v>µA</v>
      </c>
      <c r="P397" s="375" t="s">
        <v>208</v>
      </c>
      <c r="Q397" s="381">
        <f>'Sert Time Electronics'!Z189</f>
        <v>1.7310729466867635E-4</v>
      </c>
      <c r="R397" s="377">
        <f>SQRT(3)</f>
        <v>1.7320508075688772</v>
      </c>
      <c r="S397" s="375">
        <v>50</v>
      </c>
      <c r="T397" s="377">
        <f>Q397/R397</f>
        <v>9.9943543175648166E-5</v>
      </c>
      <c r="U397" s="375">
        <v>1</v>
      </c>
      <c r="V397" s="377">
        <f>T397*U397</f>
        <v>9.9943543175648166E-5</v>
      </c>
      <c r="W397" s="378">
        <f>V397^2</f>
        <v>9.9887118225026496E-9</v>
      </c>
      <c r="X397" s="379">
        <f>W397^2/S397</f>
        <v>1.995487277460084E-18</v>
      </c>
      <c r="Z397" s="383" t="s">
        <v>209</v>
      </c>
      <c r="AA397" s="19" t="str">
        <f>AA396</f>
        <v>µA</v>
      </c>
      <c r="AB397" s="375" t="s">
        <v>208</v>
      </c>
      <c r="AC397" s="381">
        <f>'Sert Time Electronics'!Z197</f>
        <v>1.7310729466867635E-4</v>
      </c>
      <c r="AD397" s="377">
        <f>SQRT(3)</f>
        <v>1.7320508075688772</v>
      </c>
      <c r="AE397" s="375">
        <v>50</v>
      </c>
      <c r="AF397" s="377">
        <f>AC397/AD397</f>
        <v>9.9943543175648166E-5</v>
      </c>
      <c r="AG397" s="375">
        <v>1</v>
      </c>
      <c r="AH397" s="377">
        <f>AF397*AG397</f>
        <v>9.9943543175648166E-5</v>
      </c>
      <c r="AI397" s="378">
        <f>AH397^2</f>
        <v>9.9887118225026496E-9</v>
      </c>
      <c r="AJ397" s="379">
        <f>AI397^2/AE397</f>
        <v>1.995487277460084E-18</v>
      </c>
      <c r="AL397" s="383" t="s">
        <v>209</v>
      </c>
      <c r="AM397" s="19" t="str">
        <f>AM396</f>
        <v>µA</v>
      </c>
      <c r="AN397" s="375" t="s">
        <v>208</v>
      </c>
      <c r="AO397" s="381">
        <f>'Sert Time Electronics'!Z205</f>
        <v>1.7310729466867635E-4</v>
      </c>
      <c r="AP397" s="377">
        <f>SQRT(3)</f>
        <v>1.7320508075688772</v>
      </c>
      <c r="AQ397" s="375">
        <v>50</v>
      </c>
      <c r="AR397" s="377">
        <f>AO397/AP397</f>
        <v>9.9943543175648166E-5</v>
      </c>
      <c r="AS397" s="375">
        <v>1</v>
      </c>
      <c r="AT397" s="377">
        <f>AR397*AS397</f>
        <v>9.9943543175648166E-5</v>
      </c>
      <c r="AU397" s="378">
        <f>AT397^2</f>
        <v>9.9887118225026496E-9</v>
      </c>
      <c r="AV397" s="379">
        <f>AU397^2/AQ397</f>
        <v>1.995487277460084E-18</v>
      </c>
      <c r="AX397" s="383" t="s">
        <v>209</v>
      </c>
      <c r="AY397" s="19" t="str">
        <f>AY396</f>
        <v>µA</v>
      </c>
      <c r="AZ397" s="375" t="s">
        <v>208</v>
      </c>
      <c r="BA397" s="381">
        <f>'Sert Time Electronics'!Z213</f>
        <v>1.7310729466867635E-4</v>
      </c>
      <c r="BB397" s="377">
        <f>SQRT(3)</f>
        <v>1.7320508075688772</v>
      </c>
      <c r="BC397" s="375">
        <v>50</v>
      </c>
      <c r="BD397" s="377">
        <f>BA397/BB397</f>
        <v>9.9943543175648166E-5</v>
      </c>
      <c r="BE397" s="375">
        <v>1</v>
      </c>
      <c r="BF397" s="377">
        <f>BD397*BE397</f>
        <v>9.9943543175648166E-5</v>
      </c>
      <c r="BG397" s="378">
        <f>BF397^2</f>
        <v>9.9887118225026496E-9</v>
      </c>
      <c r="BH397" s="379">
        <f>BG397^2/BC397</f>
        <v>1.995487277460084E-18</v>
      </c>
      <c r="BI397" s="402"/>
    </row>
    <row r="398" spans="1:61" x14ac:dyDescent="0.35">
      <c r="A398" s="402"/>
      <c r="B398" s="374" t="s">
        <v>210</v>
      </c>
      <c r="C398" s="384"/>
      <c r="D398" s="384"/>
      <c r="E398" s="384"/>
      <c r="F398" s="384"/>
      <c r="G398" s="384"/>
      <c r="H398" s="384"/>
      <c r="I398" s="384"/>
      <c r="J398" s="384"/>
      <c r="K398" s="378">
        <f>SUM(K394:K397)</f>
        <v>8.3341074584995789E-4</v>
      </c>
      <c r="L398" s="379">
        <f>SUM(L394:L397)</f>
        <v>1.3888888981803769E-8</v>
      </c>
      <c r="N398" s="374" t="s">
        <v>210</v>
      </c>
      <c r="O398" s="384"/>
      <c r="P398" s="384"/>
      <c r="Q398" s="384"/>
      <c r="R398" s="384"/>
      <c r="S398" s="384"/>
      <c r="T398" s="384"/>
      <c r="U398" s="384"/>
      <c r="V398" s="384"/>
      <c r="W398" s="378">
        <f>SUM(W394:W397)</f>
        <v>8.3341074584995789E-4</v>
      </c>
      <c r="X398" s="379">
        <f>SUM(X394:X397)</f>
        <v>1.3888888981803769E-8</v>
      </c>
      <c r="Z398" s="374" t="s">
        <v>210</v>
      </c>
      <c r="AA398" s="384"/>
      <c r="AB398" s="384"/>
      <c r="AC398" s="384"/>
      <c r="AD398" s="384"/>
      <c r="AE398" s="384"/>
      <c r="AF398" s="384"/>
      <c r="AG398" s="384"/>
      <c r="AH398" s="384"/>
      <c r="AI398" s="378">
        <f>SUM(AI394:AI397)</f>
        <v>8.3341074584995789E-4</v>
      </c>
      <c r="AJ398" s="379">
        <f>SUM(AJ394:AJ397)</f>
        <v>1.3888888981803769E-8</v>
      </c>
      <c r="AL398" s="374" t="s">
        <v>210</v>
      </c>
      <c r="AM398" s="384"/>
      <c r="AN398" s="384"/>
      <c r="AO398" s="384"/>
      <c r="AP398" s="384"/>
      <c r="AQ398" s="384"/>
      <c r="AR398" s="384"/>
      <c r="AS398" s="384"/>
      <c r="AT398" s="384"/>
      <c r="AU398" s="378">
        <f>SUM(AU394:AU397)</f>
        <v>8.3341074584995789E-4</v>
      </c>
      <c r="AV398" s="379">
        <f>SUM(AV394:AV397)</f>
        <v>1.3888888981803769E-8</v>
      </c>
      <c r="AX398" s="374" t="s">
        <v>210</v>
      </c>
      <c r="AY398" s="384"/>
      <c r="AZ398" s="384"/>
      <c r="BA398" s="384"/>
      <c r="BB398" s="384"/>
      <c r="BC398" s="384"/>
      <c r="BD398" s="384"/>
      <c r="BE398" s="384"/>
      <c r="BF398" s="384"/>
      <c r="BG398" s="378">
        <f>SUM(BG394:BG397)</f>
        <v>8.3341074584995789E-4</v>
      </c>
      <c r="BH398" s="379">
        <f>SUM(BH394:BH397)</f>
        <v>1.3888888981803769E-8</v>
      </c>
      <c r="BI398" s="402"/>
    </row>
    <row r="399" spans="1:61" ht="15" x14ac:dyDescent="0.4">
      <c r="A399" s="402"/>
      <c r="B399" s="374" t="s">
        <v>211</v>
      </c>
      <c r="C399" s="384"/>
      <c r="D399" s="384"/>
      <c r="E399" s="384"/>
      <c r="F399" s="384"/>
      <c r="G399" s="384"/>
      <c r="H399" s="385" t="s">
        <v>212</v>
      </c>
      <c r="I399" s="386"/>
      <c r="J399" s="384"/>
      <c r="K399" s="387">
        <f>SQRT(K398)</f>
        <v>2.8868854252463119E-2</v>
      </c>
      <c r="L399" s="388"/>
      <c r="N399" s="374" t="s">
        <v>211</v>
      </c>
      <c r="O399" s="384"/>
      <c r="P399" s="384"/>
      <c r="Q399" s="384"/>
      <c r="R399" s="384"/>
      <c r="S399" s="384"/>
      <c r="T399" s="385" t="s">
        <v>212</v>
      </c>
      <c r="U399" s="386"/>
      <c r="V399" s="384"/>
      <c r="W399" s="387">
        <f>SQRT(W398)</f>
        <v>2.8868854252463119E-2</v>
      </c>
      <c r="X399" s="388"/>
      <c r="Z399" s="374" t="s">
        <v>211</v>
      </c>
      <c r="AA399" s="384"/>
      <c r="AB399" s="384"/>
      <c r="AC399" s="384"/>
      <c r="AD399" s="384"/>
      <c r="AE399" s="384"/>
      <c r="AF399" s="385" t="s">
        <v>212</v>
      </c>
      <c r="AG399" s="386"/>
      <c r="AH399" s="384"/>
      <c r="AI399" s="387">
        <f>SQRT(AI398)</f>
        <v>2.8868854252463119E-2</v>
      </c>
      <c r="AJ399" s="388"/>
      <c r="AL399" s="374" t="s">
        <v>211</v>
      </c>
      <c r="AM399" s="384"/>
      <c r="AN399" s="384"/>
      <c r="AO399" s="384"/>
      <c r="AP399" s="384"/>
      <c r="AQ399" s="384"/>
      <c r="AR399" s="385" t="s">
        <v>212</v>
      </c>
      <c r="AS399" s="386"/>
      <c r="AT399" s="384"/>
      <c r="AU399" s="387">
        <f>SQRT(AU398)</f>
        <v>2.8868854252463119E-2</v>
      </c>
      <c r="AV399" s="388"/>
      <c r="AX399" s="374" t="s">
        <v>211</v>
      </c>
      <c r="AY399" s="384"/>
      <c r="AZ399" s="384"/>
      <c r="BA399" s="384"/>
      <c r="BB399" s="384"/>
      <c r="BC399" s="384"/>
      <c r="BD399" s="385" t="s">
        <v>212</v>
      </c>
      <c r="BE399" s="386"/>
      <c r="BF399" s="384"/>
      <c r="BG399" s="387">
        <f>SQRT(BG398)</f>
        <v>2.8868854252463119E-2</v>
      </c>
      <c r="BH399" s="388"/>
      <c r="BI399" s="402"/>
    </row>
    <row r="400" spans="1:61" ht="16.5" x14ac:dyDescent="0.4">
      <c r="A400" s="402"/>
      <c r="B400" s="374" t="s">
        <v>213</v>
      </c>
      <c r="C400" s="384"/>
      <c r="D400" s="384"/>
      <c r="E400" s="384"/>
      <c r="F400" s="384"/>
      <c r="G400" s="384"/>
      <c r="H400" s="389" t="s">
        <v>214</v>
      </c>
      <c r="I400" s="390"/>
      <c r="J400" s="384"/>
      <c r="K400" s="375">
        <f>K399^4/L398</f>
        <v>50.009289598913469</v>
      </c>
      <c r="L400" s="388"/>
      <c r="N400" s="374" t="s">
        <v>213</v>
      </c>
      <c r="O400" s="384"/>
      <c r="P400" s="384"/>
      <c r="Q400" s="384"/>
      <c r="R400" s="384"/>
      <c r="S400" s="384"/>
      <c r="T400" s="389" t="s">
        <v>214</v>
      </c>
      <c r="U400" s="390"/>
      <c r="V400" s="384"/>
      <c r="W400" s="375">
        <f>W399^4/X398</f>
        <v>50.009289598913469</v>
      </c>
      <c r="X400" s="388"/>
      <c r="Z400" s="374" t="s">
        <v>213</v>
      </c>
      <c r="AA400" s="384"/>
      <c r="AB400" s="384"/>
      <c r="AC400" s="384"/>
      <c r="AD400" s="384"/>
      <c r="AE400" s="384"/>
      <c r="AF400" s="389" t="s">
        <v>214</v>
      </c>
      <c r="AG400" s="390"/>
      <c r="AH400" s="384"/>
      <c r="AI400" s="375">
        <f>AI399^4/AJ398</f>
        <v>50.009289598913469</v>
      </c>
      <c r="AJ400" s="388"/>
      <c r="AL400" s="374" t="s">
        <v>213</v>
      </c>
      <c r="AM400" s="384"/>
      <c r="AN400" s="384"/>
      <c r="AO400" s="384"/>
      <c r="AP400" s="384"/>
      <c r="AQ400" s="384"/>
      <c r="AR400" s="389" t="s">
        <v>214</v>
      </c>
      <c r="AS400" s="390"/>
      <c r="AT400" s="384"/>
      <c r="AU400" s="375">
        <f>AU399^4/AV398</f>
        <v>50.009289598913469</v>
      </c>
      <c r="AV400" s="388"/>
      <c r="AX400" s="374" t="s">
        <v>213</v>
      </c>
      <c r="AY400" s="384"/>
      <c r="AZ400" s="384"/>
      <c r="BA400" s="384"/>
      <c r="BB400" s="384"/>
      <c r="BC400" s="384"/>
      <c r="BD400" s="389" t="s">
        <v>214</v>
      </c>
      <c r="BE400" s="390"/>
      <c r="BF400" s="384"/>
      <c r="BG400" s="375">
        <f>BG399^4/BH398</f>
        <v>50.009289598913469</v>
      </c>
      <c r="BH400" s="388"/>
      <c r="BI400" s="402"/>
    </row>
    <row r="401" spans="1:61" x14ac:dyDescent="0.35">
      <c r="A401" s="402"/>
      <c r="B401" s="374" t="s">
        <v>215</v>
      </c>
      <c r="C401" s="384"/>
      <c r="D401" s="384"/>
      <c r="E401" s="384"/>
      <c r="F401" s="384"/>
      <c r="G401" s="384"/>
      <c r="H401" s="391" t="s">
        <v>216</v>
      </c>
      <c r="I401" s="392"/>
      <c r="J401" s="384"/>
      <c r="K401" s="377">
        <f>1.95996+(2.37356/K400)+(2.818745/K400^2)+(2.546662/K400^3)+(1.761829/K400^4)+(0.245458/K400^5)+(1.000764/K400^6)</f>
        <v>2.0085701055033329</v>
      </c>
      <c r="L401" s="393">
        <f>TINV(0.05,K400)</f>
        <v>2.0085591121007611</v>
      </c>
      <c r="N401" s="374" t="s">
        <v>215</v>
      </c>
      <c r="O401" s="384"/>
      <c r="P401" s="384"/>
      <c r="Q401" s="384"/>
      <c r="R401" s="384"/>
      <c r="S401" s="384"/>
      <c r="T401" s="391" t="s">
        <v>216</v>
      </c>
      <c r="U401" s="392"/>
      <c r="V401" s="384"/>
      <c r="W401" s="377">
        <f>1.95996+(2.37356/W400)+(2.818745/W400^2)+(2.546662/W400^3)+(1.761829/W400^4)+(0.245458/W400^5)+(1.000764/W400^6)</f>
        <v>2.0085701055033329</v>
      </c>
      <c r="X401" s="393">
        <f>TINV(0.05,W400)</f>
        <v>2.0085591121007611</v>
      </c>
      <c r="Z401" s="374" t="s">
        <v>215</v>
      </c>
      <c r="AA401" s="384"/>
      <c r="AB401" s="384"/>
      <c r="AC401" s="384"/>
      <c r="AD401" s="384"/>
      <c r="AE401" s="384"/>
      <c r="AF401" s="391" t="s">
        <v>216</v>
      </c>
      <c r="AG401" s="392"/>
      <c r="AH401" s="384"/>
      <c r="AI401" s="377">
        <f>1.95996+(2.37356/AI400)+(2.818745/AI400^2)+(2.546662/AI400^3)+(1.761829/AI400^4)+(0.245458/AI400^5)+(1.000764/AI400^6)</f>
        <v>2.0085701055033329</v>
      </c>
      <c r="AJ401" s="393">
        <f>TINV(0.05,AI400)</f>
        <v>2.0085591121007611</v>
      </c>
      <c r="AL401" s="374" t="s">
        <v>215</v>
      </c>
      <c r="AM401" s="384"/>
      <c r="AN401" s="384"/>
      <c r="AO401" s="384"/>
      <c r="AP401" s="384"/>
      <c r="AQ401" s="384"/>
      <c r="AR401" s="391" t="s">
        <v>216</v>
      </c>
      <c r="AS401" s="392"/>
      <c r="AT401" s="384"/>
      <c r="AU401" s="377">
        <f>1.95996+(2.37356/AU400)+(2.818745/AU400^2)+(2.546662/AU400^3)+(1.761829/AU400^4)+(0.245458/AU400^5)+(1.000764/AU400^6)</f>
        <v>2.0085701055033329</v>
      </c>
      <c r="AV401" s="393">
        <f>TINV(0.05,AU400)</f>
        <v>2.0085591121007611</v>
      </c>
      <c r="AX401" s="374" t="s">
        <v>215</v>
      </c>
      <c r="AY401" s="384"/>
      <c r="AZ401" s="384"/>
      <c r="BA401" s="384"/>
      <c r="BB401" s="384"/>
      <c r="BC401" s="384"/>
      <c r="BD401" s="391" t="s">
        <v>216</v>
      </c>
      <c r="BE401" s="392"/>
      <c r="BF401" s="384"/>
      <c r="BG401" s="377">
        <f>1.95996+(2.37356/BG400)+(2.818745/BG400^2)+(2.546662/BG400^3)+(1.761829/BG400^4)+(0.245458/BG400^5)+(1.000764/BG400^6)</f>
        <v>2.0085701055033329</v>
      </c>
      <c r="BH401" s="393">
        <f>TINV(0.05,BG400)</f>
        <v>2.0085591121007611</v>
      </c>
      <c r="BI401" s="402"/>
    </row>
    <row r="402" spans="1:61" ht="15.5" x14ac:dyDescent="0.35">
      <c r="A402" s="402"/>
      <c r="B402" s="374" t="s">
        <v>217</v>
      </c>
      <c r="C402" s="384"/>
      <c r="D402" s="384"/>
      <c r="E402" s="384"/>
      <c r="F402" s="384"/>
      <c r="G402" s="384"/>
      <c r="H402" s="394" t="s">
        <v>218</v>
      </c>
      <c r="I402" s="395"/>
      <c r="J402" s="384"/>
      <c r="K402" s="398">
        <f>K401*K399</f>
        <v>5.7985117631630188E-2</v>
      </c>
      <c r="L402" s="19" t="str">
        <f>D392</f>
        <v>µA</v>
      </c>
      <c r="N402" s="374" t="s">
        <v>217</v>
      </c>
      <c r="O402" s="384"/>
      <c r="P402" s="384"/>
      <c r="Q402" s="384"/>
      <c r="R402" s="384"/>
      <c r="S402" s="384"/>
      <c r="T402" s="394" t="s">
        <v>218</v>
      </c>
      <c r="U402" s="395"/>
      <c r="V402" s="384"/>
      <c r="W402" s="398">
        <f>W401*W399</f>
        <v>5.7985117631630188E-2</v>
      </c>
      <c r="X402" s="19" t="str">
        <f>P392</f>
        <v>µA</v>
      </c>
      <c r="Z402" s="374" t="s">
        <v>217</v>
      </c>
      <c r="AA402" s="384"/>
      <c r="AB402" s="384"/>
      <c r="AC402" s="384"/>
      <c r="AD402" s="384"/>
      <c r="AE402" s="384"/>
      <c r="AF402" s="394" t="s">
        <v>218</v>
      </c>
      <c r="AG402" s="395"/>
      <c r="AH402" s="384"/>
      <c r="AI402" s="398">
        <f>AI401*AI399</f>
        <v>5.7985117631630188E-2</v>
      </c>
      <c r="AJ402" s="19" t="str">
        <f>AB392</f>
        <v>µA</v>
      </c>
      <c r="AL402" s="374" t="s">
        <v>217</v>
      </c>
      <c r="AM402" s="384"/>
      <c r="AN402" s="384"/>
      <c r="AO402" s="384"/>
      <c r="AP402" s="384"/>
      <c r="AQ402" s="384"/>
      <c r="AR402" s="394" t="s">
        <v>218</v>
      </c>
      <c r="AS402" s="395"/>
      <c r="AT402" s="384"/>
      <c r="AU402" s="398">
        <f>AU401*AU399</f>
        <v>5.7985117631630188E-2</v>
      </c>
      <c r="AV402" s="19" t="str">
        <f>AN392</f>
        <v>µA</v>
      </c>
      <c r="AX402" s="374" t="s">
        <v>217</v>
      </c>
      <c r="AY402" s="384"/>
      <c r="AZ402" s="384"/>
      <c r="BA402" s="384"/>
      <c r="BB402" s="384"/>
      <c r="BC402" s="384"/>
      <c r="BD402" s="394" t="s">
        <v>218</v>
      </c>
      <c r="BE402" s="395"/>
      <c r="BF402" s="384"/>
      <c r="BG402" s="398">
        <f>BG401*BG399</f>
        <v>5.7985117631630188E-2</v>
      </c>
      <c r="BH402" s="19" t="str">
        <f>AZ392</f>
        <v>µA</v>
      </c>
      <c r="BI402" s="402"/>
    </row>
    <row r="403" spans="1:61" x14ac:dyDescent="0.35">
      <c r="A403" s="402"/>
      <c r="B403" s="396"/>
      <c r="C403" s="396"/>
      <c r="D403" s="396"/>
      <c r="E403" s="396"/>
      <c r="F403" s="396"/>
      <c r="G403" s="396"/>
      <c r="H403" s="396"/>
      <c r="I403" s="396"/>
      <c r="J403" s="396"/>
      <c r="K403" s="388"/>
      <c r="L403" s="19" t="s">
        <v>219</v>
      </c>
      <c r="N403" s="396"/>
      <c r="O403" s="396"/>
      <c r="P403" s="396"/>
      <c r="Q403" s="396"/>
      <c r="R403" s="396"/>
      <c r="S403" s="396"/>
      <c r="T403" s="396"/>
      <c r="U403" s="396"/>
      <c r="V403" s="396"/>
      <c r="W403" s="388"/>
      <c r="X403" s="19" t="s">
        <v>219</v>
      </c>
      <c r="Z403" s="396"/>
      <c r="AA403" s="396"/>
      <c r="AB403" s="396"/>
      <c r="AC403" s="396"/>
      <c r="AD403" s="396"/>
      <c r="AE403" s="396"/>
      <c r="AF403" s="396"/>
      <c r="AG403" s="396"/>
      <c r="AH403" s="396"/>
      <c r="AI403" s="388"/>
      <c r="AJ403" s="19" t="s">
        <v>219</v>
      </c>
      <c r="AL403" s="396"/>
      <c r="AM403" s="396"/>
      <c r="AN403" s="396"/>
      <c r="AO403" s="396"/>
      <c r="AP403" s="396"/>
      <c r="AQ403" s="396"/>
      <c r="AR403" s="396"/>
      <c r="AS403" s="396"/>
      <c r="AT403" s="396"/>
      <c r="AU403" s="388"/>
      <c r="AV403" s="19" t="s">
        <v>219</v>
      </c>
      <c r="AX403" s="396"/>
      <c r="AY403" s="396"/>
      <c r="AZ403" s="396"/>
      <c r="BA403" s="396"/>
      <c r="BB403" s="396"/>
      <c r="BC403" s="396"/>
      <c r="BD403" s="396"/>
      <c r="BE403" s="396"/>
      <c r="BF403" s="396"/>
      <c r="BG403" s="388"/>
      <c r="BH403" s="19" t="s">
        <v>219</v>
      </c>
      <c r="BI403" s="402"/>
    </row>
    <row r="404" spans="1:61" x14ac:dyDescent="0.35">
      <c r="A404" s="402"/>
      <c r="B404" s="396" t="s">
        <v>193</v>
      </c>
      <c r="C404" s="77">
        <f>ID!D124</f>
        <v>1</v>
      </c>
      <c r="D404" s="397" t="s">
        <v>222</v>
      </c>
      <c r="N404" s="396" t="s">
        <v>193</v>
      </c>
      <c r="O404" s="77">
        <f>ID!D131</f>
        <v>1</v>
      </c>
      <c r="P404" s="397" t="s">
        <v>222</v>
      </c>
      <c r="Z404" s="396" t="s">
        <v>193</v>
      </c>
      <c r="AA404" s="77">
        <f>ID!D138</f>
        <v>1</v>
      </c>
      <c r="AB404" s="397" t="s">
        <v>222</v>
      </c>
      <c r="AL404" s="396" t="s">
        <v>193</v>
      </c>
      <c r="AM404" s="77">
        <f>ID!D145</f>
        <v>1</v>
      </c>
      <c r="AN404" s="397" t="s">
        <v>222</v>
      </c>
      <c r="AX404" s="396" t="s">
        <v>193</v>
      </c>
      <c r="AY404" s="77">
        <f>ID!D152</f>
        <v>1</v>
      </c>
      <c r="AZ404" s="397" t="s">
        <v>222</v>
      </c>
      <c r="BI404" s="402"/>
    </row>
    <row r="405" spans="1:61" x14ac:dyDescent="0.35">
      <c r="A405" s="402"/>
      <c r="B405" s="372" t="s">
        <v>194</v>
      </c>
      <c r="C405" s="373" t="s">
        <v>72</v>
      </c>
      <c r="D405" s="373" t="s">
        <v>195</v>
      </c>
      <c r="E405" s="372" t="s">
        <v>196</v>
      </c>
      <c r="F405" s="372" t="s">
        <v>197</v>
      </c>
      <c r="G405" s="372" t="s">
        <v>198</v>
      </c>
      <c r="H405" s="372" t="s">
        <v>199</v>
      </c>
      <c r="I405" s="372" t="s">
        <v>200</v>
      </c>
      <c r="J405" s="372" t="s">
        <v>201</v>
      </c>
      <c r="K405" s="372" t="s">
        <v>202</v>
      </c>
      <c r="L405" s="373" t="s">
        <v>203</v>
      </c>
      <c r="N405" s="372" t="s">
        <v>194</v>
      </c>
      <c r="O405" s="373" t="s">
        <v>72</v>
      </c>
      <c r="P405" s="373" t="s">
        <v>195</v>
      </c>
      <c r="Q405" s="372" t="s">
        <v>196</v>
      </c>
      <c r="R405" s="372" t="s">
        <v>197</v>
      </c>
      <c r="S405" s="372" t="s">
        <v>198</v>
      </c>
      <c r="T405" s="372" t="s">
        <v>199</v>
      </c>
      <c r="U405" s="372" t="s">
        <v>200</v>
      </c>
      <c r="V405" s="372" t="s">
        <v>201</v>
      </c>
      <c r="W405" s="372" t="s">
        <v>202</v>
      </c>
      <c r="X405" s="373" t="s">
        <v>203</v>
      </c>
      <c r="Z405" s="372" t="s">
        <v>194</v>
      </c>
      <c r="AA405" s="373" t="s">
        <v>72</v>
      </c>
      <c r="AB405" s="373" t="s">
        <v>195</v>
      </c>
      <c r="AC405" s="372" t="s">
        <v>196</v>
      </c>
      <c r="AD405" s="372" t="s">
        <v>197</v>
      </c>
      <c r="AE405" s="372" t="s">
        <v>198</v>
      </c>
      <c r="AF405" s="372" t="s">
        <v>199</v>
      </c>
      <c r="AG405" s="372" t="s">
        <v>200</v>
      </c>
      <c r="AH405" s="372" t="s">
        <v>201</v>
      </c>
      <c r="AI405" s="372" t="s">
        <v>202</v>
      </c>
      <c r="AJ405" s="373" t="s">
        <v>203</v>
      </c>
      <c r="AL405" s="372" t="s">
        <v>194</v>
      </c>
      <c r="AM405" s="373" t="s">
        <v>72</v>
      </c>
      <c r="AN405" s="373" t="s">
        <v>195</v>
      </c>
      <c r="AO405" s="372" t="s">
        <v>196</v>
      </c>
      <c r="AP405" s="372" t="s">
        <v>197</v>
      </c>
      <c r="AQ405" s="372" t="s">
        <v>198</v>
      </c>
      <c r="AR405" s="372" t="s">
        <v>199</v>
      </c>
      <c r="AS405" s="372" t="s">
        <v>200</v>
      </c>
      <c r="AT405" s="372" t="s">
        <v>201</v>
      </c>
      <c r="AU405" s="372" t="s">
        <v>202</v>
      </c>
      <c r="AV405" s="373" t="s">
        <v>203</v>
      </c>
      <c r="AX405" s="372" t="s">
        <v>194</v>
      </c>
      <c r="AY405" s="373" t="s">
        <v>72</v>
      </c>
      <c r="AZ405" s="373" t="s">
        <v>195</v>
      </c>
      <c r="BA405" s="372" t="s">
        <v>196</v>
      </c>
      <c r="BB405" s="372" t="s">
        <v>197</v>
      </c>
      <c r="BC405" s="372" t="s">
        <v>198</v>
      </c>
      <c r="BD405" s="372" t="s">
        <v>199</v>
      </c>
      <c r="BE405" s="372" t="s">
        <v>200</v>
      </c>
      <c r="BF405" s="372" t="s">
        <v>201</v>
      </c>
      <c r="BG405" s="372" t="s">
        <v>202</v>
      </c>
      <c r="BH405" s="373" t="s">
        <v>203</v>
      </c>
      <c r="BI405" s="402"/>
    </row>
    <row r="406" spans="1:61" x14ac:dyDescent="0.35">
      <c r="A406" s="402"/>
      <c r="B406" s="374" t="s">
        <v>223</v>
      </c>
      <c r="C406" s="19" t="str">
        <f>D404</f>
        <v>µA</v>
      </c>
      <c r="D406" s="375" t="s">
        <v>205</v>
      </c>
      <c r="E406" s="376">
        <f>'Sert Time Electronics'!X182</f>
        <v>0.22360679774997808</v>
      </c>
      <c r="F406" s="377">
        <f>SQRT(5)</f>
        <v>2.2360679774997898</v>
      </c>
      <c r="G406" s="375">
        <f>5-1</f>
        <v>4</v>
      </c>
      <c r="H406" s="377">
        <f>E406/F406</f>
        <v>9.9999999999999589E-2</v>
      </c>
      <c r="I406" s="375">
        <v>1</v>
      </c>
      <c r="J406" s="377">
        <f>H406*I406</f>
        <v>9.9999999999999589E-2</v>
      </c>
      <c r="K406" s="378">
        <f>J406^2</f>
        <v>9.9999999999999187E-3</v>
      </c>
      <c r="L406" s="379">
        <f>K406^2/G406</f>
        <v>2.4999999999999595E-5</v>
      </c>
      <c r="N406" s="374" t="s">
        <v>223</v>
      </c>
      <c r="O406" s="19" t="str">
        <f>P404</f>
        <v>µA</v>
      </c>
      <c r="P406" s="375" t="s">
        <v>205</v>
      </c>
      <c r="Q406" s="376">
        <f>'Sert Time Electronics'!X190</f>
        <v>0.66708320320631687</v>
      </c>
      <c r="R406" s="377">
        <f>SQRT(5)</f>
        <v>2.2360679774997898</v>
      </c>
      <c r="S406" s="375">
        <f>5-1</f>
        <v>4</v>
      </c>
      <c r="T406" s="377">
        <f>Q406/R406</f>
        <v>0.29832867780352601</v>
      </c>
      <c r="U406" s="375">
        <v>1</v>
      </c>
      <c r="V406" s="377">
        <f>T406*U406</f>
        <v>0.29832867780352601</v>
      </c>
      <c r="W406" s="378">
        <f>V406^2</f>
        <v>8.9000000000000037E-2</v>
      </c>
      <c r="X406" s="379">
        <f>W406^2/S406</f>
        <v>1.9802500000000015E-3</v>
      </c>
      <c r="Z406" s="374" t="s">
        <v>223</v>
      </c>
      <c r="AA406" s="19" t="str">
        <f>AB404</f>
        <v>µA</v>
      </c>
      <c r="AB406" s="375" t="s">
        <v>205</v>
      </c>
      <c r="AC406" s="376">
        <f>'Sert Time Electronics'!X198</f>
        <v>0.20736441353327703</v>
      </c>
      <c r="AD406" s="377">
        <f>SQRT(5)</f>
        <v>2.2360679774997898</v>
      </c>
      <c r="AE406" s="375">
        <f>5-1</f>
        <v>4</v>
      </c>
      <c r="AF406" s="377">
        <f>AC406/AD406</f>
        <v>9.273618495495696E-2</v>
      </c>
      <c r="AG406" s="375">
        <v>1</v>
      </c>
      <c r="AH406" s="377">
        <f>AF406*AG406</f>
        <v>9.273618495495696E-2</v>
      </c>
      <c r="AI406" s="378">
        <f>AH406^2</f>
        <v>8.5999999999999861E-3</v>
      </c>
      <c r="AJ406" s="379">
        <f>AI406^2/AE406</f>
        <v>1.848999999999994E-5</v>
      </c>
      <c r="AL406" s="374" t="s">
        <v>223</v>
      </c>
      <c r="AM406" s="19" t="str">
        <f>AN404</f>
        <v>µA</v>
      </c>
      <c r="AN406" s="375" t="s">
        <v>205</v>
      </c>
      <c r="AO406" s="376">
        <f>'Sert Time Electronics'!X206</f>
        <v>0.23874672772626584</v>
      </c>
      <c r="AP406" s="377">
        <f>SQRT(5)</f>
        <v>2.2360679774997898</v>
      </c>
      <c r="AQ406" s="375">
        <f>5-1</f>
        <v>4</v>
      </c>
      <c r="AR406" s="377">
        <f>AO406/AP406</f>
        <v>0.10677078252031284</v>
      </c>
      <c r="AS406" s="375">
        <v>1</v>
      </c>
      <c r="AT406" s="377">
        <f>AR406*AS406</f>
        <v>0.10677078252031284</v>
      </c>
      <c r="AU406" s="378">
        <f>AT406^2</f>
        <v>1.1399999999999943E-2</v>
      </c>
      <c r="AV406" s="379">
        <f>AU406^2/AQ406</f>
        <v>3.2489999999999677E-5</v>
      </c>
      <c r="AX406" s="374" t="s">
        <v>223</v>
      </c>
      <c r="AY406" s="19" t="str">
        <f>AZ404</f>
        <v>µA</v>
      </c>
      <c r="AZ406" s="375" t="s">
        <v>205</v>
      </c>
      <c r="BA406" s="376">
        <f>'Sert Time Electronics'!X214</f>
        <v>0.19235384061671323</v>
      </c>
      <c r="BB406" s="377">
        <f>SQRT(5)</f>
        <v>2.2360679774997898</v>
      </c>
      <c r="BC406" s="375">
        <f>5-1</f>
        <v>4</v>
      </c>
      <c r="BD406" s="377">
        <f>BA406/BB406</f>
        <v>8.6023252670426167E-2</v>
      </c>
      <c r="BE406" s="375">
        <v>1</v>
      </c>
      <c r="BF406" s="377">
        <f>BD406*BE406</f>
        <v>8.6023252670426167E-2</v>
      </c>
      <c r="BG406" s="378">
        <f>BF406^2</f>
        <v>7.399999999999983E-3</v>
      </c>
      <c r="BH406" s="379">
        <f>BG406^2/BC406</f>
        <v>1.3689999999999937E-5</v>
      </c>
      <c r="BI406" s="402"/>
    </row>
    <row r="407" spans="1:61" x14ac:dyDescent="0.35">
      <c r="A407" s="402"/>
      <c r="B407" s="380" t="s">
        <v>206</v>
      </c>
      <c r="C407" s="19" t="str">
        <f>C406</f>
        <v>µA</v>
      </c>
      <c r="D407" s="375" t="s">
        <v>205</v>
      </c>
      <c r="E407" s="381">
        <f>'Sert Time Electronics'!AA182</f>
        <v>1.9709676830487769E-3</v>
      </c>
      <c r="F407" s="377">
        <v>2</v>
      </c>
      <c r="G407" s="375">
        <f>0.5*(100/10)^2</f>
        <v>50</v>
      </c>
      <c r="H407" s="377">
        <f>E407/F407</f>
        <v>9.8548384152438847E-4</v>
      </c>
      <c r="I407" s="375">
        <v>1</v>
      </c>
      <c r="J407" s="377">
        <f>H407*I407</f>
        <v>9.8548384152438847E-4</v>
      </c>
      <c r="K407" s="378">
        <f>J407^2</f>
        <v>9.7117840190566606E-7</v>
      </c>
      <c r="L407" s="379">
        <f>K407^2/G407</f>
        <v>1.8863749766560869E-14</v>
      </c>
      <c r="N407" s="380" t="s">
        <v>206</v>
      </c>
      <c r="O407" s="19" t="str">
        <f>O406</f>
        <v>µA</v>
      </c>
      <c r="P407" s="375" t="s">
        <v>205</v>
      </c>
      <c r="Q407" s="381">
        <f>'Sert Time Electronics'!AA190</f>
        <v>3.1322843222829975E-3</v>
      </c>
      <c r="R407" s="377">
        <v>2</v>
      </c>
      <c r="S407" s="375">
        <f>0.5*(100/10)^2</f>
        <v>50</v>
      </c>
      <c r="T407" s="377">
        <f>Q407/R407</f>
        <v>1.5661421611414988E-3</v>
      </c>
      <c r="U407" s="375">
        <v>1</v>
      </c>
      <c r="V407" s="377">
        <f>T407*U407</f>
        <v>1.5661421611414988E-3</v>
      </c>
      <c r="W407" s="378">
        <f>V407^2</f>
        <v>2.4528012689049645E-6</v>
      </c>
      <c r="X407" s="379">
        <f>W407^2/S407</f>
        <v>1.2032468129483609E-13</v>
      </c>
      <c r="Z407" s="380" t="s">
        <v>206</v>
      </c>
      <c r="AA407" s="19" t="str">
        <f>AA406</f>
        <v>µA</v>
      </c>
      <c r="AB407" s="375" t="s">
        <v>205</v>
      </c>
      <c r="AC407" s="381">
        <f>'Sert Time Electronics'!AA198</f>
        <v>2.0580664309913436E-3</v>
      </c>
      <c r="AD407" s="377">
        <v>2</v>
      </c>
      <c r="AE407" s="375">
        <f>0.5*(100/10)^2</f>
        <v>50</v>
      </c>
      <c r="AF407" s="377">
        <f>AC407/AD407</f>
        <v>1.0290332154956718E-3</v>
      </c>
      <c r="AG407" s="375">
        <v>1</v>
      </c>
      <c r="AH407" s="377">
        <f>AF407*AG407</f>
        <v>1.0290332154956718E-3</v>
      </c>
      <c r="AI407" s="378">
        <f>AH407^2</f>
        <v>1.0589093585933618E-6</v>
      </c>
      <c r="AJ407" s="379">
        <f>AI407^2/AE407</f>
        <v>2.2425780594332099E-14</v>
      </c>
      <c r="AL407" s="380" t="s">
        <v>206</v>
      </c>
      <c r="AM407" s="19" t="str">
        <f>AM406</f>
        <v>µA</v>
      </c>
      <c r="AN407" s="375" t="s">
        <v>205</v>
      </c>
      <c r="AO407" s="381">
        <f>'Sert Time Electronics'!AA206</f>
        <v>1.9419347670679215E-3</v>
      </c>
      <c r="AP407" s="377">
        <v>2</v>
      </c>
      <c r="AQ407" s="375">
        <f>0.5*(100/10)^2</f>
        <v>50</v>
      </c>
      <c r="AR407" s="377">
        <f>AO407/AP407</f>
        <v>9.7096738353396076E-4</v>
      </c>
      <c r="AS407" s="375">
        <v>1</v>
      </c>
      <c r="AT407" s="377">
        <f>AR407*AS407</f>
        <v>9.7096738353396076E-4</v>
      </c>
      <c r="AU407" s="378">
        <f>AT407^2</f>
        <v>9.4277765988678564E-7</v>
      </c>
      <c r="AV407" s="379">
        <f>AU407^2/AQ407</f>
        <v>1.7776594319632074E-14</v>
      </c>
      <c r="AX407" s="380" t="s">
        <v>206</v>
      </c>
      <c r="AY407" s="19" t="str">
        <f>AY406</f>
        <v>µA</v>
      </c>
      <c r="AZ407" s="375" t="s">
        <v>205</v>
      </c>
      <c r="BA407" s="381">
        <f>'Sert Time Electronics'!AA214</f>
        <v>2.087099346972199E-3</v>
      </c>
      <c r="BB407" s="377">
        <v>2</v>
      </c>
      <c r="BC407" s="375">
        <f>0.5*(100/10)^2</f>
        <v>50</v>
      </c>
      <c r="BD407" s="377">
        <f>BA407/BB407</f>
        <v>1.0435496734860995E-3</v>
      </c>
      <c r="BE407" s="375">
        <v>1</v>
      </c>
      <c r="BF407" s="377">
        <f>BD407*BE407</f>
        <v>1.0435496734860995E-3</v>
      </c>
      <c r="BG407" s="378">
        <f>BF407^2</f>
        <v>1.0889959210329449E-6</v>
      </c>
      <c r="BH407" s="379">
        <f>BG407^2/BC407</f>
        <v>2.3718242320527842E-14</v>
      </c>
      <c r="BI407" s="402"/>
    </row>
    <row r="408" spans="1:61" x14ac:dyDescent="0.35">
      <c r="A408" s="402"/>
      <c r="B408" s="380" t="s">
        <v>207</v>
      </c>
      <c r="C408" s="19" t="str">
        <f>C407</f>
        <v>µA</v>
      </c>
      <c r="D408" s="375" t="s">
        <v>208</v>
      </c>
      <c r="E408" s="382">
        <f>'Sert Time Electronics'!Y182</f>
        <v>0.05</v>
      </c>
      <c r="F408" s="377">
        <f>SQRT(3)</f>
        <v>1.7320508075688772</v>
      </c>
      <c r="G408" s="375">
        <v>50</v>
      </c>
      <c r="H408" s="377">
        <f>E408/F408</f>
        <v>2.8867513459481291E-2</v>
      </c>
      <c r="I408" s="375">
        <v>1</v>
      </c>
      <c r="J408" s="377">
        <f>H408*I408</f>
        <v>2.8867513459481291E-2</v>
      </c>
      <c r="K408" s="378">
        <f>J408^2</f>
        <v>8.333333333333335E-4</v>
      </c>
      <c r="L408" s="379">
        <f>K408^2/G408</f>
        <v>1.3888888888888894E-8</v>
      </c>
      <c r="N408" s="380" t="s">
        <v>207</v>
      </c>
      <c r="O408" s="19" t="str">
        <f>O407</f>
        <v>µA</v>
      </c>
      <c r="P408" s="375" t="s">
        <v>208</v>
      </c>
      <c r="Q408" s="382">
        <f>'Sert Time Electronics'!Y190</f>
        <v>0.05</v>
      </c>
      <c r="R408" s="377">
        <f>SQRT(3)</f>
        <v>1.7320508075688772</v>
      </c>
      <c r="S408" s="375">
        <v>50</v>
      </c>
      <c r="T408" s="377">
        <f>Q408/R408</f>
        <v>2.8867513459481291E-2</v>
      </c>
      <c r="U408" s="375">
        <v>1</v>
      </c>
      <c r="V408" s="377">
        <f>T408*U408</f>
        <v>2.8867513459481291E-2</v>
      </c>
      <c r="W408" s="378">
        <f>V408^2</f>
        <v>8.333333333333335E-4</v>
      </c>
      <c r="X408" s="379">
        <f>W408^2/S408</f>
        <v>1.3888888888888894E-8</v>
      </c>
      <c r="Z408" s="380" t="s">
        <v>207</v>
      </c>
      <c r="AA408" s="19" t="str">
        <f>AA407</f>
        <v>µA</v>
      </c>
      <c r="AB408" s="375" t="s">
        <v>208</v>
      </c>
      <c r="AC408" s="382">
        <f>'Sert Time Electronics'!Y198</f>
        <v>0.05</v>
      </c>
      <c r="AD408" s="377">
        <f>SQRT(3)</f>
        <v>1.7320508075688772</v>
      </c>
      <c r="AE408" s="375">
        <v>50</v>
      </c>
      <c r="AF408" s="377">
        <f>AC408/AD408</f>
        <v>2.8867513459481291E-2</v>
      </c>
      <c r="AG408" s="375">
        <v>1</v>
      </c>
      <c r="AH408" s="377">
        <f>AF408*AG408</f>
        <v>2.8867513459481291E-2</v>
      </c>
      <c r="AI408" s="378">
        <f>AH408^2</f>
        <v>8.333333333333335E-4</v>
      </c>
      <c r="AJ408" s="379">
        <f>AI408^2/AE408</f>
        <v>1.3888888888888894E-8</v>
      </c>
      <c r="AL408" s="380" t="s">
        <v>207</v>
      </c>
      <c r="AM408" s="19" t="str">
        <f>AM407</f>
        <v>µA</v>
      </c>
      <c r="AN408" s="375" t="s">
        <v>208</v>
      </c>
      <c r="AO408" s="382">
        <f>'Sert Time Electronics'!Y206</f>
        <v>0.05</v>
      </c>
      <c r="AP408" s="377">
        <f>SQRT(3)</f>
        <v>1.7320508075688772</v>
      </c>
      <c r="AQ408" s="375">
        <v>50</v>
      </c>
      <c r="AR408" s="377">
        <f>AO408/AP408</f>
        <v>2.8867513459481291E-2</v>
      </c>
      <c r="AS408" s="375">
        <v>1</v>
      </c>
      <c r="AT408" s="377">
        <f>AR408*AS408</f>
        <v>2.8867513459481291E-2</v>
      </c>
      <c r="AU408" s="378">
        <f>AT408^2</f>
        <v>8.333333333333335E-4</v>
      </c>
      <c r="AV408" s="379">
        <f>AU408^2/AQ408</f>
        <v>1.3888888888888894E-8</v>
      </c>
      <c r="AX408" s="380" t="s">
        <v>207</v>
      </c>
      <c r="AY408" s="19" t="str">
        <f>AY407</f>
        <v>µA</v>
      </c>
      <c r="AZ408" s="375" t="s">
        <v>208</v>
      </c>
      <c r="BA408" s="382">
        <f>'Sert Time Electronics'!Y214</f>
        <v>0.05</v>
      </c>
      <c r="BB408" s="377">
        <f>SQRT(3)</f>
        <v>1.7320508075688772</v>
      </c>
      <c r="BC408" s="375">
        <v>50</v>
      </c>
      <c r="BD408" s="377">
        <f>BA408/BB408</f>
        <v>2.8867513459481291E-2</v>
      </c>
      <c r="BE408" s="375">
        <v>1</v>
      </c>
      <c r="BF408" s="377">
        <f>BD408*BE408</f>
        <v>2.8867513459481291E-2</v>
      </c>
      <c r="BG408" s="378">
        <f>BF408^2</f>
        <v>8.333333333333335E-4</v>
      </c>
      <c r="BH408" s="379">
        <f>BG408^2/BC408</f>
        <v>1.3888888888888894E-8</v>
      </c>
      <c r="BI408" s="402"/>
    </row>
    <row r="409" spans="1:61" x14ac:dyDescent="0.35">
      <c r="A409" s="402"/>
      <c r="B409" s="383" t="s">
        <v>209</v>
      </c>
      <c r="C409" s="19" t="str">
        <f>C408</f>
        <v>µA</v>
      </c>
      <c r="D409" s="375" t="s">
        <v>208</v>
      </c>
      <c r="E409" s="381">
        <f>'Sert Time Electronics'!Z182</f>
        <v>6.5698922768293476E-4</v>
      </c>
      <c r="F409" s="377">
        <f>SQRT(3)</f>
        <v>1.7320508075688772</v>
      </c>
      <c r="G409" s="375">
        <v>50</v>
      </c>
      <c r="H409" s="377">
        <f>E409/F409</f>
        <v>3.7931290745742672E-4</v>
      </c>
      <c r="I409" s="375">
        <v>1</v>
      </c>
      <c r="J409" s="377">
        <f>H409*I409</f>
        <v>3.7931290745742672E-4</v>
      </c>
      <c r="K409" s="378">
        <f>J409^2</f>
        <v>1.4387828176380637E-7</v>
      </c>
      <c r="L409" s="379">
        <f>K409^2/G409</f>
        <v>4.1401919926610516E-16</v>
      </c>
      <c r="N409" s="383" t="s">
        <v>209</v>
      </c>
      <c r="O409" s="19" t="str">
        <f>O408</f>
        <v>µA</v>
      </c>
      <c r="P409" s="375" t="s">
        <v>208</v>
      </c>
      <c r="Q409" s="381">
        <f>'Sert Time Electronics'!Z190</f>
        <v>1.0440947740943415E-3</v>
      </c>
      <c r="R409" s="377">
        <f>SQRT(3)</f>
        <v>1.7320508075688772</v>
      </c>
      <c r="S409" s="375">
        <v>50</v>
      </c>
      <c r="T409" s="377">
        <f>Q409/R409</f>
        <v>6.0280839888284964E-4</v>
      </c>
      <c r="U409" s="375">
        <v>1</v>
      </c>
      <c r="V409" s="377">
        <f>T409*U409</f>
        <v>6.0280839888284964E-4</v>
      </c>
      <c r="W409" s="378">
        <f>V409^2</f>
        <v>3.6337796576370475E-7</v>
      </c>
      <c r="X409" s="379">
        <f>W409^2/S409</f>
        <v>2.6408709200513632E-15</v>
      </c>
      <c r="Z409" s="383" t="s">
        <v>209</v>
      </c>
      <c r="AA409" s="19" t="str">
        <f>AA408</f>
        <v>µA</v>
      </c>
      <c r="AB409" s="375" t="s">
        <v>208</v>
      </c>
      <c r="AC409" s="381">
        <f>'Sert Time Electronics'!Z198</f>
        <v>6.8602214366379028E-4</v>
      </c>
      <c r="AD409" s="377">
        <f>SQRT(3)</f>
        <v>1.7320508075688772</v>
      </c>
      <c r="AE409" s="375">
        <v>50</v>
      </c>
      <c r="AF409" s="377">
        <f>AC409/AD409</f>
        <v>3.9607506931433348E-4</v>
      </c>
      <c r="AG409" s="375">
        <v>1</v>
      </c>
      <c r="AH409" s="377">
        <f>AF409*AG409</f>
        <v>3.9607506931433348E-4</v>
      </c>
      <c r="AI409" s="378">
        <f>AH409^2</f>
        <v>1.5687546053235407E-7</v>
      </c>
      <c r="AJ409" s="379">
        <f>AI409^2/AE409</f>
        <v>4.9219820234476363E-16</v>
      </c>
      <c r="AL409" s="383" t="s">
        <v>209</v>
      </c>
      <c r="AM409" s="19" t="str">
        <f>AM408</f>
        <v>µA</v>
      </c>
      <c r="AN409" s="375" t="s">
        <v>208</v>
      </c>
      <c r="AO409" s="381">
        <f>'Sert Time Electronics'!Z206</f>
        <v>6.4731158902264969E-4</v>
      </c>
      <c r="AP409" s="377">
        <f>SQRT(3)</f>
        <v>1.7320508075688772</v>
      </c>
      <c r="AQ409" s="375">
        <v>50</v>
      </c>
      <c r="AR409" s="377">
        <f>AO409/AP409</f>
        <v>3.7372552017179121E-4</v>
      </c>
      <c r="AS409" s="375">
        <v>1</v>
      </c>
      <c r="AT409" s="377">
        <f>AR409*AS409</f>
        <v>3.7372552017179121E-4</v>
      </c>
      <c r="AU409" s="378">
        <f>AT409^2</f>
        <v>1.3967076442767591E-7</v>
      </c>
      <c r="AV409" s="379">
        <f>AU409^2/AQ409</f>
        <v>3.9015844871622674E-16</v>
      </c>
      <c r="AX409" s="383" t="s">
        <v>209</v>
      </c>
      <c r="AY409" s="19" t="str">
        <f>AY408</f>
        <v>µA</v>
      </c>
      <c r="AZ409" s="375" t="s">
        <v>208</v>
      </c>
      <c r="BA409" s="381">
        <f>'Sert Time Electronics'!Z214</f>
        <v>6.9569978232407546E-4</v>
      </c>
      <c r="BB409" s="377">
        <f>SQRT(3)</f>
        <v>1.7320508075688772</v>
      </c>
      <c r="BC409" s="375">
        <v>50</v>
      </c>
      <c r="BD409" s="377">
        <f>BA409/BB409</f>
        <v>4.0166245659996905E-4</v>
      </c>
      <c r="BE409" s="375">
        <v>1</v>
      </c>
      <c r="BF409" s="377">
        <f>BD409*BE409</f>
        <v>4.0166245659996905E-4</v>
      </c>
      <c r="BG409" s="378">
        <f>BF409^2</f>
        <v>1.6133272904192202E-7</v>
      </c>
      <c r="BH409" s="379">
        <f>BG409^2/BC409</f>
        <v>5.2056498920228454E-16</v>
      </c>
      <c r="BI409" s="402"/>
    </row>
    <row r="410" spans="1:61" x14ac:dyDescent="0.35">
      <c r="A410" s="402"/>
      <c r="B410" s="374" t="s">
        <v>210</v>
      </c>
      <c r="C410" s="384"/>
      <c r="D410" s="384"/>
      <c r="E410" s="384"/>
      <c r="F410" s="384"/>
      <c r="G410" s="384"/>
      <c r="H410" s="384"/>
      <c r="I410" s="384"/>
      <c r="J410" s="384"/>
      <c r="K410" s="378">
        <f>SUM(K406:K409)</f>
        <v>1.0834448390016922E-2</v>
      </c>
      <c r="L410" s="379">
        <f>SUM(L406:L409)</f>
        <v>2.5013888908166251E-5</v>
      </c>
      <c r="N410" s="374" t="s">
        <v>210</v>
      </c>
      <c r="O410" s="384"/>
      <c r="P410" s="384"/>
      <c r="Q410" s="384"/>
      <c r="R410" s="384"/>
      <c r="S410" s="384"/>
      <c r="T410" s="384"/>
      <c r="U410" s="384"/>
      <c r="V410" s="384"/>
      <c r="W410" s="378">
        <f>SUM(W406:W409)</f>
        <v>8.9836149512568034E-2</v>
      </c>
      <c r="X410" s="379">
        <f>SUM(X406:X409)</f>
        <v>1.9802638890118558E-3</v>
      </c>
      <c r="Z410" s="374" t="s">
        <v>210</v>
      </c>
      <c r="AA410" s="384"/>
      <c r="AB410" s="384"/>
      <c r="AC410" s="384"/>
      <c r="AD410" s="384"/>
      <c r="AE410" s="384"/>
      <c r="AF410" s="384"/>
      <c r="AG410" s="384"/>
      <c r="AH410" s="384"/>
      <c r="AI410" s="378">
        <f>SUM(AI406:AI409)</f>
        <v>9.4345491181524448E-3</v>
      </c>
      <c r="AJ410" s="379">
        <f>SUM(AJ406:AJ409)</f>
        <v>1.8503888911806805E-5</v>
      </c>
      <c r="AL410" s="374" t="s">
        <v>210</v>
      </c>
      <c r="AM410" s="384"/>
      <c r="AN410" s="384"/>
      <c r="AO410" s="384"/>
      <c r="AP410" s="384"/>
      <c r="AQ410" s="384"/>
      <c r="AR410" s="384"/>
      <c r="AS410" s="384"/>
      <c r="AT410" s="384"/>
      <c r="AU410" s="378">
        <f>SUM(AU406:AU409)</f>
        <v>1.2234415781757591E-2</v>
      </c>
      <c r="AV410" s="379">
        <f>SUM(AV406:AV409)</f>
        <v>3.2503888907055314E-5</v>
      </c>
      <c r="AX410" s="374" t="s">
        <v>210</v>
      </c>
      <c r="AY410" s="384"/>
      <c r="AZ410" s="384"/>
      <c r="BA410" s="384"/>
      <c r="BB410" s="384"/>
      <c r="BC410" s="384"/>
      <c r="BD410" s="384"/>
      <c r="BE410" s="384"/>
      <c r="BF410" s="384"/>
      <c r="BG410" s="378">
        <f>SUM(BG406:BG409)</f>
        <v>8.2345836619833919E-3</v>
      </c>
      <c r="BH410" s="379">
        <f>SUM(BH406:BH409)</f>
        <v>1.3703888913127633E-5</v>
      </c>
      <c r="BI410" s="402"/>
    </row>
    <row r="411" spans="1:61" ht="15" x14ac:dyDescent="0.4">
      <c r="A411" s="402"/>
      <c r="B411" s="374" t="s">
        <v>211</v>
      </c>
      <c r="C411" s="384"/>
      <c r="D411" s="384"/>
      <c r="E411" s="384"/>
      <c r="F411" s="384"/>
      <c r="G411" s="384"/>
      <c r="H411" s="385" t="s">
        <v>212</v>
      </c>
      <c r="I411" s="386"/>
      <c r="J411" s="384"/>
      <c r="K411" s="387">
        <f>SQRT(K410)</f>
        <v>0.10408865639452226</v>
      </c>
      <c r="L411" s="388"/>
      <c r="N411" s="374" t="s">
        <v>211</v>
      </c>
      <c r="O411" s="384"/>
      <c r="P411" s="384"/>
      <c r="Q411" s="384"/>
      <c r="R411" s="384"/>
      <c r="S411" s="384"/>
      <c r="T411" s="385" t="s">
        <v>212</v>
      </c>
      <c r="U411" s="386"/>
      <c r="V411" s="384"/>
      <c r="W411" s="387">
        <f>SQRT(W410)</f>
        <v>0.29972679144942654</v>
      </c>
      <c r="X411" s="388"/>
      <c r="Z411" s="374" t="s">
        <v>211</v>
      </c>
      <c r="AA411" s="384"/>
      <c r="AB411" s="384"/>
      <c r="AC411" s="384"/>
      <c r="AD411" s="384"/>
      <c r="AE411" s="384"/>
      <c r="AF411" s="385" t="s">
        <v>212</v>
      </c>
      <c r="AG411" s="386"/>
      <c r="AH411" s="384"/>
      <c r="AI411" s="387">
        <f>SQRT(AI410)</f>
        <v>9.7131607204619261E-2</v>
      </c>
      <c r="AJ411" s="388"/>
      <c r="AL411" s="374" t="s">
        <v>211</v>
      </c>
      <c r="AM411" s="384"/>
      <c r="AN411" s="384"/>
      <c r="AO411" s="384"/>
      <c r="AP411" s="384"/>
      <c r="AQ411" s="384"/>
      <c r="AR411" s="385" t="s">
        <v>212</v>
      </c>
      <c r="AS411" s="386"/>
      <c r="AT411" s="384"/>
      <c r="AU411" s="387">
        <f>SQRT(AU410)</f>
        <v>0.11060929337880064</v>
      </c>
      <c r="AV411" s="388"/>
      <c r="AX411" s="374" t="s">
        <v>211</v>
      </c>
      <c r="AY411" s="384"/>
      <c r="AZ411" s="384"/>
      <c r="BA411" s="384"/>
      <c r="BB411" s="384"/>
      <c r="BC411" s="384"/>
      <c r="BD411" s="385" t="s">
        <v>212</v>
      </c>
      <c r="BE411" s="386"/>
      <c r="BF411" s="384"/>
      <c r="BG411" s="387">
        <f>SQRT(BG410)</f>
        <v>9.074460679281933E-2</v>
      </c>
      <c r="BH411" s="388"/>
      <c r="BI411" s="402"/>
    </row>
    <row r="412" spans="1:61" ht="16.5" x14ac:dyDescent="0.4">
      <c r="A412" s="402"/>
      <c r="B412" s="374" t="s">
        <v>213</v>
      </c>
      <c r="C412" s="384"/>
      <c r="D412" s="384"/>
      <c r="E412" s="384"/>
      <c r="F412" s="384"/>
      <c r="G412" s="384"/>
      <c r="H412" s="389" t="s">
        <v>214</v>
      </c>
      <c r="I412" s="390"/>
      <c r="J412" s="384"/>
      <c r="K412" s="375">
        <f>K411^4/L410</f>
        <v>4.6928037598191139</v>
      </c>
      <c r="L412" s="388"/>
      <c r="N412" s="374" t="s">
        <v>213</v>
      </c>
      <c r="O412" s="384"/>
      <c r="P412" s="384"/>
      <c r="Q412" s="384"/>
      <c r="R412" s="384"/>
      <c r="S412" s="384"/>
      <c r="T412" s="389" t="s">
        <v>214</v>
      </c>
      <c r="U412" s="390"/>
      <c r="V412" s="384"/>
      <c r="W412" s="375">
        <f>W411^4/X410</f>
        <v>4.075483981719044</v>
      </c>
      <c r="X412" s="388"/>
      <c r="Z412" s="374" t="s">
        <v>213</v>
      </c>
      <c r="AA412" s="384"/>
      <c r="AB412" s="384"/>
      <c r="AC412" s="384"/>
      <c r="AD412" s="384"/>
      <c r="AE412" s="384"/>
      <c r="AF412" s="389" t="s">
        <v>214</v>
      </c>
      <c r="AG412" s="390"/>
      <c r="AH412" s="384"/>
      <c r="AI412" s="375">
        <f>AI411^4/AJ410</f>
        <v>4.8103789147823877</v>
      </c>
      <c r="AJ412" s="388"/>
      <c r="AL412" s="374" t="s">
        <v>213</v>
      </c>
      <c r="AM412" s="384"/>
      <c r="AN412" s="384"/>
      <c r="AO412" s="384"/>
      <c r="AP412" s="384"/>
      <c r="AQ412" s="384"/>
      <c r="AR412" s="389" t="s">
        <v>214</v>
      </c>
      <c r="AS412" s="390"/>
      <c r="AT412" s="384"/>
      <c r="AU412" s="375">
        <f>AU411^4/AV410</f>
        <v>4.6050160320486873</v>
      </c>
      <c r="AV412" s="388"/>
      <c r="AX412" s="374" t="s">
        <v>213</v>
      </c>
      <c r="AY412" s="384"/>
      <c r="AZ412" s="384"/>
      <c r="BA412" s="384"/>
      <c r="BB412" s="384"/>
      <c r="BC412" s="384"/>
      <c r="BD412" s="389" t="s">
        <v>214</v>
      </c>
      <c r="BE412" s="390"/>
      <c r="BF412" s="384"/>
      <c r="BG412" s="375">
        <f>BG411^4/BH410</f>
        <v>4.9481113365744536</v>
      </c>
      <c r="BH412" s="388"/>
      <c r="BI412" s="402"/>
    </row>
    <row r="413" spans="1:61" x14ac:dyDescent="0.35">
      <c r="A413" s="402"/>
      <c r="B413" s="374" t="s">
        <v>215</v>
      </c>
      <c r="C413" s="384"/>
      <c r="D413" s="384"/>
      <c r="E413" s="384"/>
      <c r="F413" s="384"/>
      <c r="G413" s="384"/>
      <c r="H413" s="391" t="s">
        <v>216</v>
      </c>
      <c r="I413" s="392"/>
      <c r="J413" s="384"/>
      <c r="K413" s="377">
        <f>1.95996+(2.37356/K412)+(2.818745/K412^2)+(2.546662/K412^3)+(1.761829/K412^4)+(0.245458/K412^5)+(1.000764/K412^6)</f>
        <v>2.6222177774842814</v>
      </c>
      <c r="L413" s="393">
        <f>TINV(0.05,K412)</f>
        <v>2.7764451051977934</v>
      </c>
      <c r="N413" s="374" t="s">
        <v>215</v>
      </c>
      <c r="O413" s="384"/>
      <c r="P413" s="384"/>
      <c r="Q413" s="384"/>
      <c r="R413" s="384"/>
      <c r="S413" s="384"/>
      <c r="T413" s="391" t="s">
        <v>216</v>
      </c>
      <c r="U413" s="392"/>
      <c r="V413" s="384"/>
      <c r="W413" s="377">
        <f>1.95996+(2.37356/W412)+(2.818745/W412^2)+(2.546662/W412^3)+(1.761829/W412^4)+(0.245458/W412^5)+(1.000764/W412^6)</f>
        <v>2.7565098994678703</v>
      </c>
      <c r="X413" s="393">
        <f>TINV(0.05,W412)</f>
        <v>2.7764451051977934</v>
      </c>
      <c r="Z413" s="374" t="s">
        <v>215</v>
      </c>
      <c r="AA413" s="384"/>
      <c r="AB413" s="384"/>
      <c r="AC413" s="384"/>
      <c r="AD413" s="384"/>
      <c r="AE413" s="384"/>
      <c r="AF413" s="391" t="s">
        <v>216</v>
      </c>
      <c r="AG413" s="392"/>
      <c r="AH413" s="384"/>
      <c r="AI413" s="377">
        <f>1.95996+(2.37356/AI412)+(2.818745/AI412^2)+(2.546662/AI412^3)+(1.761829/AI412^4)+(0.245458/AI412^5)+(1.000764/AI412^6)</f>
        <v>2.6015440134009209</v>
      </c>
      <c r="AJ413" s="393">
        <f>TINV(0.05,AI412)</f>
        <v>2.7764451051977934</v>
      </c>
      <c r="AL413" s="374" t="s">
        <v>215</v>
      </c>
      <c r="AM413" s="384"/>
      <c r="AN413" s="384"/>
      <c r="AO413" s="384"/>
      <c r="AP413" s="384"/>
      <c r="AQ413" s="384"/>
      <c r="AR413" s="391" t="s">
        <v>216</v>
      </c>
      <c r="AS413" s="392"/>
      <c r="AT413" s="384"/>
      <c r="AU413" s="377">
        <f>1.95996+(2.37356/AU412)+(2.818745/AU412^2)+(2.546662/AU412^3)+(1.761829/AU412^4)+(0.245458/AU412^5)+(1.000764/AU412^6)</f>
        <v>2.6385296834621554</v>
      </c>
      <c r="AV413" s="393">
        <f>TINV(0.05,AU412)</f>
        <v>2.7764451051977934</v>
      </c>
      <c r="AX413" s="374" t="s">
        <v>215</v>
      </c>
      <c r="AY413" s="384"/>
      <c r="AZ413" s="384"/>
      <c r="BA413" s="384"/>
      <c r="BB413" s="384"/>
      <c r="BC413" s="384"/>
      <c r="BD413" s="391" t="s">
        <v>216</v>
      </c>
      <c r="BE413" s="392"/>
      <c r="BF413" s="384"/>
      <c r="BG413" s="377">
        <f>1.95996+(2.37356/BG412)+(2.818745/BG412^2)+(2.546662/BG412^3)+(1.761829/BG412^4)+(0.245458/BG412^5)+(1.000764/BG412^6)</f>
        <v>2.5788879684069217</v>
      </c>
      <c r="BH413" s="393">
        <f>TINV(0.05,BG412)</f>
        <v>2.7764451051977934</v>
      </c>
      <c r="BI413" s="402"/>
    </row>
    <row r="414" spans="1:61" ht="15.5" x14ac:dyDescent="0.35">
      <c r="A414" s="402"/>
      <c r="B414" s="374" t="s">
        <v>217</v>
      </c>
      <c r="C414" s="384"/>
      <c r="D414" s="384"/>
      <c r="E414" s="384"/>
      <c r="F414" s="384"/>
      <c r="G414" s="384"/>
      <c r="H414" s="394" t="s">
        <v>218</v>
      </c>
      <c r="I414" s="395"/>
      <c r="J414" s="384"/>
      <c r="K414" s="398">
        <f>K413*K411</f>
        <v>0.27294312523216918</v>
      </c>
      <c r="L414" s="19" t="str">
        <f>D404</f>
        <v>µA</v>
      </c>
      <c r="N414" s="374" t="s">
        <v>217</v>
      </c>
      <c r="O414" s="384"/>
      <c r="P414" s="384"/>
      <c r="Q414" s="384"/>
      <c r="R414" s="384"/>
      <c r="S414" s="384"/>
      <c r="T414" s="394" t="s">
        <v>218</v>
      </c>
      <c r="U414" s="395"/>
      <c r="V414" s="384"/>
      <c r="W414" s="398">
        <f>W413*W411</f>
        <v>0.82619986776608612</v>
      </c>
      <c r="X414" s="19" t="str">
        <f>P404</f>
        <v>µA</v>
      </c>
      <c r="Z414" s="374" t="s">
        <v>217</v>
      </c>
      <c r="AA414" s="384"/>
      <c r="AB414" s="384"/>
      <c r="AC414" s="384"/>
      <c r="AD414" s="384"/>
      <c r="AE414" s="384"/>
      <c r="AF414" s="394" t="s">
        <v>218</v>
      </c>
      <c r="AG414" s="395"/>
      <c r="AH414" s="384"/>
      <c r="AI414" s="398">
        <f>AI413*AI411</f>
        <v>0.25269215123518701</v>
      </c>
      <c r="AJ414" s="19" t="str">
        <f>AB404</f>
        <v>µA</v>
      </c>
      <c r="AL414" s="374" t="s">
        <v>217</v>
      </c>
      <c r="AM414" s="384"/>
      <c r="AN414" s="384"/>
      <c r="AO414" s="384"/>
      <c r="AP414" s="384"/>
      <c r="AQ414" s="384"/>
      <c r="AR414" s="394" t="s">
        <v>218</v>
      </c>
      <c r="AS414" s="395"/>
      <c r="AT414" s="384"/>
      <c r="AU414" s="398">
        <f>AU413*AU411</f>
        <v>0.29184590384673953</v>
      </c>
      <c r="AV414" s="19" t="str">
        <f>AN404</f>
        <v>µA</v>
      </c>
      <c r="AX414" s="374" t="s">
        <v>217</v>
      </c>
      <c r="AY414" s="384"/>
      <c r="AZ414" s="384"/>
      <c r="BA414" s="384"/>
      <c r="BB414" s="384"/>
      <c r="BC414" s="384"/>
      <c r="BD414" s="394" t="s">
        <v>218</v>
      </c>
      <c r="BE414" s="395"/>
      <c r="BF414" s="384"/>
      <c r="BG414" s="398">
        <f>BG413*BG411</f>
        <v>0.23402017465581879</v>
      </c>
      <c r="BH414" s="19" t="str">
        <f>AZ404</f>
        <v>µA</v>
      </c>
      <c r="BI414" s="402"/>
    </row>
    <row r="415" spans="1:61" x14ac:dyDescent="0.35">
      <c r="A415" s="402"/>
      <c r="B415" s="396"/>
      <c r="C415" s="396"/>
      <c r="D415" s="396"/>
      <c r="E415" s="396"/>
      <c r="F415" s="396"/>
      <c r="G415" s="396"/>
      <c r="H415" s="396"/>
      <c r="I415" s="396"/>
      <c r="J415" s="396"/>
      <c r="K415" s="388">
        <f>(K414/C404)*100</f>
        <v>27.294312523216917</v>
      </c>
      <c r="L415" s="19" t="s">
        <v>219</v>
      </c>
      <c r="N415" s="396"/>
      <c r="O415" s="396"/>
      <c r="P415" s="396"/>
      <c r="Q415" s="396"/>
      <c r="R415" s="396"/>
      <c r="S415" s="396"/>
      <c r="T415" s="396"/>
      <c r="U415" s="396"/>
      <c r="V415" s="396"/>
      <c r="W415" s="388">
        <f>(W414/O404)*100</f>
        <v>82.619986776608613</v>
      </c>
      <c r="X415" s="19" t="s">
        <v>219</v>
      </c>
      <c r="Z415" s="396"/>
      <c r="AA415" s="396"/>
      <c r="AB415" s="396"/>
      <c r="AC415" s="396"/>
      <c r="AD415" s="396"/>
      <c r="AE415" s="396"/>
      <c r="AF415" s="396"/>
      <c r="AG415" s="396"/>
      <c r="AH415" s="396"/>
      <c r="AI415" s="388">
        <f>(AI414/AA404)*100</f>
        <v>25.269215123518702</v>
      </c>
      <c r="AJ415" s="19" t="s">
        <v>219</v>
      </c>
      <c r="AL415" s="396"/>
      <c r="AM415" s="396"/>
      <c r="AN415" s="396"/>
      <c r="AO415" s="396"/>
      <c r="AP415" s="396"/>
      <c r="AQ415" s="396"/>
      <c r="AR415" s="396"/>
      <c r="AS415" s="396"/>
      <c r="AT415" s="396"/>
      <c r="AU415" s="388">
        <f>(AU414/AM404)*100</f>
        <v>29.184590384673953</v>
      </c>
      <c r="AV415" s="19" t="s">
        <v>219</v>
      </c>
      <c r="AX415" s="396"/>
      <c r="AY415" s="396"/>
      <c r="AZ415" s="396"/>
      <c r="BA415" s="396"/>
      <c r="BB415" s="396"/>
      <c r="BC415" s="396"/>
      <c r="BD415" s="396"/>
      <c r="BE415" s="396"/>
      <c r="BF415" s="396"/>
      <c r="BG415" s="388">
        <f>(BG414/AY404)*100</f>
        <v>23.402017465581878</v>
      </c>
      <c r="BH415" s="19" t="s">
        <v>219</v>
      </c>
      <c r="BI415" s="402"/>
    </row>
    <row r="416" spans="1:61" x14ac:dyDescent="0.35">
      <c r="A416" s="402"/>
      <c r="B416" s="396" t="s">
        <v>193</v>
      </c>
      <c r="C416" s="77">
        <f>ID!D125</f>
        <v>50</v>
      </c>
      <c r="D416" s="397" t="s">
        <v>222</v>
      </c>
      <c r="N416" s="396" t="s">
        <v>193</v>
      </c>
      <c r="O416" s="77">
        <f>ID!D132</f>
        <v>50</v>
      </c>
      <c r="P416" s="397" t="s">
        <v>222</v>
      </c>
      <c r="Z416" s="396" t="s">
        <v>193</v>
      </c>
      <c r="AA416" s="77">
        <f>ID!D139</f>
        <v>50</v>
      </c>
      <c r="AB416" s="397" t="s">
        <v>222</v>
      </c>
      <c r="AL416" s="396" t="s">
        <v>193</v>
      </c>
      <c r="AM416" s="77">
        <f>ID!D146</f>
        <v>50</v>
      </c>
      <c r="AN416" s="397" t="s">
        <v>222</v>
      </c>
      <c r="AX416" s="396" t="s">
        <v>193</v>
      </c>
      <c r="AY416" s="77">
        <f>ID!D153</f>
        <v>50</v>
      </c>
      <c r="AZ416" s="397" t="s">
        <v>222</v>
      </c>
      <c r="BI416" s="402"/>
    </row>
    <row r="417" spans="1:61" x14ac:dyDescent="0.35">
      <c r="A417" s="402"/>
      <c r="B417" s="372" t="s">
        <v>194</v>
      </c>
      <c r="C417" s="373" t="s">
        <v>72</v>
      </c>
      <c r="D417" s="373" t="s">
        <v>195</v>
      </c>
      <c r="E417" s="372" t="s">
        <v>196</v>
      </c>
      <c r="F417" s="372" t="s">
        <v>197</v>
      </c>
      <c r="G417" s="372" t="s">
        <v>198</v>
      </c>
      <c r="H417" s="372" t="s">
        <v>199</v>
      </c>
      <c r="I417" s="372" t="s">
        <v>200</v>
      </c>
      <c r="J417" s="372" t="s">
        <v>201</v>
      </c>
      <c r="K417" s="372" t="s">
        <v>202</v>
      </c>
      <c r="L417" s="373" t="s">
        <v>203</v>
      </c>
      <c r="N417" s="372" t="s">
        <v>194</v>
      </c>
      <c r="O417" s="373" t="s">
        <v>72</v>
      </c>
      <c r="P417" s="373" t="s">
        <v>195</v>
      </c>
      <c r="Q417" s="372" t="s">
        <v>196</v>
      </c>
      <c r="R417" s="372" t="s">
        <v>197</v>
      </c>
      <c r="S417" s="372" t="s">
        <v>198</v>
      </c>
      <c r="T417" s="372" t="s">
        <v>199</v>
      </c>
      <c r="U417" s="372" t="s">
        <v>200</v>
      </c>
      <c r="V417" s="372" t="s">
        <v>201</v>
      </c>
      <c r="W417" s="372" t="s">
        <v>202</v>
      </c>
      <c r="X417" s="373" t="s">
        <v>203</v>
      </c>
      <c r="Z417" s="372" t="s">
        <v>194</v>
      </c>
      <c r="AA417" s="373" t="s">
        <v>72</v>
      </c>
      <c r="AB417" s="373" t="s">
        <v>195</v>
      </c>
      <c r="AC417" s="372" t="s">
        <v>196</v>
      </c>
      <c r="AD417" s="372" t="s">
        <v>197</v>
      </c>
      <c r="AE417" s="372" t="s">
        <v>198</v>
      </c>
      <c r="AF417" s="372" t="s">
        <v>199</v>
      </c>
      <c r="AG417" s="372" t="s">
        <v>200</v>
      </c>
      <c r="AH417" s="372" t="s">
        <v>201</v>
      </c>
      <c r="AI417" s="372" t="s">
        <v>202</v>
      </c>
      <c r="AJ417" s="373" t="s">
        <v>203</v>
      </c>
      <c r="AL417" s="372" t="s">
        <v>194</v>
      </c>
      <c r="AM417" s="373" t="s">
        <v>72</v>
      </c>
      <c r="AN417" s="373" t="s">
        <v>195</v>
      </c>
      <c r="AO417" s="372" t="s">
        <v>196</v>
      </c>
      <c r="AP417" s="372" t="s">
        <v>197</v>
      </c>
      <c r="AQ417" s="372" t="s">
        <v>198</v>
      </c>
      <c r="AR417" s="372" t="s">
        <v>199</v>
      </c>
      <c r="AS417" s="372" t="s">
        <v>200</v>
      </c>
      <c r="AT417" s="372" t="s">
        <v>201</v>
      </c>
      <c r="AU417" s="372" t="s">
        <v>202</v>
      </c>
      <c r="AV417" s="373" t="s">
        <v>203</v>
      </c>
      <c r="AX417" s="372" t="s">
        <v>194</v>
      </c>
      <c r="AY417" s="373" t="s">
        <v>72</v>
      </c>
      <c r="AZ417" s="373" t="s">
        <v>195</v>
      </c>
      <c r="BA417" s="372" t="s">
        <v>196</v>
      </c>
      <c r="BB417" s="372" t="s">
        <v>197</v>
      </c>
      <c r="BC417" s="372" t="s">
        <v>198</v>
      </c>
      <c r="BD417" s="372" t="s">
        <v>199</v>
      </c>
      <c r="BE417" s="372" t="s">
        <v>200</v>
      </c>
      <c r="BF417" s="372" t="s">
        <v>201</v>
      </c>
      <c r="BG417" s="372" t="s">
        <v>202</v>
      </c>
      <c r="BH417" s="373" t="s">
        <v>203</v>
      </c>
      <c r="BI417" s="402"/>
    </row>
    <row r="418" spans="1:61" x14ac:dyDescent="0.35">
      <c r="A418" s="402"/>
      <c r="B418" s="374" t="s">
        <v>223</v>
      </c>
      <c r="C418" s="19" t="str">
        <f>D416</f>
        <v>µA</v>
      </c>
      <c r="D418" s="375" t="s">
        <v>205</v>
      </c>
      <c r="E418" s="376">
        <f>'Sert Time Electronics'!X183</f>
        <v>0.18708286933869686</v>
      </c>
      <c r="F418" s="377">
        <f>SQRT(5)</f>
        <v>2.2360679774997898</v>
      </c>
      <c r="G418" s="375">
        <f>5-1</f>
        <v>4</v>
      </c>
      <c r="H418" s="377">
        <f>E418/F418</f>
        <v>8.3666002653407456E-2</v>
      </c>
      <c r="I418" s="375">
        <v>1</v>
      </c>
      <c r="J418" s="377">
        <f>H418*I418</f>
        <v>8.3666002653407456E-2</v>
      </c>
      <c r="K418" s="378">
        <f>J418^2</f>
        <v>6.9999999999999837E-3</v>
      </c>
      <c r="L418" s="379">
        <f>K418^2/G418</f>
        <v>1.2249999999999942E-5</v>
      </c>
      <c r="N418" s="374" t="s">
        <v>223</v>
      </c>
      <c r="O418" s="19" t="str">
        <f>P416</f>
        <v>µA</v>
      </c>
      <c r="P418" s="375" t="s">
        <v>205</v>
      </c>
      <c r="Q418" s="376">
        <f>'Sert Time Electronics'!X191</f>
        <v>0.74363969770312954</v>
      </c>
      <c r="R418" s="377">
        <f>SQRT(5)</f>
        <v>2.2360679774997898</v>
      </c>
      <c r="S418" s="375">
        <f>5-1</f>
        <v>4</v>
      </c>
      <c r="T418" s="377">
        <f>Q418/R418</f>
        <v>0.33256578296631834</v>
      </c>
      <c r="U418" s="375">
        <v>1</v>
      </c>
      <c r="V418" s="377">
        <f>T418*U418</f>
        <v>0.33256578296631834</v>
      </c>
      <c r="W418" s="378">
        <f>V418^2</f>
        <v>0.11060000000000035</v>
      </c>
      <c r="X418" s="379">
        <f>W418^2/S418</f>
        <v>3.0580900000000194E-3</v>
      </c>
      <c r="Z418" s="374" t="s">
        <v>223</v>
      </c>
      <c r="AA418" s="19" t="str">
        <f>AB416</f>
        <v>µA</v>
      </c>
      <c r="AB418" s="375" t="s">
        <v>205</v>
      </c>
      <c r="AC418" s="376">
        <f>'Sert Time Electronics'!X199</f>
        <v>0.16733200530681472</v>
      </c>
      <c r="AD418" s="377">
        <f>SQRT(5)</f>
        <v>2.2360679774997898</v>
      </c>
      <c r="AE418" s="375">
        <f>5-1</f>
        <v>4</v>
      </c>
      <c r="AF418" s="377">
        <f>AC418/AD418</f>
        <v>7.4833147735478653E-2</v>
      </c>
      <c r="AG418" s="375">
        <v>1</v>
      </c>
      <c r="AH418" s="377">
        <f>AF418*AG418</f>
        <v>7.4833147735478653E-2</v>
      </c>
      <c r="AI418" s="378">
        <f>AH418^2</f>
        <v>5.5999999999999739E-3</v>
      </c>
      <c r="AJ418" s="379">
        <f>AI418^2/AE418</f>
        <v>7.8399999999999266E-6</v>
      </c>
      <c r="AL418" s="374" t="s">
        <v>223</v>
      </c>
      <c r="AM418" s="19" t="str">
        <f>AN416</f>
        <v>µA</v>
      </c>
      <c r="AN418" s="375" t="s">
        <v>205</v>
      </c>
      <c r="AO418" s="376">
        <f>'Sert Time Electronics'!X207</f>
        <v>0.27748873851023165</v>
      </c>
      <c r="AP418" s="377">
        <f>SQRT(5)</f>
        <v>2.2360679774997898</v>
      </c>
      <c r="AQ418" s="375">
        <f>5-1</f>
        <v>4</v>
      </c>
      <c r="AR418" s="377">
        <f>AO418/AP418</f>
        <v>0.12409673645990833</v>
      </c>
      <c r="AS418" s="375">
        <v>1</v>
      </c>
      <c r="AT418" s="377">
        <f>AR418*AS418</f>
        <v>0.12409673645990833</v>
      </c>
      <c r="AU418" s="378">
        <f>AT418^2</f>
        <v>1.5399999999999942E-2</v>
      </c>
      <c r="AV418" s="379">
        <f>AU418^2/AQ418</f>
        <v>5.9289999999999549E-5</v>
      </c>
      <c r="AX418" s="374" t="s">
        <v>223</v>
      </c>
      <c r="AY418" s="19" t="str">
        <f>AZ416</f>
        <v>µA</v>
      </c>
      <c r="AZ418" s="375" t="s">
        <v>205</v>
      </c>
      <c r="BA418" s="376">
        <f>'Sert Time Electronics'!X215</f>
        <v>0.2302172886644254</v>
      </c>
      <c r="BB418" s="377">
        <f>SQRT(5)</f>
        <v>2.2360679774997898</v>
      </c>
      <c r="BC418" s="375">
        <f>5-1</f>
        <v>4</v>
      </c>
      <c r="BD418" s="377">
        <f>BA418/BB418</f>
        <v>0.10295630140986939</v>
      </c>
      <c r="BE418" s="375">
        <v>1</v>
      </c>
      <c r="BF418" s="377">
        <f>BD418*BE418</f>
        <v>0.10295630140986939</v>
      </c>
      <c r="BG418" s="378">
        <f>BF418^2</f>
        <v>1.0599999999999873E-2</v>
      </c>
      <c r="BH418" s="379">
        <f>BG418^2/BC418</f>
        <v>2.808999999999933E-5</v>
      </c>
      <c r="BI418" s="402"/>
    </row>
    <row r="419" spans="1:61" x14ac:dyDescent="0.35">
      <c r="A419" s="402"/>
      <c r="B419" s="380" t="s">
        <v>206</v>
      </c>
      <c r="C419" s="19" t="str">
        <f>C418</f>
        <v>µA</v>
      </c>
      <c r="D419" s="375" t="s">
        <v>205</v>
      </c>
      <c r="E419" s="381">
        <f>'Sert Time Electronics'!AA183</f>
        <v>7.2956447256240509E-2</v>
      </c>
      <c r="F419" s="377">
        <v>2</v>
      </c>
      <c r="G419" s="375">
        <f>0.5*(100/10)^2</f>
        <v>50</v>
      </c>
      <c r="H419" s="377">
        <f>E419/F419</f>
        <v>3.6478223628120254E-2</v>
      </c>
      <c r="I419" s="375">
        <v>1</v>
      </c>
      <c r="J419" s="377">
        <f>H419*I419</f>
        <v>3.6478223628120254E-2</v>
      </c>
      <c r="K419" s="378">
        <f>J419^2</f>
        <v>1.3306607990631507E-3</v>
      </c>
      <c r="L419" s="379">
        <f>K419^2/G419</f>
        <v>3.5413163243267654E-8</v>
      </c>
      <c r="N419" s="380" t="s">
        <v>206</v>
      </c>
      <c r="O419" s="19" t="str">
        <f>O418</f>
        <v>µA</v>
      </c>
      <c r="P419" s="375" t="s">
        <v>205</v>
      </c>
      <c r="Q419" s="381">
        <f>'Sert Time Electronics'!AA191</f>
        <v>7.3043546004183071E-2</v>
      </c>
      <c r="R419" s="377">
        <v>2</v>
      </c>
      <c r="S419" s="375">
        <f>0.5*(100/10)^2</f>
        <v>50</v>
      </c>
      <c r="T419" s="377">
        <f>Q419/R419</f>
        <v>3.6521773002091536E-2</v>
      </c>
      <c r="U419" s="375">
        <v>1</v>
      </c>
      <c r="V419" s="377">
        <f>T419*U419</f>
        <v>3.6521773002091536E-2</v>
      </c>
      <c r="W419" s="378">
        <f>V419^2</f>
        <v>1.3338399032163022E-3</v>
      </c>
      <c r="X419" s="379">
        <f>W419^2/S419</f>
        <v>3.5582577748241492E-8</v>
      </c>
      <c r="Z419" s="380" t="s">
        <v>206</v>
      </c>
      <c r="AA419" s="19" t="str">
        <f>AA418</f>
        <v>µA</v>
      </c>
      <c r="AB419" s="375" t="s">
        <v>205</v>
      </c>
      <c r="AC419" s="381">
        <f>'Sert Time Electronics'!AA199</f>
        <v>7.3159677668106493E-2</v>
      </c>
      <c r="AD419" s="377">
        <v>2</v>
      </c>
      <c r="AE419" s="375">
        <f>0.5*(100/10)^2</f>
        <v>50</v>
      </c>
      <c r="AF419" s="377">
        <f>AC419/AD419</f>
        <v>3.6579838834053247E-2</v>
      </c>
      <c r="AG419" s="375">
        <v>1</v>
      </c>
      <c r="AH419" s="377">
        <f>AF419*AG419</f>
        <v>3.6579838834053247E-2</v>
      </c>
      <c r="AI419" s="378">
        <f>AH419^2</f>
        <v>1.3380846091253099E-3</v>
      </c>
      <c r="AJ419" s="379">
        <f>AI419^2/AE419</f>
        <v>3.5809408423560669E-8</v>
      </c>
      <c r="AL419" s="380" t="s">
        <v>206</v>
      </c>
      <c r="AM419" s="19" t="str">
        <f>AM418</f>
        <v>µA</v>
      </c>
      <c r="AN419" s="375" t="s">
        <v>205</v>
      </c>
      <c r="AO419" s="381">
        <f>'Sert Time Electronics'!AA207</f>
        <v>7.3130644752125634E-2</v>
      </c>
      <c r="AP419" s="377">
        <v>2</v>
      </c>
      <c r="AQ419" s="375">
        <f>0.5*(100/10)^2</f>
        <v>50</v>
      </c>
      <c r="AR419" s="377">
        <f>AO419/AP419</f>
        <v>3.6565322376062817E-2</v>
      </c>
      <c r="AS419" s="375">
        <v>1</v>
      </c>
      <c r="AT419" s="377">
        <f>AR419*AS419</f>
        <v>3.6565322376062817E-2</v>
      </c>
      <c r="AU419" s="378">
        <f>AT419^2</f>
        <v>1.3370228004654001E-3</v>
      </c>
      <c r="AV419" s="379">
        <f>AU419^2/AQ419</f>
        <v>3.5752599379286826E-8</v>
      </c>
      <c r="AX419" s="380" t="s">
        <v>206</v>
      </c>
      <c r="AY419" s="19" t="str">
        <f>AY418</f>
        <v>µA</v>
      </c>
      <c r="AZ419" s="375" t="s">
        <v>205</v>
      </c>
      <c r="BA419" s="381">
        <f>'Sert Time Electronics'!AA215</f>
        <v>7.3159677668106493E-2</v>
      </c>
      <c r="BB419" s="377">
        <v>2</v>
      </c>
      <c r="BC419" s="375">
        <f>0.5*(100/10)^2</f>
        <v>50</v>
      </c>
      <c r="BD419" s="377">
        <f>BA419/BB419</f>
        <v>3.6579838834053247E-2</v>
      </c>
      <c r="BE419" s="375">
        <v>1</v>
      </c>
      <c r="BF419" s="377">
        <f>BD419*BE419</f>
        <v>3.6579838834053247E-2</v>
      </c>
      <c r="BG419" s="378">
        <f>BF419^2</f>
        <v>1.3380846091253099E-3</v>
      </c>
      <c r="BH419" s="379">
        <f>BG419^2/BC419</f>
        <v>3.5809408423560669E-8</v>
      </c>
      <c r="BI419" s="402"/>
    </row>
    <row r="420" spans="1:61" x14ac:dyDescent="0.35">
      <c r="A420" s="402"/>
      <c r="B420" s="380" t="s">
        <v>207</v>
      </c>
      <c r="C420" s="19" t="str">
        <f>C419</f>
        <v>µA</v>
      </c>
      <c r="D420" s="375" t="s">
        <v>208</v>
      </c>
      <c r="E420" s="382">
        <f>'Sert Time Electronics'!Y183</f>
        <v>0.05</v>
      </c>
      <c r="F420" s="377">
        <f>SQRT(3)</f>
        <v>1.7320508075688772</v>
      </c>
      <c r="G420" s="375">
        <v>50</v>
      </c>
      <c r="H420" s="377">
        <f>E420/F420</f>
        <v>2.8867513459481291E-2</v>
      </c>
      <c r="I420" s="375">
        <v>1</v>
      </c>
      <c r="J420" s="377">
        <f>H420*I420</f>
        <v>2.8867513459481291E-2</v>
      </c>
      <c r="K420" s="378">
        <f>J420^2</f>
        <v>8.333333333333335E-4</v>
      </c>
      <c r="L420" s="379">
        <f>K420^2/G420</f>
        <v>1.3888888888888894E-8</v>
      </c>
      <c r="N420" s="380" t="s">
        <v>207</v>
      </c>
      <c r="O420" s="19" t="str">
        <f>O419</f>
        <v>µA</v>
      </c>
      <c r="P420" s="375" t="s">
        <v>208</v>
      </c>
      <c r="Q420" s="382">
        <f>'Sert Time Electronics'!Y191</f>
        <v>0.05</v>
      </c>
      <c r="R420" s="377">
        <f>SQRT(3)</f>
        <v>1.7320508075688772</v>
      </c>
      <c r="S420" s="375">
        <v>50</v>
      </c>
      <c r="T420" s="377">
        <f>Q420/R420</f>
        <v>2.8867513459481291E-2</v>
      </c>
      <c r="U420" s="375">
        <v>1</v>
      </c>
      <c r="V420" s="377">
        <f>T420*U420</f>
        <v>2.8867513459481291E-2</v>
      </c>
      <c r="W420" s="378">
        <f>V420^2</f>
        <v>8.333333333333335E-4</v>
      </c>
      <c r="X420" s="379">
        <f>W420^2/S420</f>
        <v>1.3888888888888894E-8</v>
      </c>
      <c r="Z420" s="380" t="s">
        <v>207</v>
      </c>
      <c r="AA420" s="19" t="str">
        <f>AA419</f>
        <v>µA</v>
      </c>
      <c r="AB420" s="375" t="s">
        <v>208</v>
      </c>
      <c r="AC420" s="382">
        <f>'Sert Time Electronics'!Y199</f>
        <v>0.05</v>
      </c>
      <c r="AD420" s="377">
        <f>SQRT(3)</f>
        <v>1.7320508075688772</v>
      </c>
      <c r="AE420" s="375">
        <v>50</v>
      </c>
      <c r="AF420" s="377">
        <f>AC420/AD420</f>
        <v>2.8867513459481291E-2</v>
      </c>
      <c r="AG420" s="375">
        <v>1</v>
      </c>
      <c r="AH420" s="377">
        <f>AF420*AG420</f>
        <v>2.8867513459481291E-2</v>
      </c>
      <c r="AI420" s="378">
        <f>AH420^2</f>
        <v>8.333333333333335E-4</v>
      </c>
      <c r="AJ420" s="379">
        <f>AI420^2/AE420</f>
        <v>1.3888888888888894E-8</v>
      </c>
      <c r="AL420" s="380" t="s">
        <v>207</v>
      </c>
      <c r="AM420" s="19" t="str">
        <f>AM419</f>
        <v>µA</v>
      </c>
      <c r="AN420" s="375" t="s">
        <v>208</v>
      </c>
      <c r="AO420" s="382">
        <f>'Sert Time Electronics'!Y207</f>
        <v>0.05</v>
      </c>
      <c r="AP420" s="377">
        <f>SQRT(3)</f>
        <v>1.7320508075688772</v>
      </c>
      <c r="AQ420" s="375">
        <v>50</v>
      </c>
      <c r="AR420" s="377">
        <f>AO420/AP420</f>
        <v>2.8867513459481291E-2</v>
      </c>
      <c r="AS420" s="375">
        <v>1</v>
      </c>
      <c r="AT420" s="377">
        <f>AR420*AS420</f>
        <v>2.8867513459481291E-2</v>
      </c>
      <c r="AU420" s="378">
        <f>AT420^2</f>
        <v>8.333333333333335E-4</v>
      </c>
      <c r="AV420" s="379">
        <f>AU420^2/AQ420</f>
        <v>1.3888888888888894E-8</v>
      </c>
      <c r="AX420" s="380" t="s">
        <v>207</v>
      </c>
      <c r="AY420" s="19" t="str">
        <f>AY419</f>
        <v>µA</v>
      </c>
      <c r="AZ420" s="375" t="s">
        <v>208</v>
      </c>
      <c r="BA420" s="382">
        <f>'Sert Time Electronics'!Y215</f>
        <v>0.05</v>
      </c>
      <c r="BB420" s="377">
        <f>SQRT(3)</f>
        <v>1.7320508075688772</v>
      </c>
      <c r="BC420" s="375">
        <v>50</v>
      </c>
      <c r="BD420" s="377">
        <f>BA420/BB420</f>
        <v>2.8867513459481291E-2</v>
      </c>
      <c r="BE420" s="375">
        <v>1</v>
      </c>
      <c r="BF420" s="377">
        <f>BD420*BE420</f>
        <v>2.8867513459481291E-2</v>
      </c>
      <c r="BG420" s="378">
        <f>BF420^2</f>
        <v>8.333333333333335E-4</v>
      </c>
      <c r="BH420" s="379">
        <f>BG420^2/BC420</f>
        <v>1.3888888888888894E-8</v>
      </c>
      <c r="BI420" s="402"/>
    </row>
    <row r="421" spans="1:61" x14ac:dyDescent="0.35">
      <c r="A421" s="402"/>
      <c r="B421" s="383" t="s">
        <v>209</v>
      </c>
      <c r="C421" s="19" t="str">
        <f>C420</f>
        <v>µA</v>
      </c>
      <c r="D421" s="375" t="s">
        <v>208</v>
      </c>
      <c r="E421" s="381">
        <f>'Sert Time Electronics'!Z183</f>
        <v>2.4318815752080173E-2</v>
      </c>
      <c r="F421" s="377">
        <f>SQRT(3)</f>
        <v>1.7320508075688772</v>
      </c>
      <c r="G421" s="375">
        <v>50</v>
      </c>
      <c r="H421" s="377">
        <f>E421/F421</f>
        <v>1.40404748208364E-2</v>
      </c>
      <c r="I421" s="375">
        <v>1</v>
      </c>
      <c r="J421" s="377">
        <f>H421*I421</f>
        <v>1.40404748208364E-2</v>
      </c>
      <c r="K421" s="378">
        <f>J421^2</f>
        <v>1.9713493319454092E-4</v>
      </c>
      <c r="L421" s="379">
        <f>K421^2/G421</f>
        <v>7.7724363771232219E-10</v>
      </c>
      <c r="N421" s="383" t="s">
        <v>209</v>
      </c>
      <c r="O421" s="19" t="str">
        <f>O420</f>
        <v>µA</v>
      </c>
      <c r="P421" s="375" t="s">
        <v>208</v>
      </c>
      <c r="Q421" s="381">
        <f>'Sert Time Electronics'!Z191</f>
        <v>2.4347848668061028E-2</v>
      </c>
      <c r="R421" s="377">
        <f>SQRT(3)</f>
        <v>1.7320508075688772</v>
      </c>
      <c r="S421" s="375">
        <v>50</v>
      </c>
      <c r="T421" s="377">
        <f>Q421/R421</f>
        <v>1.4057236982693306E-2</v>
      </c>
      <c r="U421" s="375">
        <v>1</v>
      </c>
      <c r="V421" s="377">
        <f>T421*U421</f>
        <v>1.4057236982693306E-2</v>
      </c>
      <c r="W421" s="378">
        <f>V421^2</f>
        <v>1.9760591158760041E-4</v>
      </c>
      <c r="X421" s="379">
        <f>W421^2/S421</f>
        <v>7.8096192588733107E-10</v>
      </c>
      <c r="Z421" s="383" t="s">
        <v>209</v>
      </c>
      <c r="AA421" s="19" t="str">
        <f>AA420</f>
        <v>µA</v>
      </c>
      <c r="AB421" s="375" t="s">
        <v>208</v>
      </c>
      <c r="AC421" s="381">
        <f>'Sert Time Electronics'!Z199</f>
        <v>2.4386559222702168E-2</v>
      </c>
      <c r="AD421" s="377">
        <f>SQRT(3)</f>
        <v>1.7320508075688772</v>
      </c>
      <c r="AE421" s="375">
        <v>50</v>
      </c>
      <c r="AF421" s="377">
        <f>AC421/AD421</f>
        <v>1.4079586531835848E-2</v>
      </c>
      <c r="AG421" s="375">
        <v>1</v>
      </c>
      <c r="AH421" s="377">
        <f>AF421*AG421</f>
        <v>1.4079586531835848E-2</v>
      </c>
      <c r="AI421" s="378">
        <f>AH421^2</f>
        <v>1.9823475690745339E-4</v>
      </c>
      <c r="AJ421" s="379">
        <f>AI421^2/AE421</f>
        <v>7.859403769231428E-10</v>
      </c>
      <c r="AL421" s="383" t="s">
        <v>209</v>
      </c>
      <c r="AM421" s="19" t="str">
        <f>AM420</f>
        <v>µA</v>
      </c>
      <c r="AN421" s="375" t="s">
        <v>208</v>
      </c>
      <c r="AO421" s="381">
        <f>'Sert Time Electronics'!Z207</f>
        <v>2.437688158404188E-2</v>
      </c>
      <c r="AP421" s="377">
        <f>SQRT(3)</f>
        <v>1.7320508075688772</v>
      </c>
      <c r="AQ421" s="375">
        <v>50</v>
      </c>
      <c r="AR421" s="377">
        <f>AO421/AP421</f>
        <v>1.4073999144550211E-2</v>
      </c>
      <c r="AS421" s="375">
        <v>1</v>
      </c>
      <c r="AT421" s="377">
        <f>AR421*AS421</f>
        <v>1.4073999144550211E-2</v>
      </c>
      <c r="AU421" s="378">
        <f>AT421^2</f>
        <v>1.9807745192080005E-4</v>
      </c>
      <c r="AV421" s="379">
        <f>AU421^2/AQ421</f>
        <v>7.8469353918873709E-10</v>
      </c>
      <c r="AX421" s="383" t="s">
        <v>209</v>
      </c>
      <c r="AY421" s="19" t="str">
        <f>AY420</f>
        <v>µA</v>
      </c>
      <c r="AZ421" s="375" t="s">
        <v>208</v>
      </c>
      <c r="BA421" s="381">
        <f>'Sert Time Electronics'!Z215</f>
        <v>2.4386559222702168E-2</v>
      </c>
      <c r="BB421" s="377">
        <f>SQRT(3)</f>
        <v>1.7320508075688772</v>
      </c>
      <c r="BC421" s="375">
        <v>50</v>
      </c>
      <c r="BD421" s="377">
        <f>BA421/BB421</f>
        <v>1.4079586531835848E-2</v>
      </c>
      <c r="BE421" s="375">
        <v>1</v>
      </c>
      <c r="BF421" s="377">
        <f>BD421*BE421</f>
        <v>1.4079586531835848E-2</v>
      </c>
      <c r="BG421" s="378">
        <f>BF421^2</f>
        <v>1.9823475690745339E-4</v>
      </c>
      <c r="BH421" s="379">
        <f>BG421^2/BC421</f>
        <v>7.859403769231428E-10</v>
      </c>
      <c r="BI421" s="402"/>
    </row>
    <row r="422" spans="1:61" x14ac:dyDescent="0.35">
      <c r="A422" s="402"/>
      <c r="B422" s="374" t="s">
        <v>210</v>
      </c>
      <c r="C422" s="384"/>
      <c r="D422" s="384"/>
      <c r="E422" s="384"/>
      <c r="F422" s="384"/>
      <c r="G422" s="384"/>
      <c r="H422" s="384"/>
      <c r="I422" s="384"/>
      <c r="J422" s="384"/>
      <c r="K422" s="378">
        <f>SUM(K418:K421)</f>
        <v>9.3611290655910093E-3</v>
      </c>
      <c r="L422" s="379">
        <f>SUM(L418:L421)</f>
        <v>1.2300079295769812E-5</v>
      </c>
      <c r="N422" s="374" t="s">
        <v>210</v>
      </c>
      <c r="O422" s="384"/>
      <c r="P422" s="384"/>
      <c r="Q422" s="384"/>
      <c r="R422" s="384"/>
      <c r="S422" s="384"/>
      <c r="T422" s="384"/>
      <c r="U422" s="384"/>
      <c r="V422" s="384"/>
      <c r="W422" s="378">
        <f>SUM(W418:W421)</f>
        <v>0.11296477914813759</v>
      </c>
      <c r="X422" s="379">
        <f>SUM(X418:X421)</f>
        <v>3.0581402524285824E-3</v>
      </c>
      <c r="Z422" s="374" t="s">
        <v>210</v>
      </c>
      <c r="AA422" s="384"/>
      <c r="AB422" s="384"/>
      <c r="AC422" s="384"/>
      <c r="AD422" s="384"/>
      <c r="AE422" s="384"/>
      <c r="AF422" s="384"/>
      <c r="AG422" s="384"/>
      <c r="AH422" s="384"/>
      <c r="AI422" s="378">
        <f>SUM(AI418:AI421)</f>
        <v>7.9696526993660709E-3</v>
      </c>
      <c r="AJ422" s="379">
        <f>SUM(AJ418:AJ421)</f>
        <v>7.8904842376892997E-6</v>
      </c>
      <c r="AL422" s="374" t="s">
        <v>210</v>
      </c>
      <c r="AM422" s="384"/>
      <c r="AN422" s="384"/>
      <c r="AO422" s="384"/>
      <c r="AP422" s="384"/>
      <c r="AQ422" s="384"/>
      <c r="AR422" s="384"/>
      <c r="AS422" s="384"/>
      <c r="AT422" s="384"/>
      <c r="AU422" s="378">
        <f>SUM(AU418:AU421)</f>
        <v>1.7768433585719477E-2</v>
      </c>
      <c r="AV422" s="379">
        <f>SUM(AV418:AV421)</f>
        <v>5.9340426181806918E-5</v>
      </c>
      <c r="AX422" s="374" t="s">
        <v>210</v>
      </c>
      <c r="AY422" s="384"/>
      <c r="AZ422" s="384"/>
      <c r="BA422" s="384"/>
      <c r="BB422" s="384"/>
      <c r="BC422" s="384"/>
      <c r="BD422" s="384"/>
      <c r="BE422" s="384"/>
      <c r="BF422" s="384"/>
      <c r="BG422" s="378">
        <f>SUM(BG418:BG421)</f>
        <v>1.296965269936597E-2</v>
      </c>
      <c r="BH422" s="379">
        <f>SUM(BH418:BH421)</f>
        <v>2.8140484237688703E-5</v>
      </c>
      <c r="BI422" s="402"/>
    </row>
    <row r="423" spans="1:61" ht="15" x14ac:dyDescent="0.4">
      <c r="A423" s="402"/>
      <c r="B423" s="374" t="s">
        <v>211</v>
      </c>
      <c r="C423" s="384"/>
      <c r="D423" s="384"/>
      <c r="E423" s="384"/>
      <c r="F423" s="384"/>
      <c r="G423" s="384"/>
      <c r="H423" s="385" t="s">
        <v>212</v>
      </c>
      <c r="I423" s="386"/>
      <c r="J423" s="384"/>
      <c r="K423" s="387">
        <f>SQRT(K422)</f>
        <v>9.6752927943246289E-2</v>
      </c>
      <c r="L423" s="388"/>
      <c r="N423" s="374" t="s">
        <v>211</v>
      </c>
      <c r="O423" s="384"/>
      <c r="P423" s="384"/>
      <c r="Q423" s="384"/>
      <c r="R423" s="384"/>
      <c r="S423" s="384"/>
      <c r="T423" s="385" t="s">
        <v>212</v>
      </c>
      <c r="U423" s="386"/>
      <c r="V423" s="384"/>
      <c r="W423" s="387">
        <f>SQRT(W422)</f>
        <v>0.33610233433901882</v>
      </c>
      <c r="X423" s="388"/>
      <c r="Z423" s="374" t="s">
        <v>211</v>
      </c>
      <c r="AA423" s="384"/>
      <c r="AB423" s="384"/>
      <c r="AC423" s="384"/>
      <c r="AD423" s="384"/>
      <c r="AE423" s="384"/>
      <c r="AF423" s="385" t="s">
        <v>212</v>
      </c>
      <c r="AG423" s="386"/>
      <c r="AH423" s="384"/>
      <c r="AI423" s="387">
        <f>SQRT(AI422)</f>
        <v>8.9272911341380989E-2</v>
      </c>
      <c r="AJ423" s="388"/>
      <c r="AL423" s="374" t="s">
        <v>211</v>
      </c>
      <c r="AM423" s="384"/>
      <c r="AN423" s="384"/>
      <c r="AO423" s="384"/>
      <c r="AP423" s="384"/>
      <c r="AQ423" s="384"/>
      <c r="AR423" s="385" t="s">
        <v>212</v>
      </c>
      <c r="AS423" s="386"/>
      <c r="AT423" s="384"/>
      <c r="AU423" s="387">
        <f>SQRT(AU422)</f>
        <v>0.13329828800745896</v>
      </c>
      <c r="AV423" s="388"/>
      <c r="AX423" s="374" t="s">
        <v>211</v>
      </c>
      <c r="AY423" s="384"/>
      <c r="AZ423" s="384"/>
      <c r="BA423" s="384"/>
      <c r="BB423" s="384"/>
      <c r="BC423" s="384"/>
      <c r="BD423" s="385" t="s">
        <v>212</v>
      </c>
      <c r="BE423" s="386"/>
      <c r="BF423" s="384"/>
      <c r="BG423" s="387">
        <f>SQRT(BG422)</f>
        <v>0.11388438303545385</v>
      </c>
      <c r="BH423" s="388"/>
      <c r="BI423" s="402"/>
    </row>
    <row r="424" spans="1:61" ht="16.5" x14ac:dyDescent="0.4">
      <c r="A424" s="402"/>
      <c r="B424" s="374" t="s">
        <v>213</v>
      </c>
      <c r="C424" s="384"/>
      <c r="D424" s="384"/>
      <c r="E424" s="384"/>
      <c r="F424" s="384"/>
      <c r="G424" s="384"/>
      <c r="H424" s="389" t="s">
        <v>214</v>
      </c>
      <c r="I424" s="390"/>
      <c r="J424" s="384"/>
      <c r="K424" s="375">
        <f>K423^4/L422</f>
        <v>7.1244042640270111</v>
      </c>
      <c r="L424" s="388"/>
      <c r="N424" s="374" t="s">
        <v>213</v>
      </c>
      <c r="O424" s="384"/>
      <c r="P424" s="384"/>
      <c r="Q424" s="384"/>
      <c r="R424" s="384"/>
      <c r="S424" s="384"/>
      <c r="T424" s="389" t="s">
        <v>214</v>
      </c>
      <c r="U424" s="390"/>
      <c r="V424" s="384"/>
      <c r="W424" s="375">
        <f>W423^4/X422</f>
        <v>4.1728110140970429</v>
      </c>
      <c r="X424" s="388"/>
      <c r="Z424" s="374" t="s">
        <v>213</v>
      </c>
      <c r="AA424" s="384"/>
      <c r="AB424" s="384"/>
      <c r="AC424" s="384"/>
      <c r="AD424" s="384"/>
      <c r="AE424" s="384"/>
      <c r="AF424" s="389" t="s">
        <v>214</v>
      </c>
      <c r="AG424" s="390"/>
      <c r="AH424" s="384"/>
      <c r="AI424" s="375">
        <f>AI423^4/AJ422</f>
        <v>8.0496154906600701</v>
      </c>
      <c r="AJ424" s="388"/>
      <c r="AL424" s="374" t="s">
        <v>213</v>
      </c>
      <c r="AM424" s="384"/>
      <c r="AN424" s="384"/>
      <c r="AO424" s="384"/>
      <c r="AP424" s="384"/>
      <c r="AQ424" s="384"/>
      <c r="AR424" s="389" t="s">
        <v>214</v>
      </c>
      <c r="AS424" s="390"/>
      <c r="AT424" s="384"/>
      <c r="AU424" s="375">
        <f>AU423^4/AV422</f>
        <v>5.3204409271148645</v>
      </c>
      <c r="AV424" s="388"/>
      <c r="AX424" s="374" t="s">
        <v>213</v>
      </c>
      <c r="AY424" s="384"/>
      <c r="AZ424" s="384"/>
      <c r="BA424" s="384"/>
      <c r="BB424" s="384"/>
      <c r="BC424" s="384"/>
      <c r="BD424" s="389" t="s">
        <v>214</v>
      </c>
      <c r="BE424" s="390"/>
      <c r="BF424" s="384"/>
      <c r="BG424" s="375">
        <f>BG423^4/BH422</f>
        <v>5.9775762819633327</v>
      </c>
      <c r="BH424" s="388"/>
      <c r="BI424" s="402"/>
    </row>
    <row r="425" spans="1:61" x14ac:dyDescent="0.35">
      <c r="A425" s="402"/>
      <c r="B425" s="374" t="s">
        <v>215</v>
      </c>
      <c r="C425" s="384"/>
      <c r="D425" s="384"/>
      <c r="E425" s="384"/>
      <c r="F425" s="384"/>
      <c r="G425" s="384"/>
      <c r="H425" s="391" t="s">
        <v>216</v>
      </c>
      <c r="I425" s="392"/>
      <c r="J425" s="384"/>
      <c r="K425" s="377">
        <f>1.95996+(2.37356/K424)+(2.818745/K424^2)+(2.546662/K424^3)+(1.761829/K424^4)+(0.245458/K424^5)+(1.000764/K424^6)</f>
        <v>2.3564004191207157</v>
      </c>
      <c r="L425" s="393">
        <f>TINV(0.05,K424)</f>
        <v>2.3646242515927849</v>
      </c>
      <c r="N425" s="374" t="s">
        <v>215</v>
      </c>
      <c r="O425" s="384"/>
      <c r="P425" s="384"/>
      <c r="Q425" s="384"/>
      <c r="R425" s="384"/>
      <c r="S425" s="384"/>
      <c r="T425" s="391" t="s">
        <v>216</v>
      </c>
      <c r="U425" s="392"/>
      <c r="V425" s="384"/>
      <c r="W425" s="377">
        <f>1.95996+(2.37356/W424)+(2.818745/W424^2)+(2.546662/W424^3)+(1.761829/W424^4)+(0.245458/W424^5)+(1.000764/W424^6)</f>
        <v>2.7319018458024824</v>
      </c>
      <c r="X425" s="393">
        <f>TINV(0.05,W424)</f>
        <v>2.7764451051977934</v>
      </c>
      <c r="Z425" s="374" t="s">
        <v>215</v>
      </c>
      <c r="AA425" s="384"/>
      <c r="AB425" s="384"/>
      <c r="AC425" s="384"/>
      <c r="AD425" s="384"/>
      <c r="AE425" s="384"/>
      <c r="AF425" s="391" t="s">
        <v>216</v>
      </c>
      <c r="AG425" s="392"/>
      <c r="AH425" s="384"/>
      <c r="AI425" s="377">
        <f>1.95996+(2.37356/AI424)+(2.818745/AI424^2)+(2.546662/AI424^3)+(1.761829/AI424^4)+(0.245458/AI424^5)+(1.000764/AI424^6)</f>
        <v>2.3036409961130477</v>
      </c>
      <c r="AJ425" s="393">
        <f>TINV(0.05,AI424)</f>
        <v>2.3060041352041671</v>
      </c>
      <c r="AL425" s="374" t="s">
        <v>215</v>
      </c>
      <c r="AM425" s="384"/>
      <c r="AN425" s="384"/>
      <c r="AO425" s="384"/>
      <c r="AP425" s="384"/>
      <c r="AQ425" s="384"/>
      <c r="AR425" s="391" t="s">
        <v>216</v>
      </c>
      <c r="AS425" s="392"/>
      <c r="AT425" s="384"/>
      <c r="AU425" s="377">
        <f>1.95996+(2.37356/AU424)+(2.818745/AU424^2)+(2.546662/AU424^3)+(1.761829/AU424^4)+(0.245458/AU424^5)+(1.000764/AU424^6)</f>
        <v>2.5248681063051013</v>
      </c>
      <c r="AV425" s="393">
        <f>TINV(0.05,AU424)</f>
        <v>2.570581835636315</v>
      </c>
      <c r="AX425" s="374" t="s">
        <v>215</v>
      </c>
      <c r="AY425" s="384"/>
      <c r="AZ425" s="384"/>
      <c r="BA425" s="384"/>
      <c r="BB425" s="384"/>
      <c r="BC425" s="384"/>
      <c r="BD425" s="391" t="s">
        <v>216</v>
      </c>
      <c r="BE425" s="392"/>
      <c r="BF425" s="384"/>
      <c r="BG425" s="377">
        <f>1.95996+(2.37356/BG424)+(2.818745/BG424^2)+(2.546662/BG424^3)+(1.761829/BG424^4)+(0.245458/BG424^5)+(1.000764/BG424^6)</f>
        <v>2.4492816766618151</v>
      </c>
      <c r="BH425" s="393">
        <f>TINV(0.05,BG424)</f>
        <v>2.570581835636315</v>
      </c>
      <c r="BI425" s="402"/>
    </row>
    <row r="426" spans="1:61" ht="15.5" x14ac:dyDescent="0.35">
      <c r="A426" s="402"/>
      <c r="B426" s="374" t="s">
        <v>217</v>
      </c>
      <c r="C426" s="384"/>
      <c r="D426" s="384"/>
      <c r="E426" s="384"/>
      <c r="F426" s="384"/>
      <c r="G426" s="384"/>
      <c r="H426" s="394" t="s">
        <v>218</v>
      </c>
      <c r="I426" s="395"/>
      <c r="J426" s="384"/>
      <c r="K426" s="398">
        <f>K425*K423</f>
        <v>0.22798863995662197</v>
      </c>
      <c r="L426" s="19" t="str">
        <f>D416</f>
        <v>µA</v>
      </c>
      <c r="N426" s="374" t="s">
        <v>217</v>
      </c>
      <c r="O426" s="384"/>
      <c r="P426" s="384"/>
      <c r="Q426" s="384"/>
      <c r="R426" s="384"/>
      <c r="S426" s="384"/>
      <c r="T426" s="394" t="s">
        <v>218</v>
      </c>
      <c r="U426" s="395"/>
      <c r="V426" s="384"/>
      <c r="W426" s="398">
        <f>W425*W423</f>
        <v>0.91819858755928851</v>
      </c>
      <c r="X426" s="19" t="str">
        <f>P416</f>
        <v>µA</v>
      </c>
      <c r="Z426" s="374" t="s">
        <v>217</v>
      </c>
      <c r="AA426" s="384"/>
      <c r="AB426" s="384"/>
      <c r="AC426" s="384"/>
      <c r="AD426" s="384"/>
      <c r="AE426" s="384"/>
      <c r="AF426" s="394" t="s">
        <v>218</v>
      </c>
      <c r="AG426" s="395"/>
      <c r="AH426" s="384"/>
      <c r="AI426" s="398">
        <f>AI425*AI423</f>
        <v>0.2056527384083707</v>
      </c>
      <c r="AJ426" s="19" t="str">
        <f>AB416</f>
        <v>µA</v>
      </c>
      <c r="AL426" s="374" t="s">
        <v>217</v>
      </c>
      <c r="AM426" s="384"/>
      <c r="AN426" s="384"/>
      <c r="AO426" s="384"/>
      <c r="AP426" s="384"/>
      <c r="AQ426" s="384"/>
      <c r="AR426" s="394" t="s">
        <v>218</v>
      </c>
      <c r="AS426" s="395"/>
      <c r="AT426" s="384"/>
      <c r="AU426" s="398">
        <f>AU425*AU423</f>
        <v>0.33656059601510491</v>
      </c>
      <c r="AV426" s="19" t="str">
        <f>AN416</f>
        <v>µA</v>
      </c>
      <c r="AX426" s="374" t="s">
        <v>217</v>
      </c>
      <c r="AY426" s="384"/>
      <c r="AZ426" s="384"/>
      <c r="BA426" s="384"/>
      <c r="BB426" s="384"/>
      <c r="BC426" s="384"/>
      <c r="BD426" s="394" t="s">
        <v>218</v>
      </c>
      <c r="BE426" s="395"/>
      <c r="BF426" s="384"/>
      <c r="BG426" s="398">
        <f>BG425*BG423</f>
        <v>0.27893493262667279</v>
      </c>
      <c r="BH426" s="19" t="str">
        <f>AZ416</f>
        <v>µA</v>
      </c>
      <c r="BI426" s="402"/>
    </row>
    <row r="427" spans="1:61" x14ac:dyDescent="0.35">
      <c r="A427" s="402"/>
      <c r="B427" s="396"/>
      <c r="C427" s="396"/>
      <c r="D427" s="396"/>
      <c r="E427" s="396"/>
      <c r="F427" s="396"/>
      <c r="G427" s="396"/>
      <c r="H427" s="396"/>
      <c r="I427" s="396"/>
      <c r="J427" s="396"/>
      <c r="K427" s="388">
        <f>(K426/C416)*100</f>
        <v>0.45597727991324394</v>
      </c>
      <c r="L427" s="19" t="s">
        <v>219</v>
      </c>
      <c r="N427" s="396"/>
      <c r="O427" s="396"/>
      <c r="P427" s="396"/>
      <c r="Q427" s="396"/>
      <c r="R427" s="396"/>
      <c r="S427" s="396"/>
      <c r="T427" s="396"/>
      <c r="U427" s="396"/>
      <c r="V427" s="396"/>
      <c r="W427" s="388">
        <f>(W426/O416)*100</f>
        <v>1.836397175118577</v>
      </c>
      <c r="X427" s="19" t="s">
        <v>219</v>
      </c>
      <c r="Z427" s="396"/>
      <c r="AA427" s="396"/>
      <c r="AB427" s="396"/>
      <c r="AC427" s="396"/>
      <c r="AD427" s="396"/>
      <c r="AE427" s="396"/>
      <c r="AF427" s="396"/>
      <c r="AG427" s="396"/>
      <c r="AH427" s="396"/>
      <c r="AI427" s="388">
        <f>(AI426/AA416)*100</f>
        <v>0.4113054768167414</v>
      </c>
      <c r="AJ427" s="19" t="s">
        <v>219</v>
      </c>
      <c r="AL427" s="396"/>
      <c r="AM427" s="396"/>
      <c r="AN427" s="396"/>
      <c r="AO427" s="396"/>
      <c r="AP427" s="396"/>
      <c r="AQ427" s="396"/>
      <c r="AR427" s="396"/>
      <c r="AS427" s="396"/>
      <c r="AT427" s="396"/>
      <c r="AU427" s="388">
        <f>(AU426/AM416)*100</f>
        <v>0.67312119203020981</v>
      </c>
      <c r="AV427" s="19" t="s">
        <v>219</v>
      </c>
      <c r="AX427" s="396"/>
      <c r="AY427" s="396"/>
      <c r="AZ427" s="396"/>
      <c r="BA427" s="396"/>
      <c r="BB427" s="396"/>
      <c r="BC427" s="396"/>
      <c r="BD427" s="396"/>
      <c r="BE427" s="396"/>
      <c r="BF427" s="396"/>
      <c r="BG427" s="388">
        <f>(BG426/AY416)*100</f>
        <v>0.55786986525334559</v>
      </c>
      <c r="BH427" s="19" t="s">
        <v>219</v>
      </c>
      <c r="BI427" s="402"/>
    </row>
    <row r="428" spans="1:61" x14ac:dyDescent="0.35">
      <c r="A428" s="402"/>
      <c r="B428" s="396" t="s">
        <v>193</v>
      </c>
      <c r="C428" s="77">
        <f>ID!D126</f>
        <v>100</v>
      </c>
      <c r="D428" s="397" t="s">
        <v>222</v>
      </c>
      <c r="N428" s="396" t="s">
        <v>193</v>
      </c>
      <c r="O428" s="77">
        <f>ID!D133</f>
        <v>100</v>
      </c>
      <c r="P428" s="397" t="s">
        <v>222</v>
      </c>
      <c r="Z428" s="396" t="s">
        <v>193</v>
      </c>
      <c r="AA428" s="77">
        <f>ID!D140</f>
        <v>100</v>
      </c>
      <c r="AB428" s="397" t="s">
        <v>222</v>
      </c>
      <c r="AL428" s="396" t="s">
        <v>193</v>
      </c>
      <c r="AM428" s="77">
        <f>ID!D147</f>
        <v>100</v>
      </c>
      <c r="AN428" s="397" t="s">
        <v>222</v>
      </c>
      <c r="AX428" s="396" t="s">
        <v>193</v>
      </c>
      <c r="AY428" s="77">
        <f>ID!D154</f>
        <v>100</v>
      </c>
      <c r="AZ428" s="397" t="s">
        <v>222</v>
      </c>
      <c r="BI428" s="402"/>
    </row>
    <row r="429" spans="1:61" x14ac:dyDescent="0.35">
      <c r="A429" s="402"/>
      <c r="B429" s="372" t="s">
        <v>194</v>
      </c>
      <c r="C429" s="373" t="s">
        <v>72</v>
      </c>
      <c r="D429" s="373" t="s">
        <v>195</v>
      </c>
      <c r="E429" s="372" t="s">
        <v>196</v>
      </c>
      <c r="F429" s="372" t="s">
        <v>197</v>
      </c>
      <c r="G429" s="372" t="s">
        <v>198</v>
      </c>
      <c r="H429" s="372" t="s">
        <v>199</v>
      </c>
      <c r="I429" s="372" t="s">
        <v>200</v>
      </c>
      <c r="J429" s="372" t="s">
        <v>201</v>
      </c>
      <c r="K429" s="372" t="s">
        <v>202</v>
      </c>
      <c r="L429" s="373" t="s">
        <v>203</v>
      </c>
      <c r="N429" s="372" t="s">
        <v>194</v>
      </c>
      <c r="O429" s="373" t="s">
        <v>72</v>
      </c>
      <c r="P429" s="373" t="s">
        <v>195</v>
      </c>
      <c r="Q429" s="372" t="s">
        <v>196</v>
      </c>
      <c r="R429" s="372" t="s">
        <v>197</v>
      </c>
      <c r="S429" s="372" t="s">
        <v>198</v>
      </c>
      <c r="T429" s="372" t="s">
        <v>199</v>
      </c>
      <c r="U429" s="372" t="s">
        <v>200</v>
      </c>
      <c r="V429" s="372" t="s">
        <v>201</v>
      </c>
      <c r="W429" s="372" t="s">
        <v>202</v>
      </c>
      <c r="X429" s="373" t="s">
        <v>203</v>
      </c>
      <c r="Z429" s="372" t="s">
        <v>194</v>
      </c>
      <c r="AA429" s="373" t="s">
        <v>72</v>
      </c>
      <c r="AB429" s="373" t="s">
        <v>195</v>
      </c>
      <c r="AC429" s="372" t="s">
        <v>196</v>
      </c>
      <c r="AD429" s="372" t="s">
        <v>197</v>
      </c>
      <c r="AE429" s="372" t="s">
        <v>198</v>
      </c>
      <c r="AF429" s="372" t="s">
        <v>199</v>
      </c>
      <c r="AG429" s="372" t="s">
        <v>200</v>
      </c>
      <c r="AH429" s="372" t="s">
        <v>201</v>
      </c>
      <c r="AI429" s="372" t="s">
        <v>202</v>
      </c>
      <c r="AJ429" s="373" t="s">
        <v>203</v>
      </c>
      <c r="AL429" s="372" t="s">
        <v>194</v>
      </c>
      <c r="AM429" s="373" t="s">
        <v>72</v>
      </c>
      <c r="AN429" s="373" t="s">
        <v>195</v>
      </c>
      <c r="AO429" s="372" t="s">
        <v>196</v>
      </c>
      <c r="AP429" s="372" t="s">
        <v>197</v>
      </c>
      <c r="AQ429" s="372" t="s">
        <v>198</v>
      </c>
      <c r="AR429" s="372" t="s">
        <v>199</v>
      </c>
      <c r="AS429" s="372" t="s">
        <v>200</v>
      </c>
      <c r="AT429" s="372" t="s">
        <v>201</v>
      </c>
      <c r="AU429" s="372" t="s">
        <v>202</v>
      </c>
      <c r="AV429" s="373" t="s">
        <v>203</v>
      </c>
      <c r="AX429" s="372" t="s">
        <v>194</v>
      </c>
      <c r="AY429" s="373" t="s">
        <v>72</v>
      </c>
      <c r="AZ429" s="373" t="s">
        <v>195</v>
      </c>
      <c r="BA429" s="372" t="s">
        <v>196</v>
      </c>
      <c r="BB429" s="372" t="s">
        <v>197</v>
      </c>
      <c r="BC429" s="372" t="s">
        <v>198</v>
      </c>
      <c r="BD429" s="372" t="s">
        <v>199</v>
      </c>
      <c r="BE429" s="372" t="s">
        <v>200</v>
      </c>
      <c r="BF429" s="372" t="s">
        <v>201</v>
      </c>
      <c r="BG429" s="372" t="s">
        <v>202</v>
      </c>
      <c r="BH429" s="373" t="s">
        <v>203</v>
      </c>
      <c r="BI429" s="402"/>
    </row>
    <row r="430" spans="1:61" x14ac:dyDescent="0.35">
      <c r="A430" s="402"/>
      <c r="B430" s="374" t="s">
        <v>223</v>
      </c>
      <c r="C430" s="19" t="str">
        <f>D428</f>
        <v>µA</v>
      </c>
      <c r="D430" s="375" t="s">
        <v>205</v>
      </c>
      <c r="E430" s="376">
        <f>'Sert Time Electronics'!X184</f>
        <v>0.21679483388678683</v>
      </c>
      <c r="F430" s="377">
        <f>SQRT(5)</f>
        <v>2.2360679774997898</v>
      </c>
      <c r="G430" s="375">
        <f>5-1</f>
        <v>4</v>
      </c>
      <c r="H430" s="377">
        <f>E430/F430</f>
        <v>9.6953597148326048E-2</v>
      </c>
      <c r="I430" s="375">
        <v>1</v>
      </c>
      <c r="J430" s="377">
        <f>H430*I430</f>
        <v>9.6953597148326048E-2</v>
      </c>
      <c r="K430" s="378">
        <f>J430^2</f>
        <v>9.3999999999998963E-3</v>
      </c>
      <c r="L430" s="379">
        <f>K430^2/G430</f>
        <v>2.2089999999999512E-5</v>
      </c>
      <c r="N430" s="374" t="s">
        <v>223</v>
      </c>
      <c r="O430" s="19" t="str">
        <f>P428</f>
        <v>µA</v>
      </c>
      <c r="P430" s="375" t="s">
        <v>205</v>
      </c>
      <c r="Q430" s="376">
        <f>'Sert Time Electronics'!X192</f>
        <v>0.46043457732885357</v>
      </c>
      <c r="R430" s="377">
        <f>SQRT(5)</f>
        <v>2.2360679774997898</v>
      </c>
      <c r="S430" s="375">
        <f>5-1</f>
        <v>4</v>
      </c>
      <c r="T430" s="377">
        <f>Q430/R430</f>
        <v>0.20591260281974003</v>
      </c>
      <c r="U430" s="375">
        <v>1</v>
      </c>
      <c r="V430" s="377">
        <f>T430*U430</f>
        <v>0.20591260281974003</v>
      </c>
      <c r="W430" s="378">
        <f>V430^2</f>
        <v>4.2400000000000007E-2</v>
      </c>
      <c r="X430" s="379">
        <f>W430^2/S430</f>
        <v>4.4944000000000017E-4</v>
      </c>
      <c r="Z430" s="374" t="s">
        <v>223</v>
      </c>
      <c r="AA430" s="19" t="str">
        <f>AB428</f>
        <v>µA</v>
      </c>
      <c r="AB430" s="375" t="s">
        <v>205</v>
      </c>
      <c r="AC430" s="376">
        <f>'Sert Time Electronics'!X200</f>
        <v>0.25884358211089581</v>
      </c>
      <c r="AD430" s="377">
        <f>SQRT(5)</f>
        <v>2.2360679774997898</v>
      </c>
      <c r="AE430" s="375">
        <f>5-1</f>
        <v>4</v>
      </c>
      <c r="AF430" s="377">
        <f>AC430/AD430</f>
        <v>0.11575836902790231</v>
      </c>
      <c r="AG430" s="375">
        <v>1</v>
      </c>
      <c r="AH430" s="377">
        <f>AF430*AG430</f>
        <v>0.11575836902790231</v>
      </c>
      <c r="AI430" s="378">
        <f>AH430^2</f>
        <v>1.3400000000000011E-2</v>
      </c>
      <c r="AJ430" s="379">
        <f>AI430^2/AE430</f>
        <v>4.4890000000000073E-5</v>
      </c>
      <c r="AL430" s="374" t="s">
        <v>223</v>
      </c>
      <c r="AM430" s="19" t="str">
        <f>AN428</f>
        <v>µA</v>
      </c>
      <c r="AN430" s="375" t="s">
        <v>205</v>
      </c>
      <c r="AO430" s="376">
        <f>'Sert Time Electronics'!X208</f>
        <v>0.25884358211089581</v>
      </c>
      <c r="AP430" s="377">
        <f>SQRT(5)</f>
        <v>2.2360679774997898</v>
      </c>
      <c r="AQ430" s="375">
        <f>5-1</f>
        <v>4</v>
      </c>
      <c r="AR430" s="377">
        <f>AO430/AP430</f>
        <v>0.11575836902790231</v>
      </c>
      <c r="AS430" s="375">
        <v>1</v>
      </c>
      <c r="AT430" s="377">
        <f>AR430*AS430</f>
        <v>0.11575836902790231</v>
      </c>
      <c r="AU430" s="378">
        <f>AT430^2</f>
        <v>1.3400000000000011E-2</v>
      </c>
      <c r="AV430" s="379">
        <f>AU430^2/AQ430</f>
        <v>4.4890000000000073E-5</v>
      </c>
      <c r="AX430" s="374" t="s">
        <v>223</v>
      </c>
      <c r="AY430" s="19" t="str">
        <f>AZ428</f>
        <v>µA</v>
      </c>
      <c r="AZ430" s="375" t="s">
        <v>205</v>
      </c>
      <c r="BA430" s="376">
        <f>'Sert Time Electronics'!X216</f>
        <v>0.23874672772626446</v>
      </c>
      <c r="BB430" s="377">
        <f>SQRT(5)</f>
        <v>2.2360679774997898</v>
      </c>
      <c r="BC430" s="375">
        <f>5-1</f>
        <v>4</v>
      </c>
      <c r="BD430" s="377">
        <f>BA430/BB430</f>
        <v>0.10677078252031222</v>
      </c>
      <c r="BE430" s="375">
        <v>1</v>
      </c>
      <c r="BF430" s="377">
        <f>BD430*BE430</f>
        <v>0.10677078252031222</v>
      </c>
      <c r="BG430" s="378">
        <f>BF430^2</f>
        <v>1.139999999999981E-2</v>
      </c>
      <c r="BH430" s="379">
        <f>BG430^2/BC430</f>
        <v>3.2489999999998911E-5</v>
      </c>
      <c r="BI430" s="402"/>
    </row>
    <row r="431" spans="1:61" x14ac:dyDescent="0.35">
      <c r="A431" s="402"/>
      <c r="B431" s="380" t="s">
        <v>206</v>
      </c>
      <c r="C431" s="19" t="str">
        <f>C430</f>
        <v>µA</v>
      </c>
      <c r="D431" s="375" t="s">
        <v>205</v>
      </c>
      <c r="E431" s="381">
        <f>'Sert Time Electronics'!AA184</f>
        <v>0.1456548688723027</v>
      </c>
      <c r="F431" s="377">
        <v>2</v>
      </c>
      <c r="G431" s="375">
        <f>0.5*(100/10)^2</f>
        <v>50</v>
      </c>
      <c r="H431" s="377">
        <f>E431/F431</f>
        <v>7.2827434436151348E-2</v>
      </c>
      <c r="I431" s="375">
        <v>1</v>
      </c>
      <c r="J431" s="377">
        <f>H431*I431</f>
        <v>7.2827434436151348E-2</v>
      </c>
      <c r="K431" s="378">
        <f>J431^2</f>
        <v>5.3038352065519229E-3</v>
      </c>
      <c r="L431" s="379">
        <f>K431^2/G431</f>
        <v>5.626133579651936E-7</v>
      </c>
      <c r="N431" s="380" t="s">
        <v>206</v>
      </c>
      <c r="O431" s="19" t="str">
        <f>O430</f>
        <v>µA</v>
      </c>
      <c r="P431" s="375" t="s">
        <v>205</v>
      </c>
      <c r="Q431" s="381">
        <f>'Sert Time Electronics'!AA192</f>
        <v>0.1456548688723027</v>
      </c>
      <c r="R431" s="377">
        <v>2</v>
      </c>
      <c r="S431" s="375">
        <f>0.5*(100/10)^2</f>
        <v>50</v>
      </c>
      <c r="T431" s="377">
        <f>Q431/R431</f>
        <v>7.2827434436151348E-2</v>
      </c>
      <c r="U431" s="375">
        <v>1</v>
      </c>
      <c r="V431" s="377">
        <f>T431*U431</f>
        <v>7.2827434436151348E-2</v>
      </c>
      <c r="W431" s="378">
        <f>V431^2</f>
        <v>5.3038352065519229E-3</v>
      </c>
      <c r="X431" s="379">
        <f>W431^2/S431</f>
        <v>5.626133579651936E-7</v>
      </c>
      <c r="Z431" s="380" t="s">
        <v>206</v>
      </c>
      <c r="AA431" s="19" t="str">
        <f>AA430</f>
        <v>µA</v>
      </c>
      <c r="AB431" s="375" t="s">
        <v>205</v>
      </c>
      <c r="AC431" s="381">
        <f>'Sert Time Electronics'!AA200</f>
        <v>0.1456548688723027</v>
      </c>
      <c r="AD431" s="377">
        <v>2</v>
      </c>
      <c r="AE431" s="375">
        <f>0.5*(100/10)^2</f>
        <v>50</v>
      </c>
      <c r="AF431" s="377">
        <f>AC431/AD431</f>
        <v>7.2827434436151348E-2</v>
      </c>
      <c r="AG431" s="375">
        <v>1</v>
      </c>
      <c r="AH431" s="377">
        <f>AF431*AG431</f>
        <v>7.2827434436151348E-2</v>
      </c>
      <c r="AI431" s="378">
        <f>AH431^2</f>
        <v>5.3038352065519229E-3</v>
      </c>
      <c r="AJ431" s="379">
        <f>AI431^2/AE431</f>
        <v>5.626133579651936E-7</v>
      </c>
      <c r="AL431" s="380" t="s">
        <v>206</v>
      </c>
      <c r="AM431" s="19" t="str">
        <f>AM430</f>
        <v>µA</v>
      </c>
      <c r="AN431" s="375" t="s">
        <v>205</v>
      </c>
      <c r="AO431" s="381">
        <f>'Sert Time Electronics'!AA208</f>
        <v>0.1456548688723027</v>
      </c>
      <c r="AP431" s="377">
        <v>2</v>
      </c>
      <c r="AQ431" s="375">
        <f>0.5*(100/10)^2</f>
        <v>50</v>
      </c>
      <c r="AR431" s="377">
        <f>AO431/AP431</f>
        <v>7.2827434436151348E-2</v>
      </c>
      <c r="AS431" s="375">
        <v>1</v>
      </c>
      <c r="AT431" s="377">
        <f>AR431*AS431</f>
        <v>7.2827434436151348E-2</v>
      </c>
      <c r="AU431" s="378">
        <f>AT431^2</f>
        <v>5.3038352065519229E-3</v>
      </c>
      <c r="AV431" s="379">
        <f>AU431^2/AQ431</f>
        <v>5.626133579651936E-7</v>
      </c>
      <c r="AX431" s="380" t="s">
        <v>206</v>
      </c>
      <c r="AY431" s="19" t="str">
        <f>AY430</f>
        <v>µA</v>
      </c>
      <c r="AZ431" s="375" t="s">
        <v>205</v>
      </c>
      <c r="BA431" s="381">
        <f>'Sert Time Electronics'!AA216</f>
        <v>0.14571293470426444</v>
      </c>
      <c r="BB431" s="377">
        <v>2</v>
      </c>
      <c r="BC431" s="375">
        <f>0.5*(100/10)^2</f>
        <v>50</v>
      </c>
      <c r="BD431" s="377">
        <f>BA431/BB431</f>
        <v>7.285646735213222E-2</v>
      </c>
      <c r="BE431" s="375">
        <v>1</v>
      </c>
      <c r="BF431" s="377">
        <f>BD431*BE431</f>
        <v>7.285646735213222E-2</v>
      </c>
      <c r="BG431" s="378">
        <f>BF431^2</f>
        <v>5.3080648350323084E-3</v>
      </c>
      <c r="BH431" s="379">
        <f>BG431^2/BC431</f>
        <v>5.6351104585813133E-7</v>
      </c>
      <c r="BI431" s="402"/>
    </row>
    <row r="432" spans="1:61" x14ac:dyDescent="0.35">
      <c r="A432" s="402"/>
      <c r="B432" s="380" t="s">
        <v>207</v>
      </c>
      <c r="C432" s="19" t="str">
        <f>C431</f>
        <v>µA</v>
      </c>
      <c r="D432" s="375" t="s">
        <v>208</v>
      </c>
      <c r="E432" s="382">
        <f>'Sert Time Electronics'!Y184</f>
        <v>0.05</v>
      </c>
      <c r="F432" s="377">
        <f>SQRT(3)</f>
        <v>1.7320508075688772</v>
      </c>
      <c r="G432" s="375">
        <v>50</v>
      </c>
      <c r="H432" s="377">
        <f>E432/F432</f>
        <v>2.8867513459481291E-2</v>
      </c>
      <c r="I432" s="375">
        <v>1</v>
      </c>
      <c r="J432" s="377">
        <f>H432*I432</f>
        <v>2.8867513459481291E-2</v>
      </c>
      <c r="K432" s="378">
        <f>J432^2</f>
        <v>8.333333333333335E-4</v>
      </c>
      <c r="L432" s="379">
        <f>K432^2/G432</f>
        <v>1.3888888888888894E-8</v>
      </c>
      <c r="N432" s="380" t="s">
        <v>207</v>
      </c>
      <c r="O432" s="19" t="str">
        <f>O431</f>
        <v>µA</v>
      </c>
      <c r="P432" s="375" t="s">
        <v>208</v>
      </c>
      <c r="Q432" s="382">
        <f>'Sert Time Electronics'!Y192</f>
        <v>0.05</v>
      </c>
      <c r="R432" s="377">
        <f>SQRT(3)</f>
        <v>1.7320508075688772</v>
      </c>
      <c r="S432" s="375">
        <v>50</v>
      </c>
      <c r="T432" s="377">
        <f>Q432/R432</f>
        <v>2.8867513459481291E-2</v>
      </c>
      <c r="U432" s="375">
        <v>1</v>
      </c>
      <c r="V432" s="377">
        <f>T432*U432</f>
        <v>2.8867513459481291E-2</v>
      </c>
      <c r="W432" s="378">
        <f>V432^2</f>
        <v>8.333333333333335E-4</v>
      </c>
      <c r="X432" s="379">
        <f>W432^2/S432</f>
        <v>1.3888888888888894E-8</v>
      </c>
      <c r="Z432" s="380" t="s">
        <v>207</v>
      </c>
      <c r="AA432" s="19" t="str">
        <f>AA431</f>
        <v>µA</v>
      </c>
      <c r="AB432" s="375" t="s">
        <v>208</v>
      </c>
      <c r="AC432" s="382">
        <f>'Sert Time Electronics'!Y200</f>
        <v>0.05</v>
      </c>
      <c r="AD432" s="377">
        <f>SQRT(3)</f>
        <v>1.7320508075688772</v>
      </c>
      <c r="AE432" s="375">
        <v>50</v>
      </c>
      <c r="AF432" s="377">
        <f>AC432/AD432</f>
        <v>2.8867513459481291E-2</v>
      </c>
      <c r="AG432" s="375">
        <v>1</v>
      </c>
      <c r="AH432" s="377">
        <f>AF432*AG432</f>
        <v>2.8867513459481291E-2</v>
      </c>
      <c r="AI432" s="378">
        <f>AH432^2</f>
        <v>8.333333333333335E-4</v>
      </c>
      <c r="AJ432" s="379">
        <f>AI432^2/AE432</f>
        <v>1.3888888888888894E-8</v>
      </c>
      <c r="AL432" s="380" t="s">
        <v>207</v>
      </c>
      <c r="AM432" s="19" t="str">
        <f>AM431</f>
        <v>µA</v>
      </c>
      <c r="AN432" s="375" t="s">
        <v>208</v>
      </c>
      <c r="AO432" s="382">
        <f>'Sert Time Electronics'!Y208</f>
        <v>0.05</v>
      </c>
      <c r="AP432" s="377">
        <f>SQRT(3)</f>
        <v>1.7320508075688772</v>
      </c>
      <c r="AQ432" s="375">
        <v>50</v>
      </c>
      <c r="AR432" s="377">
        <f>AO432/AP432</f>
        <v>2.8867513459481291E-2</v>
      </c>
      <c r="AS432" s="375">
        <v>1</v>
      </c>
      <c r="AT432" s="377">
        <f>AR432*AS432</f>
        <v>2.8867513459481291E-2</v>
      </c>
      <c r="AU432" s="378">
        <f>AT432^2</f>
        <v>8.333333333333335E-4</v>
      </c>
      <c r="AV432" s="379">
        <f>AU432^2/AQ432</f>
        <v>1.3888888888888894E-8</v>
      </c>
      <c r="AX432" s="380" t="s">
        <v>207</v>
      </c>
      <c r="AY432" s="19" t="str">
        <f>AY431</f>
        <v>µA</v>
      </c>
      <c r="AZ432" s="375" t="s">
        <v>208</v>
      </c>
      <c r="BA432" s="382">
        <f>'Sert Time Electronics'!Y216</f>
        <v>0.05</v>
      </c>
      <c r="BB432" s="377">
        <f>SQRT(3)</f>
        <v>1.7320508075688772</v>
      </c>
      <c r="BC432" s="375">
        <v>50</v>
      </c>
      <c r="BD432" s="377">
        <f>BA432/BB432</f>
        <v>2.8867513459481291E-2</v>
      </c>
      <c r="BE432" s="375">
        <v>1</v>
      </c>
      <c r="BF432" s="377">
        <f>BD432*BE432</f>
        <v>2.8867513459481291E-2</v>
      </c>
      <c r="BG432" s="378">
        <f>BF432^2</f>
        <v>8.333333333333335E-4</v>
      </c>
      <c r="BH432" s="379">
        <f>BG432^2/BC432</f>
        <v>1.3888888888888894E-8</v>
      </c>
      <c r="BI432" s="402"/>
    </row>
    <row r="433" spans="1:61" x14ac:dyDescent="0.35">
      <c r="A433" s="402"/>
      <c r="B433" s="383" t="s">
        <v>209</v>
      </c>
      <c r="C433" s="19" t="str">
        <f>C432</f>
        <v>µA</v>
      </c>
      <c r="D433" s="375" t="s">
        <v>208</v>
      </c>
      <c r="E433" s="381">
        <f>'Sert Time Electronics'!Z184</f>
        <v>4.8551622957434232E-2</v>
      </c>
      <c r="F433" s="377">
        <f>SQRT(3)</f>
        <v>1.7320508075688772</v>
      </c>
      <c r="G433" s="375">
        <v>50</v>
      </c>
      <c r="H433" s="377">
        <f>E433/F433</f>
        <v>2.803129258406787E-2</v>
      </c>
      <c r="I433" s="375">
        <v>1</v>
      </c>
      <c r="J433" s="377">
        <f>H433*I433</f>
        <v>2.803129258406787E-2</v>
      </c>
      <c r="K433" s="378">
        <f>J433^2</f>
        <v>7.857533639336183E-4</v>
      </c>
      <c r="L433" s="379">
        <f>K433^2/G433</f>
        <v>1.2348166978659944E-8</v>
      </c>
      <c r="N433" s="383" t="s">
        <v>209</v>
      </c>
      <c r="O433" s="19" t="str">
        <f>O432</f>
        <v>µA</v>
      </c>
      <c r="P433" s="375" t="s">
        <v>208</v>
      </c>
      <c r="Q433" s="381">
        <f>'Sert Time Electronics'!Z192</f>
        <v>4.8551622957434225E-2</v>
      </c>
      <c r="R433" s="377">
        <f>SQRT(3)</f>
        <v>1.7320508075688772</v>
      </c>
      <c r="S433" s="375">
        <v>50</v>
      </c>
      <c r="T433" s="377">
        <f>Q433/R433</f>
        <v>2.8031292584067866E-2</v>
      </c>
      <c r="U433" s="375">
        <v>1</v>
      </c>
      <c r="V433" s="377">
        <f>T433*U433</f>
        <v>2.8031292584067866E-2</v>
      </c>
      <c r="W433" s="378">
        <f>V433^2</f>
        <v>7.857533639336182E-4</v>
      </c>
      <c r="X433" s="379">
        <f>W433^2/S433</f>
        <v>1.2348166978659941E-8</v>
      </c>
      <c r="Z433" s="383" t="s">
        <v>209</v>
      </c>
      <c r="AA433" s="19" t="str">
        <f>AA432</f>
        <v>µA</v>
      </c>
      <c r="AB433" s="375" t="s">
        <v>208</v>
      </c>
      <c r="AC433" s="381">
        <f>'Sert Time Electronics'!Z200</f>
        <v>4.8551622957434232E-2</v>
      </c>
      <c r="AD433" s="377">
        <f>SQRT(3)</f>
        <v>1.7320508075688772</v>
      </c>
      <c r="AE433" s="375">
        <v>50</v>
      </c>
      <c r="AF433" s="377">
        <f>AC433/AD433</f>
        <v>2.803129258406787E-2</v>
      </c>
      <c r="AG433" s="375">
        <v>1</v>
      </c>
      <c r="AH433" s="377">
        <f>AF433*AG433</f>
        <v>2.803129258406787E-2</v>
      </c>
      <c r="AI433" s="378">
        <f>AH433^2</f>
        <v>7.857533639336183E-4</v>
      </c>
      <c r="AJ433" s="379">
        <f>AI433^2/AE433</f>
        <v>1.2348166978659944E-8</v>
      </c>
      <c r="AL433" s="383" t="s">
        <v>209</v>
      </c>
      <c r="AM433" s="19" t="str">
        <f>AM432</f>
        <v>µA</v>
      </c>
      <c r="AN433" s="375" t="s">
        <v>208</v>
      </c>
      <c r="AO433" s="381">
        <f>'Sert Time Electronics'!Z208</f>
        <v>4.8551622957434232E-2</v>
      </c>
      <c r="AP433" s="377">
        <f>SQRT(3)</f>
        <v>1.7320508075688772</v>
      </c>
      <c r="AQ433" s="375">
        <v>50</v>
      </c>
      <c r="AR433" s="377">
        <f>AO433/AP433</f>
        <v>2.803129258406787E-2</v>
      </c>
      <c r="AS433" s="375">
        <v>1</v>
      </c>
      <c r="AT433" s="377">
        <f>AR433*AS433</f>
        <v>2.803129258406787E-2</v>
      </c>
      <c r="AU433" s="378">
        <f>AT433^2</f>
        <v>7.857533639336183E-4</v>
      </c>
      <c r="AV433" s="379">
        <f>AU433^2/AQ433</f>
        <v>1.2348166978659944E-8</v>
      </c>
      <c r="AX433" s="383" t="s">
        <v>209</v>
      </c>
      <c r="AY433" s="19" t="str">
        <f>AY432</f>
        <v>µA</v>
      </c>
      <c r="AZ433" s="375" t="s">
        <v>208</v>
      </c>
      <c r="BA433" s="381">
        <f>'Sert Time Electronics'!Z216</f>
        <v>4.8570978234754814E-2</v>
      </c>
      <c r="BB433" s="377">
        <f>SQRT(3)</f>
        <v>1.7320508075688772</v>
      </c>
      <c r="BC433" s="375">
        <v>50</v>
      </c>
      <c r="BD433" s="377">
        <f>BA433/BB433</f>
        <v>2.8042467358639148E-2</v>
      </c>
      <c r="BE433" s="375">
        <v>1</v>
      </c>
      <c r="BF433" s="377">
        <f>BD433*BE433</f>
        <v>2.8042467358639148E-2</v>
      </c>
      <c r="BG433" s="378">
        <f>BF433^2</f>
        <v>7.8637997556034206E-4</v>
      </c>
      <c r="BH433" s="379">
        <f>BG433^2/BC433</f>
        <v>1.2367869319245684E-8</v>
      </c>
      <c r="BI433" s="402"/>
    </row>
    <row r="434" spans="1:61" x14ac:dyDescent="0.35">
      <c r="A434" s="402"/>
      <c r="B434" s="374" t="s">
        <v>210</v>
      </c>
      <c r="C434" s="384"/>
      <c r="D434" s="384"/>
      <c r="E434" s="384"/>
      <c r="F434" s="384"/>
      <c r="G434" s="384"/>
      <c r="H434" s="384"/>
      <c r="I434" s="384"/>
      <c r="J434" s="384"/>
      <c r="K434" s="378">
        <f>SUM(K430:K433)</f>
        <v>1.632292190381877E-2</v>
      </c>
      <c r="L434" s="379">
        <f>SUM(L430:L433)</f>
        <v>2.2678850413832252E-5</v>
      </c>
      <c r="N434" s="374" t="s">
        <v>210</v>
      </c>
      <c r="O434" s="384"/>
      <c r="P434" s="384"/>
      <c r="Q434" s="384"/>
      <c r="R434" s="384"/>
      <c r="S434" s="384"/>
      <c r="T434" s="384"/>
      <c r="U434" s="384"/>
      <c r="V434" s="384"/>
      <c r="W434" s="378">
        <f>SUM(W430:W433)</f>
        <v>4.932292190381888E-2</v>
      </c>
      <c r="X434" s="379">
        <f>SUM(X430:X433)</f>
        <v>4.5002885041383294E-4</v>
      </c>
      <c r="Z434" s="374" t="s">
        <v>210</v>
      </c>
      <c r="AA434" s="384"/>
      <c r="AB434" s="384"/>
      <c r="AC434" s="384"/>
      <c r="AD434" s="384"/>
      <c r="AE434" s="384"/>
      <c r="AF434" s="384"/>
      <c r="AG434" s="384"/>
      <c r="AH434" s="384"/>
      <c r="AI434" s="378">
        <f>SUM(AI430:AI433)</f>
        <v>2.0322921903818889E-2</v>
      </c>
      <c r="AJ434" s="379">
        <f>SUM(AJ430:AJ433)</f>
        <v>4.5478850413832813E-5</v>
      </c>
      <c r="AL434" s="374" t="s">
        <v>210</v>
      </c>
      <c r="AM434" s="384"/>
      <c r="AN434" s="384"/>
      <c r="AO434" s="384"/>
      <c r="AP434" s="384"/>
      <c r="AQ434" s="384"/>
      <c r="AR434" s="384"/>
      <c r="AS434" s="384"/>
      <c r="AT434" s="384"/>
      <c r="AU434" s="378">
        <f>SUM(AU430:AU433)</f>
        <v>2.0322921903818889E-2</v>
      </c>
      <c r="AV434" s="379">
        <f>SUM(AV430:AV433)</f>
        <v>4.5478850413832813E-5</v>
      </c>
      <c r="AX434" s="374" t="s">
        <v>210</v>
      </c>
      <c r="AY434" s="384"/>
      <c r="AZ434" s="384"/>
      <c r="BA434" s="384"/>
      <c r="BB434" s="384"/>
      <c r="BC434" s="384"/>
      <c r="BD434" s="384"/>
      <c r="BE434" s="384"/>
      <c r="BF434" s="384"/>
      <c r="BG434" s="378">
        <f>SUM(BG430:BG433)</f>
        <v>1.8327778143925794E-2</v>
      </c>
      <c r="BH434" s="379">
        <f>SUM(BH430:BH433)</f>
        <v>3.3079767804065179E-5</v>
      </c>
      <c r="BI434" s="402"/>
    </row>
    <row r="435" spans="1:61" ht="15" x14ac:dyDescent="0.4">
      <c r="A435" s="402"/>
      <c r="B435" s="374" t="s">
        <v>211</v>
      </c>
      <c r="C435" s="384"/>
      <c r="D435" s="384"/>
      <c r="E435" s="384"/>
      <c r="F435" s="384"/>
      <c r="G435" s="384"/>
      <c r="H435" s="385" t="s">
        <v>212</v>
      </c>
      <c r="I435" s="386"/>
      <c r="J435" s="384"/>
      <c r="K435" s="387">
        <f>SQRT(K434)</f>
        <v>0.12776119091421609</v>
      </c>
      <c r="L435" s="388"/>
      <c r="N435" s="374" t="s">
        <v>211</v>
      </c>
      <c r="O435" s="384"/>
      <c r="P435" s="384"/>
      <c r="Q435" s="384"/>
      <c r="R435" s="384"/>
      <c r="S435" s="384"/>
      <c r="T435" s="385" t="s">
        <v>212</v>
      </c>
      <c r="U435" s="386"/>
      <c r="V435" s="384"/>
      <c r="W435" s="387">
        <f>SQRT(W434)</f>
        <v>0.22208764464467373</v>
      </c>
      <c r="X435" s="388"/>
      <c r="Z435" s="374" t="s">
        <v>211</v>
      </c>
      <c r="AA435" s="384"/>
      <c r="AB435" s="384"/>
      <c r="AC435" s="384"/>
      <c r="AD435" s="384"/>
      <c r="AE435" s="384"/>
      <c r="AF435" s="385" t="s">
        <v>212</v>
      </c>
      <c r="AG435" s="386"/>
      <c r="AH435" s="384"/>
      <c r="AI435" s="387">
        <f>SQRT(AI434)</f>
        <v>0.14255848590602696</v>
      </c>
      <c r="AJ435" s="388"/>
      <c r="AL435" s="374" t="s">
        <v>211</v>
      </c>
      <c r="AM435" s="384"/>
      <c r="AN435" s="384"/>
      <c r="AO435" s="384"/>
      <c r="AP435" s="384"/>
      <c r="AQ435" s="384"/>
      <c r="AR435" s="385" t="s">
        <v>212</v>
      </c>
      <c r="AS435" s="386"/>
      <c r="AT435" s="384"/>
      <c r="AU435" s="387">
        <f>SQRT(AU434)</f>
        <v>0.14255848590602696</v>
      </c>
      <c r="AV435" s="388"/>
      <c r="AX435" s="374" t="s">
        <v>211</v>
      </c>
      <c r="AY435" s="384"/>
      <c r="AZ435" s="384"/>
      <c r="BA435" s="384"/>
      <c r="BB435" s="384"/>
      <c r="BC435" s="384"/>
      <c r="BD435" s="385" t="s">
        <v>212</v>
      </c>
      <c r="BE435" s="386"/>
      <c r="BF435" s="384"/>
      <c r="BG435" s="387">
        <f>SQRT(BG434)</f>
        <v>0.1353801246266445</v>
      </c>
      <c r="BH435" s="388"/>
      <c r="BI435" s="402"/>
    </row>
    <row r="436" spans="1:61" ht="16.5" x14ac:dyDescent="0.4">
      <c r="A436" s="402"/>
      <c r="B436" s="374" t="s">
        <v>213</v>
      </c>
      <c r="C436" s="384"/>
      <c r="D436" s="384"/>
      <c r="E436" s="384"/>
      <c r="F436" s="384"/>
      <c r="G436" s="384"/>
      <c r="H436" s="389" t="s">
        <v>214</v>
      </c>
      <c r="I436" s="390"/>
      <c r="J436" s="384"/>
      <c r="K436" s="375">
        <f>K435^4/L434</f>
        <v>11.748292996176792</v>
      </c>
      <c r="L436" s="388"/>
      <c r="N436" s="374" t="s">
        <v>213</v>
      </c>
      <c r="O436" s="384"/>
      <c r="P436" s="384"/>
      <c r="Q436" s="384"/>
      <c r="R436" s="384"/>
      <c r="S436" s="384"/>
      <c r="T436" s="389" t="s">
        <v>214</v>
      </c>
      <c r="U436" s="390"/>
      <c r="V436" s="384"/>
      <c r="W436" s="375">
        <f>W435^4/X434</f>
        <v>5.4057659256581712</v>
      </c>
      <c r="X436" s="388"/>
      <c r="Z436" s="374" t="s">
        <v>213</v>
      </c>
      <c r="AA436" s="384"/>
      <c r="AB436" s="384"/>
      <c r="AC436" s="384"/>
      <c r="AD436" s="384"/>
      <c r="AE436" s="384"/>
      <c r="AF436" s="389" t="s">
        <v>214</v>
      </c>
      <c r="AG436" s="390"/>
      <c r="AH436" s="384"/>
      <c r="AI436" s="375">
        <f>AI435^4/AJ434</f>
        <v>9.0816093843721557</v>
      </c>
      <c r="AJ436" s="388"/>
      <c r="AL436" s="374" t="s">
        <v>213</v>
      </c>
      <c r="AM436" s="384"/>
      <c r="AN436" s="384"/>
      <c r="AO436" s="384"/>
      <c r="AP436" s="384"/>
      <c r="AQ436" s="384"/>
      <c r="AR436" s="389" t="s">
        <v>214</v>
      </c>
      <c r="AS436" s="390"/>
      <c r="AT436" s="384"/>
      <c r="AU436" s="375">
        <f>AU435^4/AV434</f>
        <v>9.0816093843721557</v>
      </c>
      <c r="AV436" s="388"/>
      <c r="AX436" s="374" t="s">
        <v>213</v>
      </c>
      <c r="AY436" s="384"/>
      <c r="AZ436" s="384"/>
      <c r="BA436" s="384"/>
      <c r="BB436" s="384"/>
      <c r="BC436" s="384"/>
      <c r="BD436" s="389" t="s">
        <v>214</v>
      </c>
      <c r="BE436" s="390"/>
      <c r="BF436" s="384"/>
      <c r="BG436" s="375">
        <f>BG435^4/BH434</f>
        <v>10.154468244232488</v>
      </c>
      <c r="BH436" s="388"/>
      <c r="BI436" s="402"/>
    </row>
    <row r="437" spans="1:61" x14ac:dyDescent="0.35">
      <c r="A437" s="402"/>
      <c r="B437" s="374" t="s">
        <v>215</v>
      </c>
      <c r="C437" s="384"/>
      <c r="D437" s="384"/>
      <c r="E437" s="384"/>
      <c r="F437" s="384"/>
      <c r="G437" s="384"/>
      <c r="H437" s="391" t="s">
        <v>216</v>
      </c>
      <c r="I437" s="392"/>
      <c r="J437" s="384"/>
      <c r="K437" s="377">
        <f>1.95996+(2.37356/K436)+(2.818745/K436^2)+(2.546662/K436^3)+(1.761829/K436^4)+(0.245458/K436^5)+(1.000764/K436^6)</f>
        <v>2.184081326229264</v>
      </c>
      <c r="L437" s="393">
        <f>TINV(0.05,K436)</f>
        <v>2.2009851600916384</v>
      </c>
      <c r="N437" s="374" t="s">
        <v>215</v>
      </c>
      <c r="O437" s="384"/>
      <c r="P437" s="384"/>
      <c r="Q437" s="384"/>
      <c r="R437" s="384"/>
      <c r="S437" s="384"/>
      <c r="T437" s="391" t="s">
        <v>216</v>
      </c>
      <c r="U437" s="392"/>
      <c r="V437" s="384"/>
      <c r="W437" s="377">
        <f>1.95996+(2.37356/W436)+(2.818745/W436^2)+(2.546662/W436^3)+(1.761829/W436^4)+(0.245458/W436^5)+(1.000764/W436^6)</f>
        <v>2.5137757243289451</v>
      </c>
      <c r="X437" s="393">
        <f>TINV(0.05,W436)</f>
        <v>2.570581835636315</v>
      </c>
      <c r="Z437" s="374" t="s">
        <v>215</v>
      </c>
      <c r="AA437" s="384"/>
      <c r="AB437" s="384"/>
      <c r="AC437" s="384"/>
      <c r="AD437" s="384"/>
      <c r="AE437" s="384"/>
      <c r="AF437" s="391" t="s">
        <v>216</v>
      </c>
      <c r="AG437" s="392"/>
      <c r="AH437" s="384"/>
      <c r="AI437" s="377">
        <f>1.95996+(2.37356/AI436)+(2.818745/AI436^2)+(2.546662/AI436^3)+(1.761829/AI436^4)+(0.245458/AI436^5)+(1.000764/AI436^6)</f>
        <v>2.2591604594862922</v>
      </c>
      <c r="AJ437" s="393">
        <f>TINV(0.05,AI436)</f>
        <v>2.2621571627982053</v>
      </c>
      <c r="AL437" s="374" t="s">
        <v>215</v>
      </c>
      <c r="AM437" s="384"/>
      <c r="AN437" s="384"/>
      <c r="AO437" s="384"/>
      <c r="AP437" s="384"/>
      <c r="AQ437" s="384"/>
      <c r="AR437" s="391" t="s">
        <v>216</v>
      </c>
      <c r="AS437" s="392"/>
      <c r="AT437" s="384"/>
      <c r="AU437" s="377">
        <f>1.95996+(2.37356/AU436)+(2.818745/AU436^2)+(2.546662/AU436^3)+(1.761829/AU436^4)+(0.245458/AU436^5)+(1.000764/AU436^6)</f>
        <v>2.2591604594862922</v>
      </c>
      <c r="AV437" s="393">
        <f>TINV(0.05,AU436)</f>
        <v>2.2621571627982053</v>
      </c>
      <c r="AX437" s="374" t="s">
        <v>215</v>
      </c>
      <c r="AY437" s="384"/>
      <c r="AZ437" s="384"/>
      <c r="BA437" s="384"/>
      <c r="BB437" s="384"/>
      <c r="BC437" s="384"/>
      <c r="BD437" s="391" t="s">
        <v>216</v>
      </c>
      <c r="BE437" s="392"/>
      <c r="BF437" s="384"/>
      <c r="BG437" s="377">
        <f>1.95996+(2.37356/BG436)+(2.818745/BG436^2)+(2.546662/BG436^3)+(1.761829/BG436^4)+(0.245458/BG436^5)+(1.000764/BG436^6)</f>
        <v>2.2236428759883116</v>
      </c>
      <c r="BH437" s="393">
        <f>TINV(0.05,BG436)</f>
        <v>2.2281388519862744</v>
      </c>
      <c r="BI437" s="402"/>
    </row>
    <row r="438" spans="1:61" ht="15.5" x14ac:dyDescent="0.35">
      <c r="A438" s="402"/>
      <c r="B438" s="374" t="s">
        <v>217</v>
      </c>
      <c r="C438" s="384"/>
      <c r="D438" s="384"/>
      <c r="E438" s="384"/>
      <c r="F438" s="384"/>
      <c r="G438" s="384"/>
      <c r="H438" s="394" t="s">
        <v>218</v>
      </c>
      <c r="I438" s="395"/>
      <c r="J438" s="384"/>
      <c r="K438" s="398">
        <f>K437*K435</f>
        <v>0.27904083129255125</v>
      </c>
      <c r="L438" s="19" t="str">
        <f>D428</f>
        <v>µA</v>
      </c>
      <c r="N438" s="374" t="s">
        <v>217</v>
      </c>
      <c r="O438" s="384"/>
      <c r="P438" s="384"/>
      <c r="Q438" s="384"/>
      <c r="R438" s="384"/>
      <c r="S438" s="384"/>
      <c r="T438" s="394" t="s">
        <v>218</v>
      </c>
      <c r="U438" s="395"/>
      <c r="V438" s="384"/>
      <c r="W438" s="398">
        <f>W437*W435</f>
        <v>0.55827852978117409</v>
      </c>
      <c r="X438" s="19" t="str">
        <f>P428</f>
        <v>µA</v>
      </c>
      <c r="Z438" s="374" t="s">
        <v>217</v>
      </c>
      <c r="AA438" s="384"/>
      <c r="AB438" s="384"/>
      <c r="AC438" s="384"/>
      <c r="AD438" s="384"/>
      <c r="AE438" s="384"/>
      <c r="AF438" s="394" t="s">
        <v>218</v>
      </c>
      <c r="AG438" s="395"/>
      <c r="AH438" s="384"/>
      <c r="AI438" s="398">
        <f>AI437*AI435</f>
        <v>0.32206249452312996</v>
      </c>
      <c r="AJ438" s="19" t="str">
        <f>AB428</f>
        <v>µA</v>
      </c>
      <c r="AL438" s="374" t="s">
        <v>217</v>
      </c>
      <c r="AM438" s="384"/>
      <c r="AN438" s="384"/>
      <c r="AO438" s="384"/>
      <c r="AP438" s="384"/>
      <c r="AQ438" s="384"/>
      <c r="AR438" s="394" t="s">
        <v>218</v>
      </c>
      <c r="AS438" s="395"/>
      <c r="AT438" s="384"/>
      <c r="AU438" s="398">
        <f>AU437*AU435</f>
        <v>0.32206249452312996</v>
      </c>
      <c r="AV438" s="19" t="str">
        <f>AN428</f>
        <v>µA</v>
      </c>
      <c r="AX438" s="374" t="s">
        <v>217</v>
      </c>
      <c r="AY438" s="384"/>
      <c r="AZ438" s="384"/>
      <c r="BA438" s="384"/>
      <c r="BB438" s="384"/>
      <c r="BC438" s="384"/>
      <c r="BD438" s="394" t="s">
        <v>218</v>
      </c>
      <c r="BE438" s="395"/>
      <c r="BF438" s="384"/>
      <c r="BG438" s="398">
        <f>BG437*BG435</f>
        <v>0.30103704967644784</v>
      </c>
      <c r="BH438" s="19" t="str">
        <f>AZ428</f>
        <v>µA</v>
      </c>
      <c r="BI438" s="402"/>
    </row>
    <row r="439" spans="1:61" x14ac:dyDescent="0.35">
      <c r="A439" s="402"/>
      <c r="B439" s="396"/>
      <c r="C439" s="396"/>
      <c r="D439" s="396"/>
      <c r="E439" s="396"/>
      <c r="F439" s="396"/>
      <c r="G439" s="396"/>
      <c r="H439" s="396"/>
      <c r="I439" s="396"/>
      <c r="J439" s="396"/>
      <c r="K439" s="388">
        <f>(K438/C428)*100</f>
        <v>0.27904083129255125</v>
      </c>
      <c r="L439" s="19" t="s">
        <v>219</v>
      </c>
      <c r="N439" s="396"/>
      <c r="O439" s="396"/>
      <c r="P439" s="396"/>
      <c r="Q439" s="396"/>
      <c r="R439" s="396"/>
      <c r="S439" s="396"/>
      <c r="T439" s="396"/>
      <c r="U439" s="396"/>
      <c r="V439" s="396"/>
      <c r="W439" s="388">
        <f>(W438/O428)*100</f>
        <v>0.55827852978117409</v>
      </c>
      <c r="X439" s="19" t="s">
        <v>219</v>
      </c>
      <c r="Z439" s="396"/>
      <c r="AA439" s="396"/>
      <c r="AB439" s="396"/>
      <c r="AC439" s="396"/>
      <c r="AD439" s="396"/>
      <c r="AE439" s="396"/>
      <c r="AF439" s="396"/>
      <c r="AG439" s="396"/>
      <c r="AH439" s="396"/>
      <c r="AI439" s="388">
        <f>(AI438/AA428)*100</f>
        <v>0.32206249452312996</v>
      </c>
      <c r="AJ439" s="19" t="s">
        <v>219</v>
      </c>
      <c r="AL439" s="396"/>
      <c r="AM439" s="396"/>
      <c r="AN439" s="396"/>
      <c r="AO439" s="396"/>
      <c r="AP439" s="396"/>
      <c r="AQ439" s="396"/>
      <c r="AR439" s="396"/>
      <c r="AS439" s="396"/>
      <c r="AT439" s="396"/>
      <c r="AU439" s="388">
        <f>(AU438/AM428)*100</f>
        <v>0.32206249452312996</v>
      </c>
      <c r="AV439" s="19" t="s">
        <v>219</v>
      </c>
      <c r="AX439" s="396"/>
      <c r="AY439" s="396"/>
      <c r="AZ439" s="396"/>
      <c r="BA439" s="396"/>
      <c r="BB439" s="396"/>
      <c r="BC439" s="396"/>
      <c r="BD439" s="396"/>
      <c r="BE439" s="396"/>
      <c r="BF439" s="396"/>
      <c r="BG439" s="388">
        <f>(BG438/AY428)*100</f>
        <v>0.30103704967644784</v>
      </c>
      <c r="BH439" s="19" t="s">
        <v>219</v>
      </c>
      <c r="BI439" s="402"/>
    </row>
    <row r="440" spans="1:61" x14ac:dyDescent="0.35">
      <c r="A440" s="402"/>
      <c r="B440" s="396" t="s">
        <v>193</v>
      </c>
      <c r="C440" s="77">
        <f>ID!D127</f>
        <v>500</v>
      </c>
      <c r="D440" s="397" t="s">
        <v>222</v>
      </c>
      <c r="N440" s="396" t="s">
        <v>193</v>
      </c>
      <c r="O440" s="77">
        <f>ID!D134</f>
        <v>500</v>
      </c>
      <c r="P440" s="397" t="s">
        <v>222</v>
      </c>
      <c r="Z440" s="396" t="s">
        <v>193</v>
      </c>
      <c r="AA440" s="77">
        <f>ID!D141</f>
        <v>500</v>
      </c>
      <c r="AB440" s="397" t="s">
        <v>222</v>
      </c>
      <c r="AL440" s="396" t="s">
        <v>193</v>
      </c>
      <c r="AM440" s="77">
        <f>ID!D148</f>
        <v>500</v>
      </c>
      <c r="AN440" s="397" t="s">
        <v>222</v>
      </c>
      <c r="AX440" s="396" t="s">
        <v>193</v>
      </c>
      <c r="AY440" s="77">
        <f>ID!D155</f>
        <v>500</v>
      </c>
      <c r="AZ440" s="397" t="s">
        <v>222</v>
      </c>
      <c r="BI440" s="402"/>
    </row>
    <row r="441" spans="1:61" x14ac:dyDescent="0.35">
      <c r="A441" s="402"/>
      <c r="B441" s="372" t="s">
        <v>194</v>
      </c>
      <c r="C441" s="373" t="s">
        <v>72</v>
      </c>
      <c r="D441" s="373" t="s">
        <v>195</v>
      </c>
      <c r="E441" s="372" t="s">
        <v>196</v>
      </c>
      <c r="F441" s="372" t="s">
        <v>197</v>
      </c>
      <c r="G441" s="372" t="s">
        <v>198</v>
      </c>
      <c r="H441" s="372" t="s">
        <v>199</v>
      </c>
      <c r="I441" s="372" t="s">
        <v>200</v>
      </c>
      <c r="J441" s="372" t="s">
        <v>201</v>
      </c>
      <c r="K441" s="372" t="s">
        <v>202</v>
      </c>
      <c r="L441" s="373" t="s">
        <v>203</v>
      </c>
      <c r="N441" s="372" t="s">
        <v>194</v>
      </c>
      <c r="O441" s="373" t="s">
        <v>72</v>
      </c>
      <c r="P441" s="373" t="s">
        <v>195</v>
      </c>
      <c r="Q441" s="372" t="s">
        <v>196</v>
      </c>
      <c r="R441" s="372" t="s">
        <v>197</v>
      </c>
      <c r="S441" s="372" t="s">
        <v>198</v>
      </c>
      <c r="T441" s="372" t="s">
        <v>199</v>
      </c>
      <c r="U441" s="372" t="s">
        <v>200</v>
      </c>
      <c r="V441" s="372" t="s">
        <v>201</v>
      </c>
      <c r="W441" s="372" t="s">
        <v>202</v>
      </c>
      <c r="X441" s="373" t="s">
        <v>203</v>
      </c>
      <c r="Z441" s="372" t="s">
        <v>194</v>
      </c>
      <c r="AA441" s="373" t="s">
        <v>72</v>
      </c>
      <c r="AB441" s="373" t="s">
        <v>195</v>
      </c>
      <c r="AC441" s="372" t="s">
        <v>196</v>
      </c>
      <c r="AD441" s="372" t="s">
        <v>197</v>
      </c>
      <c r="AE441" s="372" t="s">
        <v>198</v>
      </c>
      <c r="AF441" s="372" t="s">
        <v>199</v>
      </c>
      <c r="AG441" s="372" t="s">
        <v>200</v>
      </c>
      <c r="AH441" s="372" t="s">
        <v>201</v>
      </c>
      <c r="AI441" s="372" t="s">
        <v>202</v>
      </c>
      <c r="AJ441" s="373" t="s">
        <v>203</v>
      </c>
      <c r="AL441" s="372" t="s">
        <v>194</v>
      </c>
      <c r="AM441" s="373" t="s">
        <v>72</v>
      </c>
      <c r="AN441" s="373" t="s">
        <v>195</v>
      </c>
      <c r="AO441" s="372" t="s">
        <v>196</v>
      </c>
      <c r="AP441" s="372" t="s">
        <v>197</v>
      </c>
      <c r="AQ441" s="372" t="s">
        <v>198</v>
      </c>
      <c r="AR441" s="372" t="s">
        <v>199</v>
      </c>
      <c r="AS441" s="372" t="s">
        <v>200</v>
      </c>
      <c r="AT441" s="372" t="s">
        <v>201</v>
      </c>
      <c r="AU441" s="372" t="s">
        <v>202</v>
      </c>
      <c r="AV441" s="373" t="s">
        <v>203</v>
      </c>
      <c r="AX441" s="372" t="s">
        <v>194</v>
      </c>
      <c r="AY441" s="373" t="s">
        <v>72</v>
      </c>
      <c r="AZ441" s="373" t="s">
        <v>195</v>
      </c>
      <c r="BA441" s="372" t="s">
        <v>196</v>
      </c>
      <c r="BB441" s="372" t="s">
        <v>197</v>
      </c>
      <c r="BC441" s="372" t="s">
        <v>198</v>
      </c>
      <c r="BD441" s="372" t="s">
        <v>199</v>
      </c>
      <c r="BE441" s="372" t="s">
        <v>200</v>
      </c>
      <c r="BF441" s="372" t="s">
        <v>201</v>
      </c>
      <c r="BG441" s="372" t="s">
        <v>202</v>
      </c>
      <c r="BH441" s="373" t="s">
        <v>203</v>
      </c>
      <c r="BI441" s="402"/>
    </row>
    <row r="442" spans="1:61" x14ac:dyDescent="0.35">
      <c r="A442" s="402"/>
      <c r="B442" s="374" t="s">
        <v>223</v>
      </c>
      <c r="C442" s="19" t="str">
        <f>D440</f>
        <v>µA</v>
      </c>
      <c r="D442" s="375" t="s">
        <v>205</v>
      </c>
      <c r="E442" s="376">
        <f>'Sert Time Electronics'!X185</f>
        <v>0.54772255750516619</v>
      </c>
      <c r="F442" s="377">
        <f>SQRT(5)</f>
        <v>2.2360679774997898</v>
      </c>
      <c r="G442" s="375">
        <f>5-1</f>
        <v>4</v>
      </c>
      <c r="H442" s="377">
        <f>E442/F442</f>
        <v>0.24494897427831783</v>
      </c>
      <c r="I442" s="375">
        <v>1</v>
      </c>
      <c r="J442" s="377">
        <f>H442*I442</f>
        <v>0.24494897427831783</v>
      </c>
      <c r="K442" s="378">
        <f>J442^2</f>
        <v>6.0000000000000012E-2</v>
      </c>
      <c r="L442" s="379">
        <f>K442^2/G442</f>
        <v>9.000000000000003E-4</v>
      </c>
      <c r="N442" s="374" t="s">
        <v>223</v>
      </c>
      <c r="O442" s="19" t="str">
        <f>P440</f>
        <v>µA</v>
      </c>
      <c r="P442" s="375" t="s">
        <v>205</v>
      </c>
      <c r="Q442" s="376">
        <f>'Sert Time Electronics'!X193</f>
        <v>1.1401754250991378</v>
      </c>
      <c r="R442" s="377">
        <f>SQRT(5)</f>
        <v>2.2360679774997898</v>
      </c>
      <c r="S442" s="375">
        <f>5-1</f>
        <v>4</v>
      </c>
      <c r="T442" s="377">
        <f>Q442/R442</f>
        <v>0.5099019513592784</v>
      </c>
      <c r="U442" s="375">
        <v>1</v>
      </c>
      <c r="V442" s="377">
        <f>T442*U442</f>
        <v>0.5099019513592784</v>
      </c>
      <c r="W442" s="378">
        <f>V442^2</f>
        <v>0.2599999999999999</v>
      </c>
      <c r="X442" s="379">
        <f>W442^2/S442</f>
        <v>1.6899999999999988E-2</v>
      </c>
      <c r="Z442" s="374" t="s">
        <v>223</v>
      </c>
      <c r="AA442" s="19" t="str">
        <f>AB440</f>
        <v>µA</v>
      </c>
      <c r="AB442" s="375" t="s">
        <v>205</v>
      </c>
      <c r="AC442" s="376">
        <f>'Sert Time Electronics'!X201</f>
        <v>0.54772255750516619</v>
      </c>
      <c r="AD442" s="377">
        <f>SQRT(5)</f>
        <v>2.2360679774997898</v>
      </c>
      <c r="AE442" s="375">
        <f>5-1</f>
        <v>4</v>
      </c>
      <c r="AF442" s="377">
        <f>AC442/AD442</f>
        <v>0.24494897427831783</v>
      </c>
      <c r="AG442" s="375">
        <v>1</v>
      </c>
      <c r="AH442" s="377">
        <f>AF442*AG442</f>
        <v>0.24494897427831783</v>
      </c>
      <c r="AI442" s="378">
        <f>AH442^2</f>
        <v>6.0000000000000012E-2</v>
      </c>
      <c r="AJ442" s="379">
        <f>AI442^2/AE442</f>
        <v>9.000000000000003E-4</v>
      </c>
      <c r="AL442" s="374" t="s">
        <v>223</v>
      </c>
      <c r="AM442" s="19" t="str">
        <f>AN440</f>
        <v>µA</v>
      </c>
      <c r="AN442" s="375" t="s">
        <v>205</v>
      </c>
      <c r="AO442" s="376">
        <f>'Sert Time Electronics'!X209</f>
        <v>0</v>
      </c>
      <c r="AP442" s="377">
        <f>SQRT(5)</f>
        <v>2.2360679774997898</v>
      </c>
      <c r="AQ442" s="375">
        <f>5-1</f>
        <v>4</v>
      </c>
      <c r="AR442" s="377">
        <f>AO442/AP442</f>
        <v>0</v>
      </c>
      <c r="AS442" s="375">
        <v>1</v>
      </c>
      <c r="AT442" s="377">
        <f>AR442*AS442</f>
        <v>0</v>
      </c>
      <c r="AU442" s="378">
        <f>AT442^2</f>
        <v>0</v>
      </c>
      <c r="AV442" s="379">
        <f>AU442^2/AQ442</f>
        <v>0</v>
      </c>
      <c r="AX442" s="374" t="s">
        <v>223</v>
      </c>
      <c r="AY442" s="19" t="str">
        <f>AZ440</f>
        <v>µA</v>
      </c>
      <c r="AZ442" s="375" t="s">
        <v>205</v>
      </c>
      <c r="BA442" s="376">
        <f>'Sert Time Electronics'!X217</f>
        <v>0</v>
      </c>
      <c r="BB442" s="377">
        <f>SQRT(5)</f>
        <v>2.2360679774997898</v>
      </c>
      <c r="BC442" s="375">
        <f>5-1</f>
        <v>4</v>
      </c>
      <c r="BD442" s="377">
        <f>BA442/BB442</f>
        <v>0</v>
      </c>
      <c r="BE442" s="375">
        <v>1</v>
      </c>
      <c r="BF442" s="377">
        <f>BD442*BE442</f>
        <v>0</v>
      </c>
      <c r="BG442" s="378">
        <f>BF442^2</f>
        <v>0</v>
      </c>
      <c r="BH442" s="379">
        <f>BG442^2/BC442</f>
        <v>0</v>
      </c>
      <c r="BI442" s="402"/>
    </row>
    <row r="443" spans="1:61" x14ac:dyDescent="0.35">
      <c r="A443" s="402"/>
      <c r="B443" s="380" t="s">
        <v>206</v>
      </c>
      <c r="C443" s="19" t="str">
        <f>C442</f>
        <v>µA</v>
      </c>
      <c r="D443" s="375" t="s">
        <v>205</v>
      </c>
      <c r="E443" s="381">
        <f>'Sert Time Electronics'!AA185</f>
        <v>0.724309917286734</v>
      </c>
      <c r="F443" s="377">
        <v>2</v>
      </c>
      <c r="G443" s="375">
        <f>0.5*(100/10)^2</f>
        <v>50</v>
      </c>
      <c r="H443" s="377">
        <f>E443/F443</f>
        <v>0.362154958643367</v>
      </c>
      <c r="I443" s="375">
        <v>1</v>
      </c>
      <c r="J443" s="377">
        <f>H443*I443</f>
        <v>0.362154958643367</v>
      </c>
      <c r="K443" s="378">
        <f>J443^2</f>
        <v>0.13115621406997885</v>
      </c>
      <c r="L443" s="379">
        <f>K443^2/G443</f>
        <v>3.4403904978340237E-4</v>
      </c>
      <c r="N443" s="380" t="s">
        <v>206</v>
      </c>
      <c r="O443" s="19" t="str">
        <f>O442</f>
        <v>µA</v>
      </c>
      <c r="P443" s="375" t="s">
        <v>205</v>
      </c>
      <c r="Q443" s="381">
        <f>'Sert Time Electronics'!AA193</f>
        <v>0.72576156308577677</v>
      </c>
      <c r="R443" s="377">
        <v>2</v>
      </c>
      <c r="S443" s="375">
        <f>0.5*(100/10)^2</f>
        <v>50</v>
      </c>
      <c r="T443" s="377">
        <f>Q443/R443</f>
        <v>0.36288078154288839</v>
      </c>
      <c r="U443" s="375">
        <v>1</v>
      </c>
      <c r="V443" s="377">
        <f>T443*U443</f>
        <v>0.36288078154288839</v>
      </c>
      <c r="W443" s="378">
        <f>V443^2</f>
        <v>0.13168246161317748</v>
      </c>
      <c r="X443" s="379">
        <f>W443^2/S443</f>
        <v>3.4680541393011924E-4</v>
      </c>
      <c r="Z443" s="380" t="s">
        <v>206</v>
      </c>
      <c r="AA443" s="19" t="str">
        <f>AA442</f>
        <v>µA</v>
      </c>
      <c r="AB443" s="375" t="s">
        <v>205</v>
      </c>
      <c r="AC443" s="381">
        <f>'Sert Time Electronics'!AA201</f>
        <v>0.724309917286734</v>
      </c>
      <c r="AD443" s="377">
        <v>2</v>
      </c>
      <c r="AE443" s="375">
        <f>0.5*(100/10)^2</f>
        <v>50</v>
      </c>
      <c r="AF443" s="377">
        <f>AC443/AD443</f>
        <v>0.362154958643367</v>
      </c>
      <c r="AG443" s="375">
        <v>1</v>
      </c>
      <c r="AH443" s="377">
        <f>AF443*AG443</f>
        <v>0.362154958643367</v>
      </c>
      <c r="AI443" s="378">
        <f>AH443^2</f>
        <v>0.13115621406997885</v>
      </c>
      <c r="AJ443" s="379">
        <f>AI443^2/AE443</f>
        <v>3.4403904978340237E-4</v>
      </c>
      <c r="AL443" s="380" t="s">
        <v>206</v>
      </c>
      <c r="AM443" s="19" t="str">
        <f>AM442</f>
        <v>µA</v>
      </c>
      <c r="AN443" s="375" t="s">
        <v>205</v>
      </c>
      <c r="AO443" s="381">
        <f>'Sert Time Electronics'!AA209</f>
        <v>0.72489057560635106</v>
      </c>
      <c r="AP443" s="377">
        <v>2</v>
      </c>
      <c r="AQ443" s="375">
        <f>0.5*(100/10)^2</f>
        <v>50</v>
      </c>
      <c r="AR443" s="377">
        <f>AO443/AP443</f>
        <v>0.36244528780317553</v>
      </c>
      <c r="AS443" s="375">
        <v>1</v>
      </c>
      <c r="AT443" s="377">
        <f>AR443*AS443</f>
        <v>0.36244528780317553</v>
      </c>
      <c r="AU443" s="378">
        <f>AT443^2</f>
        <v>0.13136658665072673</v>
      </c>
      <c r="AV443" s="379">
        <f>AU443^2/AQ443</f>
        <v>3.4514360176525786E-4</v>
      </c>
      <c r="AX443" s="380" t="s">
        <v>206</v>
      </c>
      <c r="AY443" s="19" t="str">
        <f>AY442</f>
        <v>µA</v>
      </c>
      <c r="AZ443" s="375" t="s">
        <v>205</v>
      </c>
      <c r="BA443" s="381">
        <f>'Sert Time Electronics'!AA217</f>
        <v>0.72489057560635106</v>
      </c>
      <c r="BB443" s="377">
        <v>2</v>
      </c>
      <c r="BC443" s="375">
        <f>0.5*(100/10)^2</f>
        <v>50</v>
      </c>
      <c r="BD443" s="377">
        <f>BA443/BB443</f>
        <v>0.36244528780317553</v>
      </c>
      <c r="BE443" s="375">
        <v>1</v>
      </c>
      <c r="BF443" s="377">
        <f>BD443*BE443</f>
        <v>0.36244528780317553</v>
      </c>
      <c r="BG443" s="378">
        <f>BF443^2</f>
        <v>0.13136658665072673</v>
      </c>
      <c r="BH443" s="379">
        <f>BG443^2/BC443</f>
        <v>3.4514360176525786E-4</v>
      </c>
      <c r="BI443" s="402"/>
    </row>
    <row r="444" spans="1:61" x14ac:dyDescent="0.35">
      <c r="A444" s="402"/>
      <c r="B444" s="380" t="s">
        <v>207</v>
      </c>
      <c r="C444" s="19" t="str">
        <f>C443</f>
        <v>µA</v>
      </c>
      <c r="D444" s="375" t="s">
        <v>208</v>
      </c>
      <c r="E444" s="382">
        <f>'Sert Time Electronics'!Y185</f>
        <v>0.5</v>
      </c>
      <c r="F444" s="377">
        <f>SQRT(3)</f>
        <v>1.7320508075688772</v>
      </c>
      <c r="G444" s="375">
        <v>50</v>
      </c>
      <c r="H444" s="377">
        <f>E444/F444</f>
        <v>0.28867513459481292</v>
      </c>
      <c r="I444" s="375">
        <v>1</v>
      </c>
      <c r="J444" s="377">
        <f>H444*I444</f>
        <v>0.28867513459481292</v>
      </c>
      <c r="K444" s="378">
        <f>J444^2</f>
        <v>8.3333333333333356E-2</v>
      </c>
      <c r="L444" s="379">
        <f>K444^2/G444</f>
        <v>1.3888888888888897E-4</v>
      </c>
      <c r="N444" s="380" t="s">
        <v>207</v>
      </c>
      <c r="O444" s="19" t="str">
        <f>O443</f>
        <v>µA</v>
      </c>
      <c r="P444" s="375" t="s">
        <v>208</v>
      </c>
      <c r="Q444" s="382">
        <f>'Sert Time Electronics'!Y193</f>
        <v>0.5</v>
      </c>
      <c r="R444" s="377">
        <f>SQRT(3)</f>
        <v>1.7320508075688772</v>
      </c>
      <c r="S444" s="375">
        <v>50</v>
      </c>
      <c r="T444" s="377">
        <f>Q444/R444</f>
        <v>0.28867513459481292</v>
      </c>
      <c r="U444" s="375">
        <v>1</v>
      </c>
      <c r="V444" s="377">
        <f>T444*U444</f>
        <v>0.28867513459481292</v>
      </c>
      <c r="W444" s="378">
        <f>V444^2</f>
        <v>8.3333333333333356E-2</v>
      </c>
      <c r="X444" s="379">
        <f>W444^2/S444</f>
        <v>1.3888888888888897E-4</v>
      </c>
      <c r="Z444" s="380" t="s">
        <v>207</v>
      </c>
      <c r="AA444" s="19" t="str">
        <f>AA443</f>
        <v>µA</v>
      </c>
      <c r="AB444" s="375" t="s">
        <v>208</v>
      </c>
      <c r="AC444" s="382">
        <f>'Sert Time Electronics'!Y201</f>
        <v>0.5</v>
      </c>
      <c r="AD444" s="377">
        <f>SQRT(3)</f>
        <v>1.7320508075688772</v>
      </c>
      <c r="AE444" s="375">
        <v>50</v>
      </c>
      <c r="AF444" s="377">
        <f>AC444/AD444</f>
        <v>0.28867513459481292</v>
      </c>
      <c r="AG444" s="375">
        <v>1</v>
      </c>
      <c r="AH444" s="377">
        <f>AF444*AG444</f>
        <v>0.28867513459481292</v>
      </c>
      <c r="AI444" s="378">
        <f>AH444^2</f>
        <v>8.3333333333333356E-2</v>
      </c>
      <c r="AJ444" s="379">
        <f>AI444^2/AE444</f>
        <v>1.3888888888888897E-4</v>
      </c>
      <c r="AL444" s="380" t="s">
        <v>207</v>
      </c>
      <c r="AM444" s="19" t="str">
        <f>AM443</f>
        <v>µA</v>
      </c>
      <c r="AN444" s="375" t="s">
        <v>208</v>
      </c>
      <c r="AO444" s="382">
        <f>'Sert Time Electronics'!Y209</f>
        <v>0.5</v>
      </c>
      <c r="AP444" s="377">
        <f>SQRT(3)</f>
        <v>1.7320508075688772</v>
      </c>
      <c r="AQ444" s="375">
        <v>50</v>
      </c>
      <c r="AR444" s="377">
        <f>AO444/AP444</f>
        <v>0.28867513459481292</v>
      </c>
      <c r="AS444" s="375">
        <v>1</v>
      </c>
      <c r="AT444" s="377">
        <f>AR444*AS444</f>
        <v>0.28867513459481292</v>
      </c>
      <c r="AU444" s="378">
        <f>AT444^2</f>
        <v>8.3333333333333356E-2</v>
      </c>
      <c r="AV444" s="379">
        <f>AU444^2/AQ444</f>
        <v>1.3888888888888897E-4</v>
      </c>
      <c r="AX444" s="380" t="s">
        <v>207</v>
      </c>
      <c r="AY444" s="19" t="str">
        <f>AY443</f>
        <v>µA</v>
      </c>
      <c r="AZ444" s="375" t="s">
        <v>208</v>
      </c>
      <c r="BA444" s="382">
        <f>'Sert Time Electronics'!Y217</f>
        <v>0.5</v>
      </c>
      <c r="BB444" s="377">
        <f>SQRT(3)</f>
        <v>1.7320508075688772</v>
      </c>
      <c r="BC444" s="375">
        <v>50</v>
      </c>
      <c r="BD444" s="377">
        <f>BA444/BB444</f>
        <v>0.28867513459481292</v>
      </c>
      <c r="BE444" s="375">
        <v>1</v>
      </c>
      <c r="BF444" s="377">
        <f>BD444*BE444</f>
        <v>0.28867513459481292</v>
      </c>
      <c r="BG444" s="378">
        <f>BF444^2</f>
        <v>8.3333333333333356E-2</v>
      </c>
      <c r="BH444" s="379">
        <f>BG444^2/BC444</f>
        <v>1.3888888888888897E-4</v>
      </c>
      <c r="BI444" s="402"/>
    </row>
    <row r="445" spans="1:61" x14ac:dyDescent="0.35">
      <c r="A445" s="402"/>
      <c r="B445" s="383" t="s">
        <v>209</v>
      </c>
      <c r="C445" s="19" t="str">
        <f>C444</f>
        <v>µA</v>
      </c>
      <c r="D445" s="375" t="s">
        <v>208</v>
      </c>
      <c r="E445" s="381">
        <f>'Sert Time Electronics'!Z185</f>
        <v>0.24143663909557794</v>
      </c>
      <c r="F445" s="377">
        <f>SQRT(3)</f>
        <v>1.7320508075688772</v>
      </c>
      <c r="G445" s="375">
        <v>50</v>
      </c>
      <c r="H445" s="377">
        <f>E445/F445</f>
        <v>0.13939350857407046</v>
      </c>
      <c r="I445" s="375">
        <v>1</v>
      </c>
      <c r="J445" s="377">
        <f>H445*I445</f>
        <v>0.13939350857407046</v>
      </c>
      <c r="K445" s="378">
        <f>J445^2</f>
        <v>1.9430550232589452E-2</v>
      </c>
      <c r="L445" s="379">
        <f>K445^2/G445</f>
        <v>7.5509256468236405E-6</v>
      </c>
      <c r="N445" s="383" t="s">
        <v>209</v>
      </c>
      <c r="O445" s="19" t="str">
        <f>O444</f>
        <v>µA</v>
      </c>
      <c r="P445" s="375" t="s">
        <v>208</v>
      </c>
      <c r="Q445" s="381">
        <f>'Sert Time Electronics'!Z193</f>
        <v>0.24192052102859221</v>
      </c>
      <c r="R445" s="377">
        <f>SQRT(3)</f>
        <v>1.7320508075688772</v>
      </c>
      <c r="S445" s="375">
        <v>50</v>
      </c>
      <c r="T445" s="377">
        <f>Q445/R445</f>
        <v>0.13967287793835223</v>
      </c>
      <c r="U445" s="375">
        <v>1</v>
      </c>
      <c r="V445" s="377">
        <f>T445*U445</f>
        <v>0.13967287793835223</v>
      </c>
      <c r="W445" s="378">
        <f>V445^2</f>
        <v>1.950851283158184E-2</v>
      </c>
      <c r="X445" s="379">
        <f>W445^2/S445</f>
        <v>7.6116414579998657E-6</v>
      </c>
      <c r="Z445" s="383" t="s">
        <v>209</v>
      </c>
      <c r="AA445" s="19" t="str">
        <f>AA444</f>
        <v>µA</v>
      </c>
      <c r="AB445" s="375" t="s">
        <v>208</v>
      </c>
      <c r="AC445" s="381">
        <f>'Sert Time Electronics'!Z201</f>
        <v>0.24143663909557794</v>
      </c>
      <c r="AD445" s="377">
        <f>SQRT(3)</f>
        <v>1.7320508075688772</v>
      </c>
      <c r="AE445" s="375">
        <v>50</v>
      </c>
      <c r="AF445" s="377">
        <f>AC445/AD445</f>
        <v>0.13939350857407046</v>
      </c>
      <c r="AG445" s="375">
        <v>1</v>
      </c>
      <c r="AH445" s="377">
        <f>AF445*AG445</f>
        <v>0.13939350857407046</v>
      </c>
      <c r="AI445" s="378">
        <f>AH445^2</f>
        <v>1.9430550232589452E-2</v>
      </c>
      <c r="AJ445" s="379">
        <f>AI445^2/AE445</f>
        <v>7.5509256468236405E-6</v>
      </c>
      <c r="AL445" s="383" t="s">
        <v>209</v>
      </c>
      <c r="AM445" s="19" t="str">
        <f>AM444</f>
        <v>µA</v>
      </c>
      <c r="AN445" s="375" t="s">
        <v>208</v>
      </c>
      <c r="AO445" s="381">
        <f>'Sert Time Electronics'!Z209</f>
        <v>0.24163019186878362</v>
      </c>
      <c r="AP445" s="377">
        <f>SQRT(3)</f>
        <v>1.7320508075688772</v>
      </c>
      <c r="AQ445" s="375">
        <v>50</v>
      </c>
      <c r="AR445" s="377">
        <f>AO445/AP445</f>
        <v>0.13950525631978317</v>
      </c>
      <c r="AS445" s="375">
        <v>1</v>
      </c>
      <c r="AT445" s="377">
        <f>AR445*AS445</f>
        <v>0.13950525631978317</v>
      </c>
      <c r="AU445" s="378">
        <f>AT445^2</f>
        <v>1.9461716540848401E-2</v>
      </c>
      <c r="AV445" s="379">
        <f>AU445^2/AQ445</f>
        <v>7.5751682143266447E-6</v>
      </c>
      <c r="AX445" s="383" t="s">
        <v>209</v>
      </c>
      <c r="AY445" s="19" t="str">
        <f>AY444</f>
        <v>µA</v>
      </c>
      <c r="AZ445" s="375" t="s">
        <v>208</v>
      </c>
      <c r="BA445" s="381">
        <f>'Sert Time Electronics'!Z217</f>
        <v>0.24163019186878362</v>
      </c>
      <c r="BB445" s="377">
        <f>SQRT(3)</f>
        <v>1.7320508075688772</v>
      </c>
      <c r="BC445" s="375">
        <v>50</v>
      </c>
      <c r="BD445" s="377">
        <f>BA445/BB445</f>
        <v>0.13950525631978317</v>
      </c>
      <c r="BE445" s="375">
        <v>1</v>
      </c>
      <c r="BF445" s="377">
        <f>BD445*BE445</f>
        <v>0.13950525631978317</v>
      </c>
      <c r="BG445" s="378">
        <f>BF445^2</f>
        <v>1.9461716540848401E-2</v>
      </c>
      <c r="BH445" s="379">
        <f>BG445^2/BC445</f>
        <v>7.5751682143266447E-6</v>
      </c>
      <c r="BI445" s="402"/>
    </row>
    <row r="446" spans="1:61" x14ac:dyDescent="0.35">
      <c r="A446" s="402"/>
      <c r="B446" s="374" t="s">
        <v>210</v>
      </c>
      <c r="C446" s="384"/>
      <c r="D446" s="384"/>
      <c r="E446" s="384"/>
      <c r="F446" s="384"/>
      <c r="G446" s="384"/>
      <c r="H446" s="384"/>
      <c r="I446" s="384"/>
      <c r="J446" s="384"/>
      <c r="K446" s="378">
        <f>SUM(K442:K445)</f>
        <v>0.29392009763590166</v>
      </c>
      <c r="L446" s="379">
        <f>SUM(L442:L445)</f>
        <v>1.3904788643191151E-3</v>
      </c>
      <c r="N446" s="374" t="s">
        <v>210</v>
      </c>
      <c r="O446" s="384"/>
      <c r="P446" s="384"/>
      <c r="Q446" s="384"/>
      <c r="R446" s="384"/>
      <c r="S446" s="384"/>
      <c r="T446" s="384"/>
      <c r="U446" s="384"/>
      <c r="V446" s="384"/>
      <c r="W446" s="378">
        <f>SUM(W442:W445)</f>
        <v>0.49452430777809259</v>
      </c>
      <c r="X446" s="379">
        <f>SUM(X442:X445)</f>
        <v>1.7393305944276995E-2</v>
      </c>
      <c r="Z446" s="374" t="s">
        <v>210</v>
      </c>
      <c r="AA446" s="384"/>
      <c r="AB446" s="384"/>
      <c r="AC446" s="384"/>
      <c r="AD446" s="384"/>
      <c r="AE446" s="384"/>
      <c r="AF446" s="384"/>
      <c r="AG446" s="384"/>
      <c r="AH446" s="384"/>
      <c r="AI446" s="378">
        <f>SUM(AI442:AI445)</f>
        <v>0.29392009763590166</v>
      </c>
      <c r="AJ446" s="379">
        <f>SUM(AJ442:AJ445)</f>
        <v>1.3904788643191151E-3</v>
      </c>
      <c r="AL446" s="374" t="s">
        <v>210</v>
      </c>
      <c r="AM446" s="384"/>
      <c r="AN446" s="384"/>
      <c r="AO446" s="384"/>
      <c r="AP446" s="384"/>
      <c r="AQ446" s="384"/>
      <c r="AR446" s="384"/>
      <c r="AS446" s="384"/>
      <c r="AT446" s="384"/>
      <c r="AU446" s="378">
        <f>SUM(AU442:AU445)</f>
        <v>0.23416163652490848</v>
      </c>
      <c r="AV446" s="379">
        <f>SUM(AV442:AV445)</f>
        <v>4.9160765886847348E-4</v>
      </c>
      <c r="AX446" s="374" t="s">
        <v>210</v>
      </c>
      <c r="AY446" s="384"/>
      <c r="AZ446" s="384"/>
      <c r="BA446" s="384"/>
      <c r="BB446" s="384"/>
      <c r="BC446" s="384"/>
      <c r="BD446" s="384"/>
      <c r="BE446" s="384"/>
      <c r="BF446" s="384"/>
      <c r="BG446" s="378">
        <f>SUM(BG442:BG445)</f>
        <v>0.23416163652490848</v>
      </c>
      <c r="BH446" s="379">
        <f>SUM(BH442:BH445)</f>
        <v>4.9160765886847348E-4</v>
      </c>
      <c r="BI446" s="402"/>
    </row>
    <row r="447" spans="1:61" ht="15" x14ac:dyDescent="0.4">
      <c r="A447" s="402"/>
      <c r="B447" s="374" t="s">
        <v>211</v>
      </c>
      <c r="C447" s="384"/>
      <c r="D447" s="384"/>
      <c r="E447" s="384"/>
      <c r="F447" s="384"/>
      <c r="G447" s="384"/>
      <c r="H447" s="385" t="s">
        <v>212</v>
      </c>
      <c r="I447" s="386"/>
      <c r="J447" s="384"/>
      <c r="K447" s="387">
        <f>SQRT(K446)</f>
        <v>0.54214398238466288</v>
      </c>
      <c r="L447" s="388"/>
      <c r="N447" s="374" t="s">
        <v>211</v>
      </c>
      <c r="O447" s="384"/>
      <c r="P447" s="384"/>
      <c r="Q447" s="384"/>
      <c r="R447" s="384"/>
      <c r="S447" s="384"/>
      <c r="T447" s="385" t="s">
        <v>212</v>
      </c>
      <c r="U447" s="386"/>
      <c r="V447" s="384"/>
      <c r="W447" s="387">
        <f>SQRT(W446)</f>
        <v>0.70322422297450238</v>
      </c>
      <c r="X447" s="388"/>
      <c r="Z447" s="374" t="s">
        <v>211</v>
      </c>
      <c r="AA447" s="384"/>
      <c r="AB447" s="384"/>
      <c r="AC447" s="384"/>
      <c r="AD447" s="384"/>
      <c r="AE447" s="384"/>
      <c r="AF447" s="385" t="s">
        <v>212</v>
      </c>
      <c r="AG447" s="386"/>
      <c r="AH447" s="384"/>
      <c r="AI447" s="387">
        <f>SQRT(AI446)</f>
        <v>0.54214398238466288</v>
      </c>
      <c r="AJ447" s="388"/>
      <c r="AL447" s="374" t="s">
        <v>211</v>
      </c>
      <c r="AM447" s="384"/>
      <c r="AN447" s="384"/>
      <c r="AO447" s="384"/>
      <c r="AP447" s="384"/>
      <c r="AQ447" s="384"/>
      <c r="AR447" s="385" t="s">
        <v>212</v>
      </c>
      <c r="AS447" s="386"/>
      <c r="AT447" s="384"/>
      <c r="AU447" s="387">
        <f>SQRT(AU446)</f>
        <v>0.48390250725214112</v>
      </c>
      <c r="AV447" s="388"/>
      <c r="AX447" s="374" t="s">
        <v>211</v>
      </c>
      <c r="AY447" s="384"/>
      <c r="AZ447" s="384"/>
      <c r="BA447" s="384"/>
      <c r="BB447" s="384"/>
      <c r="BC447" s="384"/>
      <c r="BD447" s="385" t="s">
        <v>212</v>
      </c>
      <c r="BE447" s="386"/>
      <c r="BF447" s="384"/>
      <c r="BG447" s="387">
        <f>SQRT(BG446)</f>
        <v>0.48390250725214112</v>
      </c>
      <c r="BH447" s="388"/>
      <c r="BI447" s="402"/>
    </row>
    <row r="448" spans="1:61" ht="16.5" x14ac:dyDescent="0.4">
      <c r="A448" s="402"/>
      <c r="B448" s="374" t="s">
        <v>213</v>
      </c>
      <c r="C448" s="384"/>
      <c r="D448" s="384"/>
      <c r="E448" s="384"/>
      <c r="F448" s="384"/>
      <c r="G448" s="384"/>
      <c r="H448" s="389" t="s">
        <v>214</v>
      </c>
      <c r="I448" s="390"/>
      <c r="J448" s="384"/>
      <c r="K448" s="375">
        <f>K447^4/L446</f>
        <v>62.128972982700198</v>
      </c>
      <c r="L448" s="388"/>
      <c r="N448" s="374" t="s">
        <v>213</v>
      </c>
      <c r="O448" s="384"/>
      <c r="P448" s="384"/>
      <c r="Q448" s="384"/>
      <c r="R448" s="384"/>
      <c r="S448" s="384"/>
      <c r="T448" s="389" t="s">
        <v>214</v>
      </c>
      <c r="U448" s="390"/>
      <c r="V448" s="384"/>
      <c r="W448" s="375">
        <f>W447^4/X446</f>
        <v>14.060253511717743</v>
      </c>
      <c r="X448" s="388"/>
      <c r="Z448" s="374" t="s">
        <v>213</v>
      </c>
      <c r="AA448" s="384"/>
      <c r="AB448" s="384"/>
      <c r="AC448" s="384"/>
      <c r="AD448" s="384"/>
      <c r="AE448" s="384"/>
      <c r="AF448" s="389" t="s">
        <v>214</v>
      </c>
      <c r="AG448" s="390"/>
      <c r="AH448" s="384"/>
      <c r="AI448" s="375">
        <f>AI447^4/AJ446</f>
        <v>62.128972982700198</v>
      </c>
      <c r="AJ448" s="388"/>
      <c r="AL448" s="374" t="s">
        <v>213</v>
      </c>
      <c r="AM448" s="384"/>
      <c r="AN448" s="384"/>
      <c r="AO448" s="384"/>
      <c r="AP448" s="384"/>
      <c r="AQ448" s="384"/>
      <c r="AR448" s="389" t="s">
        <v>214</v>
      </c>
      <c r="AS448" s="390"/>
      <c r="AT448" s="384"/>
      <c r="AU448" s="375">
        <f>AU447^4/AV446</f>
        <v>111.53543080721862</v>
      </c>
      <c r="AV448" s="388"/>
      <c r="AX448" s="374" t="s">
        <v>213</v>
      </c>
      <c r="AY448" s="384"/>
      <c r="AZ448" s="384"/>
      <c r="BA448" s="384"/>
      <c r="BB448" s="384"/>
      <c r="BC448" s="384"/>
      <c r="BD448" s="389" t="s">
        <v>214</v>
      </c>
      <c r="BE448" s="390"/>
      <c r="BF448" s="384"/>
      <c r="BG448" s="375">
        <f>BG447^4/BH446</f>
        <v>111.53543080721862</v>
      </c>
      <c r="BH448" s="388"/>
      <c r="BI448" s="402"/>
    </row>
    <row r="449" spans="1:62" x14ac:dyDescent="0.35">
      <c r="A449" s="402"/>
      <c r="B449" s="374" t="s">
        <v>215</v>
      </c>
      <c r="C449" s="384"/>
      <c r="D449" s="384"/>
      <c r="E449" s="384"/>
      <c r="F449" s="384"/>
      <c r="G449" s="384"/>
      <c r="H449" s="391" t="s">
        <v>216</v>
      </c>
      <c r="I449" s="392"/>
      <c r="J449" s="384"/>
      <c r="K449" s="377">
        <f>1.95996+(2.37356/K448)+(2.818745/K448^2)+(2.546662/K448^3)+(1.761829/K448^4)+(0.245458/K448^5)+(1.000764/K448^6)</f>
        <v>1.9989047347156121</v>
      </c>
      <c r="L449" s="393">
        <f>TINV(0.05,K448)</f>
        <v>1.9989715170333793</v>
      </c>
      <c r="N449" s="374" t="s">
        <v>215</v>
      </c>
      <c r="O449" s="384"/>
      <c r="P449" s="384"/>
      <c r="Q449" s="384"/>
      <c r="R449" s="384"/>
      <c r="S449" s="384"/>
      <c r="T449" s="391" t="s">
        <v>216</v>
      </c>
      <c r="U449" s="392"/>
      <c r="V449" s="384"/>
      <c r="W449" s="377">
        <f>1.95996+(2.37356/W448)+(2.818745/W448^2)+(2.546662/W448^3)+(1.761829/W448^4)+(0.245458/W448^5)+(1.000764/W448^6)</f>
        <v>2.143993674234451</v>
      </c>
      <c r="X449" s="393">
        <f>TINV(0.05,W448)</f>
        <v>2.1447866879178044</v>
      </c>
      <c r="Z449" s="374" t="s">
        <v>215</v>
      </c>
      <c r="AA449" s="384"/>
      <c r="AB449" s="384"/>
      <c r="AC449" s="384"/>
      <c r="AD449" s="384"/>
      <c r="AE449" s="384"/>
      <c r="AF449" s="391" t="s">
        <v>216</v>
      </c>
      <c r="AG449" s="392"/>
      <c r="AH449" s="384"/>
      <c r="AI449" s="377">
        <f>1.95996+(2.37356/AI448)+(2.818745/AI448^2)+(2.546662/AI448^3)+(1.761829/AI448^4)+(0.245458/AI448^5)+(1.000764/AI448^6)</f>
        <v>1.9989047347156121</v>
      </c>
      <c r="AJ449" s="393">
        <f>TINV(0.05,AI448)</f>
        <v>1.9989715170333793</v>
      </c>
      <c r="AL449" s="374" t="s">
        <v>215</v>
      </c>
      <c r="AM449" s="384"/>
      <c r="AN449" s="384"/>
      <c r="AO449" s="384"/>
      <c r="AP449" s="384"/>
      <c r="AQ449" s="384"/>
      <c r="AR449" s="391" t="s">
        <v>216</v>
      </c>
      <c r="AS449" s="392"/>
      <c r="AT449" s="384"/>
      <c r="AU449" s="377">
        <f>1.95996+(2.37356/AU448)+(2.818745/AU448^2)+(2.546662/AU448^3)+(1.761829/AU448^4)+(0.245458/AU448^5)+(1.000764/AU448^6)</f>
        <v>1.9814692025980847</v>
      </c>
      <c r="AV449" s="393">
        <f>TINV(0.05,AU448)</f>
        <v>1.9815667570749009</v>
      </c>
      <c r="AX449" s="374" t="s">
        <v>215</v>
      </c>
      <c r="AY449" s="384"/>
      <c r="AZ449" s="384"/>
      <c r="BA449" s="384"/>
      <c r="BB449" s="384"/>
      <c r="BC449" s="384"/>
      <c r="BD449" s="391" t="s">
        <v>216</v>
      </c>
      <c r="BE449" s="392"/>
      <c r="BF449" s="384"/>
      <c r="BG449" s="377">
        <f>1.95996+(2.37356/BG448)+(2.818745/BG448^2)+(2.546662/BG448^3)+(1.761829/BG448^4)+(0.245458/BG448^5)+(1.000764/BG448^6)</f>
        <v>1.9814692025980847</v>
      </c>
      <c r="BH449" s="393">
        <f>TINV(0.05,BG448)</f>
        <v>1.9815667570749009</v>
      </c>
      <c r="BI449" s="402"/>
    </row>
    <row r="450" spans="1:62" ht="15.5" x14ac:dyDescent="0.35">
      <c r="A450" s="402"/>
      <c r="B450" s="374" t="s">
        <v>217</v>
      </c>
      <c r="C450" s="384"/>
      <c r="D450" s="384"/>
      <c r="E450" s="384"/>
      <c r="F450" s="384"/>
      <c r="G450" s="384"/>
      <c r="H450" s="394" t="s">
        <v>218</v>
      </c>
      <c r="I450" s="395"/>
      <c r="J450" s="384"/>
      <c r="K450" s="398">
        <f>K449*K447</f>
        <v>1.0836941732862801</v>
      </c>
      <c r="L450" s="19" t="str">
        <f>D440</f>
        <v>µA</v>
      </c>
      <c r="N450" s="374" t="s">
        <v>217</v>
      </c>
      <c r="O450" s="384"/>
      <c r="P450" s="384"/>
      <c r="Q450" s="384"/>
      <c r="R450" s="384"/>
      <c r="S450" s="384"/>
      <c r="T450" s="394" t="s">
        <v>218</v>
      </c>
      <c r="U450" s="395"/>
      <c r="V450" s="384"/>
      <c r="W450" s="398">
        <f>W449*W447</f>
        <v>1.5077082856257702</v>
      </c>
      <c r="X450" s="19" t="str">
        <f>P440</f>
        <v>µA</v>
      </c>
      <c r="Z450" s="374" t="s">
        <v>217</v>
      </c>
      <c r="AA450" s="384"/>
      <c r="AB450" s="384"/>
      <c r="AC450" s="384"/>
      <c r="AD450" s="384"/>
      <c r="AE450" s="384"/>
      <c r="AF450" s="394" t="s">
        <v>218</v>
      </c>
      <c r="AG450" s="395"/>
      <c r="AH450" s="384"/>
      <c r="AI450" s="398">
        <f>AI449*AI447</f>
        <v>1.0836941732862801</v>
      </c>
      <c r="AJ450" s="19" t="str">
        <f>AB440</f>
        <v>µA</v>
      </c>
      <c r="AL450" s="374" t="s">
        <v>217</v>
      </c>
      <c r="AM450" s="384"/>
      <c r="AN450" s="384"/>
      <c r="AO450" s="384"/>
      <c r="AP450" s="384"/>
      <c r="AQ450" s="384"/>
      <c r="AR450" s="394" t="s">
        <v>218</v>
      </c>
      <c r="AS450" s="395"/>
      <c r="AT450" s="384"/>
      <c r="AU450" s="398">
        <f>AU449*AU447</f>
        <v>0.95883791518011396</v>
      </c>
      <c r="AV450" s="19" t="str">
        <f>AN440</f>
        <v>µA</v>
      </c>
      <c r="AX450" s="374" t="s">
        <v>217</v>
      </c>
      <c r="AY450" s="384"/>
      <c r="AZ450" s="384"/>
      <c r="BA450" s="384"/>
      <c r="BB450" s="384"/>
      <c r="BC450" s="384"/>
      <c r="BD450" s="394" t="s">
        <v>218</v>
      </c>
      <c r="BE450" s="395"/>
      <c r="BF450" s="384"/>
      <c r="BG450" s="398">
        <f>BG449*BG447</f>
        <v>0.95883791518011396</v>
      </c>
      <c r="BH450" s="19" t="str">
        <f>AZ440</f>
        <v>µA</v>
      </c>
      <c r="BI450" s="402"/>
    </row>
    <row r="451" spans="1:62" x14ac:dyDescent="0.35">
      <c r="A451" s="402"/>
      <c r="B451" s="396"/>
      <c r="C451" s="396"/>
      <c r="D451" s="396"/>
      <c r="E451" s="396"/>
      <c r="F451" s="396"/>
      <c r="G451" s="396"/>
      <c r="H451" s="396"/>
      <c r="I451" s="396"/>
      <c r="J451" s="396"/>
      <c r="K451" s="388">
        <f>(K450/C440)*100</f>
        <v>0.21673883465725602</v>
      </c>
      <c r="L451" s="19" t="s">
        <v>219</v>
      </c>
      <c r="N451" s="396"/>
      <c r="O451" s="396"/>
      <c r="P451" s="396"/>
      <c r="Q451" s="396"/>
      <c r="R451" s="396"/>
      <c r="S451" s="396"/>
      <c r="T451" s="396"/>
      <c r="U451" s="396"/>
      <c r="V451" s="396"/>
      <c r="W451" s="388">
        <f>(W450/O440)*100</f>
        <v>0.30154165712515402</v>
      </c>
      <c r="X451" s="19" t="s">
        <v>219</v>
      </c>
      <c r="Z451" s="396"/>
      <c r="AA451" s="396"/>
      <c r="AB451" s="396"/>
      <c r="AC451" s="396"/>
      <c r="AD451" s="396"/>
      <c r="AE451" s="396"/>
      <c r="AF451" s="396"/>
      <c r="AG451" s="396"/>
      <c r="AH451" s="396"/>
      <c r="AI451" s="388">
        <f>(AI450/AA440)*100</f>
        <v>0.21673883465725602</v>
      </c>
      <c r="AJ451" s="19" t="s">
        <v>219</v>
      </c>
      <c r="AL451" s="396"/>
      <c r="AM451" s="396"/>
      <c r="AN451" s="396"/>
      <c r="AO451" s="396"/>
      <c r="AP451" s="396"/>
      <c r="AQ451" s="396"/>
      <c r="AR451" s="396"/>
      <c r="AS451" s="396"/>
      <c r="AT451" s="396"/>
      <c r="AU451" s="388">
        <f>(AU450/AM440)*100</f>
        <v>0.19176758303602279</v>
      </c>
      <c r="AV451" s="19" t="s">
        <v>219</v>
      </c>
      <c r="AX451" s="396"/>
      <c r="AY451" s="396"/>
      <c r="AZ451" s="396"/>
      <c r="BA451" s="396"/>
      <c r="BB451" s="396"/>
      <c r="BC451" s="396"/>
      <c r="BD451" s="396"/>
      <c r="BE451" s="396"/>
      <c r="BF451" s="396"/>
      <c r="BG451" s="388">
        <f>(BG450/AY440)*100</f>
        <v>0.19176758303602279</v>
      </c>
      <c r="BH451" s="19" t="s">
        <v>219</v>
      </c>
      <c r="BI451" s="402"/>
    </row>
    <row r="452" spans="1:62" x14ac:dyDescent="0.35">
      <c r="A452" s="402"/>
      <c r="B452" s="396" t="s">
        <v>193</v>
      </c>
      <c r="C452" s="77">
        <f>ID!D128</f>
        <v>1000</v>
      </c>
      <c r="D452" s="397" t="s">
        <v>222</v>
      </c>
      <c r="N452" s="396" t="s">
        <v>193</v>
      </c>
      <c r="O452" s="77">
        <f>ID!D135</f>
        <v>1000</v>
      </c>
      <c r="P452" s="397" t="s">
        <v>222</v>
      </c>
      <c r="Z452" s="396" t="s">
        <v>193</v>
      </c>
      <c r="AA452" s="77">
        <f>ID!D142</f>
        <v>1000</v>
      </c>
      <c r="AB452" s="397" t="s">
        <v>222</v>
      </c>
      <c r="AL452" s="396" t="s">
        <v>193</v>
      </c>
      <c r="AM452" s="77">
        <f>ID!D149</f>
        <v>1000</v>
      </c>
      <c r="AN452" s="397" t="s">
        <v>222</v>
      </c>
      <c r="AX452" s="396" t="s">
        <v>193</v>
      </c>
      <c r="AY452" s="77">
        <f>ID!D156</f>
        <v>1000</v>
      </c>
      <c r="AZ452" s="397" t="s">
        <v>222</v>
      </c>
      <c r="BI452" s="402"/>
    </row>
    <row r="453" spans="1:62" x14ac:dyDescent="0.35">
      <c r="A453" s="402"/>
      <c r="B453" s="372" t="s">
        <v>194</v>
      </c>
      <c r="C453" s="373" t="s">
        <v>72</v>
      </c>
      <c r="D453" s="373" t="s">
        <v>195</v>
      </c>
      <c r="E453" s="372" t="s">
        <v>196</v>
      </c>
      <c r="F453" s="372" t="s">
        <v>197</v>
      </c>
      <c r="G453" s="372" t="s">
        <v>198</v>
      </c>
      <c r="H453" s="372" t="s">
        <v>199</v>
      </c>
      <c r="I453" s="372" t="s">
        <v>200</v>
      </c>
      <c r="J453" s="372" t="s">
        <v>201</v>
      </c>
      <c r="K453" s="372" t="s">
        <v>202</v>
      </c>
      <c r="L453" s="373" t="s">
        <v>203</v>
      </c>
      <c r="N453" s="372" t="s">
        <v>194</v>
      </c>
      <c r="O453" s="373" t="s">
        <v>72</v>
      </c>
      <c r="P453" s="373" t="s">
        <v>195</v>
      </c>
      <c r="Q453" s="372" t="s">
        <v>196</v>
      </c>
      <c r="R453" s="372" t="s">
        <v>197</v>
      </c>
      <c r="S453" s="372" t="s">
        <v>198</v>
      </c>
      <c r="T453" s="372" t="s">
        <v>199</v>
      </c>
      <c r="U453" s="372" t="s">
        <v>200</v>
      </c>
      <c r="V453" s="372" t="s">
        <v>201</v>
      </c>
      <c r="W453" s="372" t="s">
        <v>202</v>
      </c>
      <c r="X453" s="373" t="s">
        <v>203</v>
      </c>
      <c r="Z453" s="372" t="s">
        <v>194</v>
      </c>
      <c r="AA453" s="373" t="s">
        <v>72</v>
      </c>
      <c r="AB453" s="373" t="s">
        <v>195</v>
      </c>
      <c r="AC453" s="372" t="s">
        <v>196</v>
      </c>
      <c r="AD453" s="372" t="s">
        <v>197</v>
      </c>
      <c r="AE453" s="372" t="s">
        <v>198</v>
      </c>
      <c r="AF453" s="372" t="s">
        <v>199</v>
      </c>
      <c r="AG453" s="372" t="s">
        <v>200</v>
      </c>
      <c r="AH453" s="372" t="s">
        <v>201</v>
      </c>
      <c r="AI453" s="372" t="s">
        <v>202</v>
      </c>
      <c r="AJ453" s="373" t="s">
        <v>203</v>
      </c>
      <c r="AL453" s="372" t="s">
        <v>194</v>
      </c>
      <c r="AM453" s="373" t="s">
        <v>72</v>
      </c>
      <c r="AN453" s="373" t="s">
        <v>195</v>
      </c>
      <c r="AO453" s="372" t="s">
        <v>196</v>
      </c>
      <c r="AP453" s="372" t="s">
        <v>197</v>
      </c>
      <c r="AQ453" s="372" t="s">
        <v>198</v>
      </c>
      <c r="AR453" s="372" t="s">
        <v>199</v>
      </c>
      <c r="AS453" s="372" t="s">
        <v>200</v>
      </c>
      <c r="AT453" s="372" t="s">
        <v>201</v>
      </c>
      <c r="AU453" s="372" t="s">
        <v>202</v>
      </c>
      <c r="AV453" s="373" t="s">
        <v>203</v>
      </c>
      <c r="AX453" s="372" t="s">
        <v>194</v>
      </c>
      <c r="AY453" s="373" t="s">
        <v>72</v>
      </c>
      <c r="AZ453" s="373" t="s">
        <v>195</v>
      </c>
      <c r="BA453" s="372" t="s">
        <v>196</v>
      </c>
      <c r="BB453" s="372" t="s">
        <v>197</v>
      </c>
      <c r="BC453" s="372" t="s">
        <v>198</v>
      </c>
      <c r="BD453" s="372" t="s">
        <v>199</v>
      </c>
      <c r="BE453" s="372" t="s">
        <v>200</v>
      </c>
      <c r="BF453" s="372" t="s">
        <v>201</v>
      </c>
      <c r="BG453" s="372" t="s">
        <v>202</v>
      </c>
      <c r="BH453" s="373" t="s">
        <v>203</v>
      </c>
      <c r="BI453" s="402"/>
    </row>
    <row r="454" spans="1:62" x14ac:dyDescent="0.35">
      <c r="A454" s="402"/>
      <c r="B454" s="374" t="s">
        <v>223</v>
      </c>
      <c r="C454" s="19" t="str">
        <f>D452</f>
        <v>µA</v>
      </c>
      <c r="D454" s="375" t="s">
        <v>205</v>
      </c>
      <c r="E454" s="376">
        <f>'Sert Time Electronics'!X186</f>
        <v>0.54772255750516619</v>
      </c>
      <c r="F454" s="377">
        <f>SQRT(5)</f>
        <v>2.2360679774997898</v>
      </c>
      <c r="G454" s="375">
        <f>5-1</f>
        <v>4</v>
      </c>
      <c r="H454" s="377">
        <f>E454/F454</f>
        <v>0.24494897427831783</v>
      </c>
      <c r="I454" s="375">
        <v>1</v>
      </c>
      <c r="J454" s="377">
        <f>H454*I454</f>
        <v>0.24494897427831783</v>
      </c>
      <c r="K454" s="378">
        <f>J454^2</f>
        <v>6.0000000000000012E-2</v>
      </c>
      <c r="L454" s="379">
        <f>K454^2/G454</f>
        <v>9.000000000000003E-4</v>
      </c>
      <c r="N454" s="374" t="s">
        <v>223</v>
      </c>
      <c r="O454" s="19" t="str">
        <f>P452</f>
        <v>µA</v>
      </c>
      <c r="P454" s="375" t="s">
        <v>205</v>
      </c>
      <c r="Q454" s="376">
        <f>'Sert Time Electronics'!X194</f>
        <v>1</v>
      </c>
      <c r="R454" s="377">
        <f>SQRT(5)</f>
        <v>2.2360679774997898</v>
      </c>
      <c r="S454" s="375">
        <f>5-1</f>
        <v>4</v>
      </c>
      <c r="T454" s="377">
        <f>Q454/R454</f>
        <v>0.44721359549995793</v>
      </c>
      <c r="U454" s="375">
        <v>1</v>
      </c>
      <c r="V454" s="377">
        <f>T454*U454</f>
        <v>0.44721359549995793</v>
      </c>
      <c r="W454" s="378">
        <f>V454^2</f>
        <v>0.19999999999999998</v>
      </c>
      <c r="X454" s="379">
        <f>W454^2/S454</f>
        <v>9.9999999999999985E-3</v>
      </c>
      <c r="Z454" s="374" t="s">
        <v>223</v>
      </c>
      <c r="AA454" s="19" t="str">
        <f>AB452</f>
        <v>µA</v>
      </c>
      <c r="AB454" s="375" t="s">
        <v>205</v>
      </c>
      <c r="AC454" s="376">
        <f>'Sert Time Electronics'!X202</f>
        <v>0.44721359549995793</v>
      </c>
      <c r="AD454" s="377">
        <f>SQRT(5)</f>
        <v>2.2360679774997898</v>
      </c>
      <c r="AE454" s="375">
        <f>5-1</f>
        <v>4</v>
      </c>
      <c r="AF454" s="377">
        <f>AC454/AD454</f>
        <v>0.19999999999999998</v>
      </c>
      <c r="AG454" s="375">
        <v>1</v>
      </c>
      <c r="AH454" s="377">
        <f>AF454*AG454</f>
        <v>0.19999999999999998</v>
      </c>
      <c r="AI454" s="378">
        <f>AH454^2</f>
        <v>3.9999999999999994E-2</v>
      </c>
      <c r="AJ454" s="379">
        <f>AI454^2/AE454</f>
        <v>3.9999999999999986E-4</v>
      </c>
      <c r="AL454" s="374" t="s">
        <v>223</v>
      </c>
      <c r="AM454" s="19" t="str">
        <f>AN452</f>
        <v>µA</v>
      </c>
      <c r="AN454" s="375" t="s">
        <v>205</v>
      </c>
      <c r="AO454" s="376">
        <f>'Sert Time Electronics'!X210</f>
        <v>0.54772255750516619</v>
      </c>
      <c r="AP454" s="377">
        <f>SQRT(5)</f>
        <v>2.2360679774997898</v>
      </c>
      <c r="AQ454" s="375">
        <f>5-1</f>
        <v>4</v>
      </c>
      <c r="AR454" s="377">
        <f>AO454/AP454</f>
        <v>0.24494897427831783</v>
      </c>
      <c r="AS454" s="375">
        <v>1</v>
      </c>
      <c r="AT454" s="377">
        <f>AR454*AS454</f>
        <v>0.24494897427831783</v>
      </c>
      <c r="AU454" s="378">
        <f>AT454^2</f>
        <v>6.0000000000000012E-2</v>
      </c>
      <c r="AV454" s="379">
        <f>AU454^2/AQ454</f>
        <v>9.000000000000003E-4</v>
      </c>
      <c r="AX454" s="374" t="s">
        <v>223</v>
      </c>
      <c r="AY454" s="19" t="str">
        <f>AZ452</f>
        <v>µA</v>
      </c>
      <c r="AZ454" s="375" t="s">
        <v>205</v>
      </c>
      <c r="BA454" s="376">
        <f>'Sert Time Electronics'!X218</f>
        <v>0.44721359549995793</v>
      </c>
      <c r="BB454" s="377">
        <f>SQRT(5)</f>
        <v>2.2360679774997898</v>
      </c>
      <c r="BC454" s="375">
        <f>5-1</f>
        <v>4</v>
      </c>
      <c r="BD454" s="377">
        <f>BA454/BB454</f>
        <v>0.19999999999999998</v>
      </c>
      <c r="BE454" s="375">
        <v>1</v>
      </c>
      <c r="BF454" s="377">
        <f>BD454*BE454</f>
        <v>0.19999999999999998</v>
      </c>
      <c r="BG454" s="378">
        <f>BF454^2</f>
        <v>3.9999999999999994E-2</v>
      </c>
      <c r="BH454" s="379">
        <f>BG454^2/BC454</f>
        <v>3.9999999999999986E-4</v>
      </c>
      <c r="BI454" s="402"/>
    </row>
    <row r="455" spans="1:62" x14ac:dyDescent="0.35">
      <c r="A455" s="402"/>
      <c r="B455" s="380" t="s">
        <v>206</v>
      </c>
      <c r="C455" s="19" t="str">
        <f>C454</f>
        <v>µA</v>
      </c>
      <c r="D455" s="375" t="s">
        <v>205</v>
      </c>
      <c r="E455" s="381">
        <f>'Sert Time Electronics'!AA186</f>
        <v>1.4498424876483131</v>
      </c>
      <c r="F455" s="377">
        <v>2</v>
      </c>
      <c r="G455" s="375">
        <f>0.5*(100/10)^2</f>
        <v>50</v>
      </c>
      <c r="H455" s="377">
        <f>E455/F455</f>
        <v>0.72492124382415657</v>
      </c>
      <c r="I455" s="375">
        <v>1</v>
      </c>
      <c r="J455" s="377">
        <f>H455*I455</f>
        <v>0.72492124382415657</v>
      </c>
      <c r="K455" s="378">
        <f>J455^2</f>
        <v>0.52551080974756226</v>
      </c>
      <c r="L455" s="379">
        <f>K455^2/G455</f>
        <v>5.5232322232307719E-3</v>
      </c>
      <c r="N455" s="380" t="s">
        <v>206</v>
      </c>
      <c r="O455" s="19" t="str">
        <f>O454</f>
        <v>µA</v>
      </c>
      <c r="P455" s="375" t="s">
        <v>205</v>
      </c>
      <c r="Q455" s="381">
        <f>'Sert Time Electronics'!AA194</f>
        <v>1.4507134751277388</v>
      </c>
      <c r="R455" s="377">
        <v>2</v>
      </c>
      <c r="S455" s="375">
        <f>0.5*(100/10)^2</f>
        <v>50</v>
      </c>
      <c r="T455" s="377">
        <f>Q455/R455</f>
        <v>0.72535673756386942</v>
      </c>
      <c r="U455" s="375">
        <v>1</v>
      </c>
      <c r="V455" s="377">
        <f>T455*U455</f>
        <v>0.72535673756386942</v>
      </c>
      <c r="W455" s="378">
        <f>V455^2</f>
        <v>0.52614239672930019</v>
      </c>
      <c r="X455" s="379">
        <f>W455^2/S455</f>
        <v>5.5365164327210456E-3</v>
      </c>
      <c r="Z455" s="380" t="s">
        <v>206</v>
      </c>
      <c r="AA455" s="19" t="str">
        <f>AA454</f>
        <v>µA</v>
      </c>
      <c r="AB455" s="375" t="s">
        <v>205</v>
      </c>
      <c r="AC455" s="381">
        <f>'Sert Time Electronics'!AA202</f>
        <v>1.4504231459679302</v>
      </c>
      <c r="AD455" s="377">
        <v>2</v>
      </c>
      <c r="AE455" s="375">
        <f>0.5*(100/10)^2</f>
        <v>50</v>
      </c>
      <c r="AF455" s="377">
        <f>AC455/AD455</f>
        <v>0.7252115729839651</v>
      </c>
      <c r="AG455" s="375">
        <v>1</v>
      </c>
      <c r="AH455" s="377">
        <f>AF455*AG455</f>
        <v>0.7252115729839651</v>
      </c>
      <c r="AI455" s="378">
        <f>AH455^2</f>
        <v>0.52593182558987694</v>
      </c>
      <c r="AJ455" s="379">
        <f>AI455^2/AE455</f>
        <v>5.5320857033660156E-3</v>
      </c>
      <c r="AL455" s="380" t="s">
        <v>206</v>
      </c>
      <c r="AM455" s="19" t="str">
        <f>AM454</f>
        <v>µA</v>
      </c>
      <c r="AN455" s="375" t="s">
        <v>205</v>
      </c>
      <c r="AO455" s="381">
        <f>'Sert Time Electronics'!AA210</f>
        <v>1.4501328168081218</v>
      </c>
      <c r="AP455" s="377">
        <v>2</v>
      </c>
      <c r="AQ455" s="375">
        <f>0.5*(100/10)^2</f>
        <v>50</v>
      </c>
      <c r="AR455" s="377">
        <f>AO455/AP455</f>
        <v>0.72506640840406089</v>
      </c>
      <c r="AS455" s="375">
        <v>1</v>
      </c>
      <c r="AT455" s="377">
        <f>AR455*AS455</f>
        <v>0.72506640840406089</v>
      </c>
      <c r="AU455" s="378">
        <f>AT455^2</f>
        <v>0.52572129659596445</v>
      </c>
      <c r="AV455" s="379">
        <f>AU455^2/AQ455</f>
        <v>5.52765763389084E-3</v>
      </c>
      <c r="AX455" s="380" t="s">
        <v>206</v>
      </c>
      <c r="AY455" s="19" t="str">
        <f>AY454</f>
        <v>µA</v>
      </c>
      <c r="AZ455" s="375" t="s">
        <v>205</v>
      </c>
      <c r="BA455" s="381">
        <f>'Sert Time Electronics'!AA218</f>
        <v>1.4504231459679302</v>
      </c>
      <c r="BB455" s="377">
        <v>2</v>
      </c>
      <c r="BC455" s="375">
        <f>0.5*(100/10)^2</f>
        <v>50</v>
      </c>
      <c r="BD455" s="377">
        <f>BA455/BB455</f>
        <v>0.7252115729839651</v>
      </c>
      <c r="BE455" s="375">
        <v>1</v>
      </c>
      <c r="BF455" s="377">
        <f>BD455*BE455</f>
        <v>0.7252115729839651</v>
      </c>
      <c r="BG455" s="378">
        <f>BF455^2</f>
        <v>0.52593182558987694</v>
      </c>
      <c r="BH455" s="379">
        <f>BG455^2/BC455</f>
        <v>5.5320857033660156E-3</v>
      </c>
      <c r="BI455" s="402"/>
    </row>
    <row r="456" spans="1:62" x14ac:dyDescent="0.35">
      <c r="A456" s="402"/>
      <c r="B456" s="380" t="s">
        <v>207</v>
      </c>
      <c r="C456" s="19" t="str">
        <f>C455</f>
        <v>µA</v>
      </c>
      <c r="D456" s="375" t="s">
        <v>208</v>
      </c>
      <c r="E456" s="382">
        <f>'Sert Time Electronics'!Y186</f>
        <v>0.5</v>
      </c>
      <c r="F456" s="377">
        <f>SQRT(3)</f>
        <v>1.7320508075688772</v>
      </c>
      <c r="G456" s="375">
        <v>50</v>
      </c>
      <c r="H456" s="377">
        <f>E456/F456</f>
        <v>0.28867513459481292</v>
      </c>
      <c r="I456" s="375">
        <v>1</v>
      </c>
      <c r="J456" s="377">
        <f>H456*I456</f>
        <v>0.28867513459481292</v>
      </c>
      <c r="K456" s="378">
        <f>J456^2</f>
        <v>8.3333333333333356E-2</v>
      </c>
      <c r="L456" s="379">
        <f>K456^2/G456</f>
        <v>1.3888888888888897E-4</v>
      </c>
      <c r="N456" s="380" t="s">
        <v>207</v>
      </c>
      <c r="O456" s="19" t="str">
        <f>O455</f>
        <v>µA</v>
      </c>
      <c r="P456" s="375" t="s">
        <v>208</v>
      </c>
      <c r="Q456" s="382">
        <f>'Sert Time Electronics'!Y194</f>
        <v>0.5</v>
      </c>
      <c r="R456" s="377">
        <f>SQRT(3)</f>
        <v>1.7320508075688772</v>
      </c>
      <c r="S456" s="375">
        <v>50</v>
      </c>
      <c r="T456" s="377">
        <f>Q456/R456</f>
        <v>0.28867513459481292</v>
      </c>
      <c r="U456" s="375">
        <v>1</v>
      </c>
      <c r="V456" s="377">
        <f>T456*U456</f>
        <v>0.28867513459481292</v>
      </c>
      <c r="W456" s="378">
        <f>V456^2</f>
        <v>8.3333333333333356E-2</v>
      </c>
      <c r="X456" s="379">
        <f>W456^2/S456</f>
        <v>1.3888888888888897E-4</v>
      </c>
      <c r="Z456" s="380" t="s">
        <v>207</v>
      </c>
      <c r="AA456" s="19" t="str">
        <f>AA455</f>
        <v>µA</v>
      </c>
      <c r="AB456" s="375" t="s">
        <v>208</v>
      </c>
      <c r="AC456" s="382">
        <f>'Sert Time Electronics'!Y202</f>
        <v>0.5</v>
      </c>
      <c r="AD456" s="377">
        <f>SQRT(3)</f>
        <v>1.7320508075688772</v>
      </c>
      <c r="AE456" s="375">
        <v>50</v>
      </c>
      <c r="AF456" s="377">
        <f>AC456/AD456</f>
        <v>0.28867513459481292</v>
      </c>
      <c r="AG456" s="375">
        <v>1</v>
      </c>
      <c r="AH456" s="377">
        <f>AF456*AG456</f>
        <v>0.28867513459481292</v>
      </c>
      <c r="AI456" s="378">
        <f>AH456^2</f>
        <v>8.3333333333333356E-2</v>
      </c>
      <c r="AJ456" s="379">
        <f>AI456^2/AE456</f>
        <v>1.3888888888888897E-4</v>
      </c>
      <c r="AL456" s="380" t="s">
        <v>207</v>
      </c>
      <c r="AM456" s="19" t="str">
        <f>AM455</f>
        <v>µA</v>
      </c>
      <c r="AN456" s="375" t="s">
        <v>208</v>
      </c>
      <c r="AO456" s="382">
        <f>'Sert Time Electronics'!Y210</f>
        <v>0.5</v>
      </c>
      <c r="AP456" s="377">
        <f>SQRT(3)</f>
        <v>1.7320508075688772</v>
      </c>
      <c r="AQ456" s="375">
        <v>50</v>
      </c>
      <c r="AR456" s="377">
        <f>AO456/AP456</f>
        <v>0.28867513459481292</v>
      </c>
      <c r="AS456" s="375">
        <v>1</v>
      </c>
      <c r="AT456" s="377">
        <f>AR456*AS456</f>
        <v>0.28867513459481292</v>
      </c>
      <c r="AU456" s="378">
        <f>AT456^2</f>
        <v>8.3333333333333356E-2</v>
      </c>
      <c r="AV456" s="379">
        <f>AU456^2/AQ456</f>
        <v>1.3888888888888897E-4</v>
      </c>
      <c r="AX456" s="380" t="s">
        <v>207</v>
      </c>
      <c r="AY456" s="19" t="str">
        <f>AY455</f>
        <v>µA</v>
      </c>
      <c r="AZ456" s="375" t="s">
        <v>208</v>
      </c>
      <c r="BA456" s="382">
        <f>'Sert Time Electronics'!Y218</f>
        <v>0.5</v>
      </c>
      <c r="BB456" s="377">
        <f>SQRT(3)</f>
        <v>1.7320508075688772</v>
      </c>
      <c r="BC456" s="375">
        <v>50</v>
      </c>
      <c r="BD456" s="377">
        <f>BA456/BB456</f>
        <v>0.28867513459481292</v>
      </c>
      <c r="BE456" s="375">
        <v>1</v>
      </c>
      <c r="BF456" s="377">
        <f>BD456*BE456</f>
        <v>0.28867513459481292</v>
      </c>
      <c r="BG456" s="378">
        <f>BF456^2</f>
        <v>8.3333333333333356E-2</v>
      </c>
      <c r="BH456" s="379">
        <f>BG456^2/BC456</f>
        <v>1.3888888888888897E-4</v>
      </c>
      <c r="BI456" s="402"/>
    </row>
    <row r="457" spans="1:62" x14ac:dyDescent="0.35">
      <c r="A457" s="402"/>
      <c r="B457" s="383" t="s">
        <v>209</v>
      </c>
      <c r="C457" s="19" t="str">
        <f>C456</f>
        <v>µA</v>
      </c>
      <c r="D457" s="375" t="s">
        <v>208</v>
      </c>
      <c r="E457" s="381">
        <f>'Sert Time Electronics'!Z186</f>
        <v>0.48328082921610427</v>
      </c>
      <c r="F457" s="377">
        <f>SQRT(3)</f>
        <v>1.7320508075688772</v>
      </c>
      <c r="G457" s="375">
        <v>50</v>
      </c>
      <c r="H457" s="377">
        <f>E457/F457</f>
        <v>0.27902231684210338</v>
      </c>
      <c r="I457" s="375">
        <v>1</v>
      </c>
      <c r="J457" s="377">
        <f>H457*I457</f>
        <v>0.27902231684210338</v>
      </c>
      <c r="K457" s="378">
        <f>J457^2</f>
        <v>7.7853453295935127E-2</v>
      </c>
      <c r="L457" s="379">
        <f>K457^2/G457</f>
        <v>1.2122320380204703E-4</v>
      </c>
      <c r="N457" s="383" t="s">
        <v>209</v>
      </c>
      <c r="O457" s="19" t="str">
        <f>O456</f>
        <v>µA</v>
      </c>
      <c r="P457" s="375" t="s">
        <v>208</v>
      </c>
      <c r="Q457" s="381">
        <f>'Sert Time Electronics'!Z194</f>
        <v>0.48357115837591286</v>
      </c>
      <c r="R457" s="377">
        <f>SQRT(3)</f>
        <v>1.7320508075688772</v>
      </c>
      <c r="S457" s="375">
        <v>50</v>
      </c>
      <c r="T457" s="377">
        <f>Q457/R457</f>
        <v>0.27918993846067247</v>
      </c>
      <c r="U457" s="375">
        <v>1</v>
      </c>
      <c r="V457" s="377">
        <f>T457*U457</f>
        <v>0.27918993846067247</v>
      </c>
      <c r="W457" s="378">
        <f>V457^2</f>
        <v>7.794702173767408E-2</v>
      </c>
      <c r="X457" s="379">
        <f>W457^2/S457</f>
        <v>1.2151476395546871E-4</v>
      </c>
      <c r="Z457" s="383" t="s">
        <v>209</v>
      </c>
      <c r="AA457" s="19" t="str">
        <f>AA456</f>
        <v>µA</v>
      </c>
      <c r="AB457" s="375" t="s">
        <v>208</v>
      </c>
      <c r="AC457" s="381">
        <f>'Sert Time Electronics'!Z202</f>
        <v>0.48347438198930998</v>
      </c>
      <c r="AD457" s="377">
        <f>SQRT(3)</f>
        <v>1.7320508075688772</v>
      </c>
      <c r="AE457" s="375">
        <v>50</v>
      </c>
      <c r="AF457" s="377">
        <f>AC457/AD457</f>
        <v>0.27913406458781609</v>
      </c>
      <c r="AG457" s="375">
        <v>1</v>
      </c>
      <c r="AH457" s="377">
        <f>AF457*AG457</f>
        <v>0.27913406458781609</v>
      </c>
      <c r="AI457" s="378">
        <f>AH457^2</f>
        <v>7.7915826013315079E-2</v>
      </c>
      <c r="AJ457" s="379">
        <f>AI457^2/AE457</f>
        <v>1.2141751886674374E-4</v>
      </c>
      <c r="AL457" s="383" t="s">
        <v>209</v>
      </c>
      <c r="AM457" s="19" t="str">
        <f>AM456</f>
        <v>µA</v>
      </c>
      <c r="AN457" s="375" t="s">
        <v>208</v>
      </c>
      <c r="AO457" s="381">
        <f>'Sert Time Electronics'!Z210</f>
        <v>0.48337760560270715</v>
      </c>
      <c r="AP457" s="377">
        <f>SQRT(3)</f>
        <v>1.7320508075688772</v>
      </c>
      <c r="AQ457" s="375">
        <v>50</v>
      </c>
      <c r="AR457" s="377">
        <f>AO457/AP457</f>
        <v>0.27907819071495976</v>
      </c>
      <c r="AS457" s="375">
        <v>1</v>
      </c>
      <c r="AT457" s="377">
        <f>AR457*AS457</f>
        <v>0.27907819071495976</v>
      </c>
      <c r="AU457" s="378">
        <f>AT457^2</f>
        <v>7.7884636532735446E-2</v>
      </c>
      <c r="AV457" s="379">
        <f>AU457^2/AQ457</f>
        <v>1.2132033215672618E-4</v>
      </c>
      <c r="AX457" s="383" t="s">
        <v>209</v>
      </c>
      <c r="AY457" s="19" t="str">
        <f>AY456</f>
        <v>µA</v>
      </c>
      <c r="AZ457" s="375" t="s">
        <v>208</v>
      </c>
      <c r="BA457" s="381">
        <f>'Sert Time Electronics'!Z218</f>
        <v>0.48347438198930998</v>
      </c>
      <c r="BB457" s="377">
        <f>SQRT(3)</f>
        <v>1.7320508075688772</v>
      </c>
      <c r="BC457" s="375">
        <v>50</v>
      </c>
      <c r="BD457" s="377">
        <f>BA457/BB457</f>
        <v>0.27913406458781609</v>
      </c>
      <c r="BE457" s="375">
        <v>1</v>
      </c>
      <c r="BF457" s="377">
        <f>BD457*BE457</f>
        <v>0.27913406458781609</v>
      </c>
      <c r="BG457" s="378">
        <f>BF457^2</f>
        <v>7.7915826013315079E-2</v>
      </c>
      <c r="BH457" s="379">
        <f>BG457^2/BC457</f>
        <v>1.2141751886674374E-4</v>
      </c>
      <c r="BI457" s="402"/>
    </row>
    <row r="458" spans="1:62" x14ac:dyDescent="0.35">
      <c r="A458" s="402"/>
      <c r="B458" s="374" t="s">
        <v>210</v>
      </c>
      <c r="C458" s="384"/>
      <c r="D458" s="384"/>
      <c r="E458" s="384"/>
      <c r="F458" s="384"/>
      <c r="G458" s="384"/>
      <c r="H458" s="384"/>
      <c r="I458" s="384"/>
      <c r="J458" s="384"/>
      <c r="K458" s="378">
        <f>SUM(K454:K457)</f>
        <v>0.74669759637683075</v>
      </c>
      <c r="L458" s="379">
        <f>SUM(L454:L457)</f>
        <v>6.6833443159217088E-3</v>
      </c>
      <c r="N458" s="374" t="s">
        <v>210</v>
      </c>
      <c r="O458" s="384"/>
      <c r="P458" s="384"/>
      <c r="Q458" s="384"/>
      <c r="R458" s="384"/>
      <c r="S458" s="384"/>
      <c r="T458" s="384"/>
      <c r="U458" s="384"/>
      <c r="V458" s="384"/>
      <c r="W458" s="378">
        <f>SUM(W454:W457)</f>
        <v>0.88742275180030761</v>
      </c>
      <c r="X458" s="379">
        <f>SUM(X454:X457)</f>
        <v>1.5796920085565401E-2</v>
      </c>
      <c r="Z458" s="374" t="s">
        <v>210</v>
      </c>
      <c r="AA458" s="384"/>
      <c r="AB458" s="384"/>
      <c r="AC458" s="384"/>
      <c r="AD458" s="384"/>
      <c r="AE458" s="384"/>
      <c r="AF458" s="384"/>
      <c r="AG458" s="384"/>
      <c r="AH458" s="384"/>
      <c r="AI458" s="378">
        <f>SUM(AI454:AI457)</f>
        <v>0.72718098493652539</v>
      </c>
      <c r="AJ458" s="379">
        <f>SUM(AJ454:AJ457)</f>
        <v>6.192392111121648E-3</v>
      </c>
      <c r="AL458" s="374" t="s">
        <v>210</v>
      </c>
      <c r="AM458" s="384"/>
      <c r="AN458" s="384"/>
      <c r="AO458" s="384"/>
      <c r="AP458" s="384"/>
      <c r="AQ458" s="384"/>
      <c r="AR458" s="384"/>
      <c r="AS458" s="384"/>
      <c r="AT458" s="384"/>
      <c r="AU458" s="378">
        <f>SUM(AU454:AU457)</f>
        <v>0.74693926646203335</v>
      </c>
      <c r="AV458" s="379">
        <f>SUM(AV454:AV457)</f>
        <v>6.6878668549364556E-3</v>
      </c>
      <c r="AX458" s="374" t="s">
        <v>210</v>
      </c>
      <c r="AY458" s="384"/>
      <c r="AZ458" s="384"/>
      <c r="BA458" s="384"/>
      <c r="BB458" s="384"/>
      <c r="BC458" s="384"/>
      <c r="BD458" s="384"/>
      <c r="BE458" s="384"/>
      <c r="BF458" s="384"/>
      <c r="BG458" s="378">
        <f>SUM(BG454:BG457)</f>
        <v>0.72718098493652539</v>
      </c>
      <c r="BH458" s="379">
        <f>SUM(BH454:BH457)</f>
        <v>6.192392111121648E-3</v>
      </c>
      <c r="BI458" s="402"/>
    </row>
    <row r="459" spans="1:62" ht="15" x14ac:dyDescent="0.4">
      <c r="A459" s="402"/>
      <c r="B459" s="374" t="s">
        <v>211</v>
      </c>
      <c r="C459" s="384"/>
      <c r="D459" s="384"/>
      <c r="E459" s="384"/>
      <c r="F459" s="384"/>
      <c r="G459" s="384"/>
      <c r="H459" s="385" t="s">
        <v>212</v>
      </c>
      <c r="I459" s="386"/>
      <c r="J459" s="384"/>
      <c r="K459" s="387">
        <f>SQRT(K458)</f>
        <v>0.86411665669447124</v>
      </c>
      <c r="L459" s="388"/>
      <c r="N459" s="374" t="s">
        <v>211</v>
      </c>
      <c r="O459" s="384"/>
      <c r="P459" s="384"/>
      <c r="Q459" s="384"/>
      <c r="R459" s="384"/>
      <c r="S459" s="384"/>
      <c r="T459" s="385" t="s">
        <v>212</v>
      </c>
      <c r="U459" s="386"/>
      <c r="V459" s="384"/>
      <c r="W459" s="387">
        <f>SQRT(W458)</f>
        <v>0.94203118409122089</v>
      </c>
      <c r="X459" s="388"/>
      <c r="Z459" s="374" t="s">
        <v>211</v>
      </c>
      <c r="AA459" s="384"/>
      <c r="AB459" s="384"/>
      <c r="AC459" s="384"/>
      <c r="AD459" s="384"/>
      <c r="AE459" s="384"/>
      <c r="AF459" s="385" t="s">
        <v>212</v>
      </c>
      <c r="AG459" s="386"/>
      <c r="AH459" s="384"/>
      <c r="AI459" s="387">
        <f>SQRT(AI458)</f>
        <v>0.85274907501358532</v>
      </c>
      <c r="AJ459" s="388"/>
      <c r="AL459" s="374" t="s">
        <v>211</v>
      </c>
      <c r="AM459" s="384"/>
      <c r="AN459" s="384"/>
      <c r="AO459" s="384"/>
      <c r="AP459" s="384"/>
      <c r="AQ459" s="384"/>
      <c r="AR459" s="385" t="s">
        <v>212</v>
      </c>
      <c r="AS459" s="386"/>
      <c r="AT459" s="384"/>
      <c r="AU459" s="387">
        <f>SQRT(AU458)</f>
        <v>0.86425648187446846</v>
      </c>
      <c r="AV459" s="388"/>
      <c r="AX459" s="374" t="s">
        <v>211</v>
      </c>
      <c r="AY459" s="384"/>
      <c r="AZ459" s="384"/>
      <c r="BA459" s="384"/>
      <c r="BB459" s="384"/>
      <c r="BC459" s="384"/>
      <c r="BD459" s="385" t="s">
        <v>212</v>
      </c>
      <c r="BE459" s="386"/>
      <c r="BF459" s="384"/>
      <c r="BG459" s="387">
        <f>SQRT(BG458)</f>
        <v>0.85274907501358532</v>
      </c>
      <c r="BH459" s="388"/>
      <c r="BI459" s="402"/>
    </row>
    <row r="460" spans="1:62" ht="16.5" x14ac:dyDescent="0.4">
      <c r="A460" s="402"/>
      <c r="B460" s="374" t="s">
        <v>213</v>
      </c>
      <c r="C460" s="384"/>
      <c r="D460" s="384"/>
      <c r="E460" s="384"/>
      <c r="F460" s="384"/>
      <c r="G460" s="384"/>
      <c r="H460" s="389" t="s">
        <v>214</v>
      </c>
      <c r="I460" s="390"/>
      <c r="J460" s="384"/>
      <c r="K460" s="375">
        <f>K459^4/L458</f>
        <v>83.424895393563574</v>
      </c>
      <c r="L460" s="388"/>
      <c r="N460" s="374" t="s">
        <v>213</v>
      </c>
      <c r="O460" s="384"/>
      <c r="P460" s="384"/>
      <c r="Q460" s="384"/>
      <c r="R460" s="384"/>
      <c r="S460" s="384"/>
      <c r="T460" s="389" t="s">
        <v>214</v>
      </c>
      <c r="U460" s="390"/>
      <c r="V460" s="384"/>
      <c r="W460" s="375">
        <f>W459^4/X458</f>
        <v>49.85270142199645</v>
      </c>
      <c r="X460" s="388"/>
      <c r="Z460" s="374" t="s">
        <v>213</v>
      </c>
      <c r="AA460" s="384"/>
      <c r="AB460" s="384"/>
      <c r="AC460" s="384"/>
      <c r="AD460" s="384"/>
      <c r="AE460" s="384"/>
      <c r="AF460" s="389" t="s">
        <v>214</v>
      </c>
      <c r="AG460" s="390"/>
      <c r="AH460" s="384"/>
      <c r="AI460" s="375">
        <f>AI459^4/AJ458</f>
        <v>85.393847056864317</v>
      </c>
      <c r="AJ460" s="388"/>
      <c r="AL460" s="374" t="s">
        <v>213</v>
      </c>
      <c r="AM460" s="384"/>
      <c r="AN460" s="384"/>
      <c r="AO460" s="384"/>
      <c r="AP460" s="384"/>
      <c r="AQ460" s="384"/>
      <c r="AR460" s="389" t="s">
        <v>214</v>
      </c>
      <c r="AS460" s="390"/>
      <c r="AT460" s="384"/>
      <c r="AU460" s="375">
        <f>AU459^4/AV458</f>
        <v>83.422454406524153</v>
      </c>
      <c r="AV460" s="388"/>
      <c r="AX460" s="374" t="s">
        <v>213</v>
      </c>
      <c r="AY460" s="384"/>
      <c r="AZ460" s="384"/>
      <c r="BA460" s="384"/>
      <c r="BB460" s="384"/>
      <c r="BC460" s="384"/>
      <c r="BD460" s="389" t="s">
        <v>214</v>
      </c>
      <c r="BE460" s="390"/>
      <c r="BF460" s="384"/>
      <c r="BG460" s="375">
        <f>BG459^4/BH458</f>
        <v>85.393847056864317</v>
      </c>
      <c r="BH460" s="388"/>
      <c r="BI460" s="402"/>
    </row>
    <row r="461" spans="1:62" x14ac:dyDescent="0.35">
      <c r="A461" s="402"/>
      <c r="B461" s="374" t="s">
        <v>215</v>
      </c>
      <c r="C461" s="384"/>
      <c r="D461" s="384"/>
      <c r="E461" s="384"/>
      <c r="F461" s="384"/>
      <c r="G461" s="384"/>
      <c r="H461" s="391" t="s">
        <v>216</v>
      </c>
      <c r="I461" s="392"/>
      <c r="J461" s="384"/>
      <c r="K461" s="377">
        <f>1.95996+(2.37356/K460)+(2.818745/K460^2)+(2.546662/K460^3)+(1.761829/K460^4)+(0.245458/K460^5)+(1.000764/K460^6)</f>
        <v>1.9888208904930831</v>
      </c>
      <c r="L461" s="393">
        <f>TINV(0.05,K460)</f>
        <v>1.9889597801751635</v>
      </c>
      <c r="N461" s="374" t="s">
        <v>215</v>
      </c>
      <c r="O461" s="384"/>
      <c r="P461" s="384"/>
      <c r="Q461" s="384"/>
      <c r="R461" s="384"/>
      <c r="S461" s="384"/>
      <c r="T461" s="391" t="s">
        <v>216</v>
      </c>
      <c r="U461" s="392"/>
      <c r="V461" s="384"/>
      <c r="W461" s="377">
        <f>1.95996+(2.37356/W460)+(2.818745/W460^2)+(2.546662/W460^3)+(1.761829/W460^4)+(0.245458/W460^5)+(1.000764/W460^6)</f>
        <v>2.0087264731596006</v>
      </c>
      <c r="X461" s="393">
        <f>TINV(0.05,W460)</f>
        <v>2.0095752371292388</v>
      </c>
      <c r="Z461" s="374" t="s">
        <v>215</v>
      </c>
      <c r="AA461" s="384"/>
      <c r="AB461" s="384"/>
      <c r="AC461" s="384"/>
      <c r="AD461" s="384"/>
      <c r="AE461" s="384"/>
      <c r="AF461" s="391" t="s">
        <v>216</v>
      </c>
      <c r="AG461" s="392"/>
      <c r="AH461" s="384"/>
      <c r="AI461" s="377">
        <f>1.95996+(2.37356/AI460)+(2.818745/AI460^2)+(2.546662/AI460^3)+(1.761829/AI460^4)+(0.245458/AI460^5)+(1.000764/AI460^6)</f>
        <v>1.9881461154216791</v>
      </c>
      <c r="AJ461" s="393">
        <f>TINV(0.05,AI460)</f>
        <v>1.9882679074772251</v>
      </c>
      <c r="AL461" s="374" t="s">
        <v>215</v>
      </c>
      <c r="AM461" s="384"/>
      <c r="AN461" s="384"/>
      <c r="AO461" s="384"/>
      <c r="AP461" s="384"/>
      <c r="AQ461" s="384"/>
      <c r="AR461" s="391" t="s">
        <v>216</v>
      </c>
      <c r="AS461" s="392"/>
      <c r="AT461" s="384"/>
      <c r="AU461" s="377">
        <f>1.95996+(2.37356/AU460)+(2.818745/AU460^2)+(2.546662/AU460^3)+(1.761829/AU460^4)+(0.245458/AU460^5)+(1.000764/AU460^6)</f>
        <v>1.9888217470896832</v>
      </c>
      <c r="AV461" s="393">
        <f>TINV(0.05,AU460)</f>
        <v>1.9889597801751635</v>
      </c>
      <c r="AX461" s="374" t="s">
        <v>215</v>
      </c>
      <c r="AY461" s="384"/>
      <c r="AZ461" s="384"/>
      <c r="BA461" s="384"/>
      <c r="BB461" s="384"/>
      <c r="BC461" s="384"/>
      <c r="BD461" s="391" t="s">
        <v>216</v>
      </c>
      <c r="BE461" s="392"/>
      <c r="BF461" s="384"/>
      <c r="BG461" s="377">
        <f>1.95996+(2.37356/BG460)+(2.818745/BG460^2)+(2.546662/BG460^3)+(1.761829/BG460^4)+(0.245458/BG460^5)+(1.000764/BG460^6)</f>
        <v>1.9881461154216791</v>
      </c>
      <c r="BH461" s="393">
        <f>TINV(0.05,BG460)</f>
        <v>1.9882679074772251</v>
      </c>
      <c r="BI461" s="402"/>
    </row>
    <row r="462" spans="1:62" ht="15.5" x14ac:dyDescent="0.35">
      <c r="A462" s="402"/>
      <c r="B462" s="374" t="s">
        <v>217</v>
      </c>
      <c r="C462" s="384"/>
      <c r="D462" s="384"/>
      <c r="E462" s="384"/>
      <c r="F462" s="384"/>
      <c r="G462" s="384"/>
      <c r="H462" s="394" t="s">
        <v>218</v>
      </c>
      <c r="I462" s="395"/>
      <c r="J462" s="384"/>
      <c r="K462" s="398">
        <f>K461*K459</f>
        <v>1.7185732586570042</v>
      </c>
      <c r="L462" s="19" t="str">
        <f>D452</f>
        <v>µA</v>
      </c>
      <c r="N462" s="374" t="s">
        <v>217</v>
      </c>
      <c r="O462" s="384"/>
      <c r="P462" s="384"/>
      <c r="Q462" s="384"/>
      <c r="R462" s="384"/>
      <c r="S462" s="384"/>
      <c r="T462" s="394" t="s">
        <v>218</v>
      </c>
      <c r="U462" s="395"/>
      <c r="V462" s="384"/>
      <c r="W462" s="398">
        <f>W461*W459</f>
        <v>1.8922829780259207</v>
      </c>
      <c r="X462" s="19" t="str">
        <f>P452</f>
        <v>µA</v>
      </c>
      <c r="Z462" s="374" t="s">
        <v>217</v>
      </c>
      <c r="AA462" s="384"/>
      <c r="AB462" s="384"/>
      <c r="AC462" s="384"/>
      <c r="AD462" s="384"/>
      <c r="AE462" s="384"/>
      <c r="AF462" s="394" t="s">
        <v>218</v>
      </c>
      <c r="AG462" s="395"/>
      <c r="AH462" s="384"/>
      <c r="AI462" s="398">
        <f>AI461*AI459</f>
        <v>1.6953897609176898</v>
      </c>
      <c r="AJ462" s="19" t="str">
        <f>AB452</f>
        <v>µA</v>
      </c>
      <c r="AL462" s="374" t="s">
        <v>217</v>
      </c>
      <c r="AM462" s="384"/>
      <c r="AN462" s="384"/>
      <c r="AO462" s="384"/>
      <c r="AP462" s="384"/>
      <c r="AQ462" s="384"/>
      <c r="AR462" s="394" t="s">
        <v>218</v>
      </c>
      <c r="AS462" s="395"/>
      <c r="AT462" s="384"/>
      <c r="AU462" s="398">
        <f>AU461*AU459</f>
        <v>1.7188520862151635</v>
      </c>
      <c r="AV462" s="19" t="str">
        <f>AN452</f>
        <v>µA</v>
      </c>
      <c r="AX462" s="374" t="s">
        <v>217</v>
      </c>
      <c r="AY462" s="384"/>
      <c r="AZ462" s="384"/>
      <c r="BA462" s="384"/>
      <c r="BB462" s="384"/>
      <c r="BC462" s="384"/>
      <c r="BD462" s="394" t="s">
        <v>218</v>
      </c>
      <c r="BE462" s="395"/>
      <c r="BF462" s="384"/>
      <c r="BG462" s="398">
        <f>BG461*BG459</f>
        <v>1.6953897609176898</v>
      </c>
      <c r="BH462" s="19" t="str">
        <f>AZ452</f>
        <v>µA</v>
      </c>
      <c r="BI462" s="402"/>
    </row>
    <row r="463" spans="1:62" x14ac:dyDescent="0.35">
      <c r="A463" s="402"/>
      <c r="B463" s="396"/>
      <c r="C463" s="396"/>
      <c r="D463" s="396"/>
      <c r="E463" s="396"/>
      <c r="F463" s="396"/>
      <c r="G463" s="396"/>
      <c r="H463" s="396"/>
      <c r="I463" s="396"/>
      <c r="J463" s="396"/>
      <c r="K463" s="388">
        <f>(K462/C452)*100</f>
        <v>0.17185732586570041</v>
      </c>
      <c r="L463" s="19" t="s">
        <v>219</v>
      </c>
      <c r="N463" s="396"/>
      <c r="O463" s="396"/>
      <c r="P463" s="396"/>
      <c r="Q463" s="396"/>
      <c r="R463" s="396"/>
      <c r="S463" s="396"/>
      <c r="T463" s="396"/>
      <c r="U463" s="396"/>
      <c r="V463" s="396"/>
      <c r="W463" s="388">
        <f>(W462/O452)*100</f>
        <v>0.18922829780259207</v>
      </c>
      <c r="X463" s="19" t="s">
        <v>219</v>
      </c>
      <c r="Z463" s="396"/>
      <c r="AA463" s="396"/>
      <c r="AB463" s="396"/>
      <c r="AC463" s="396"/>
      <c r="AD463" s="396"/>
      <c r="AE463" s="396"/>
      <c r="AF463" s="396"/>
      <c r="AG463" s="396"/>
      <c r="AH463" s="396"/>
      <c r="AI463" s="388">
        <f>(AI462/AA452)*100</f>
        <v>0.16953897609176899</v>
      </c>
      <c r="AJ463" s="19" t="s">
        <v>219</v>
      </c>
      <c r="AL463" s="396"/>
      <c r="AM463" s="396"/>
      <c r="AN463" s="396"/>
      <c r="AO463" s="396"/>
      <c r="AP463" s="396"/>
      <c r="AQ463" s="396"/>
      <c r="AR463" s="396"/>
      <c r="AS463" s="396"/>
      <c r="AT463" s="396"/>
      <c r="AU463" s="388">
        <f>(AU462/AM452)*100</f>
        <v>0.17188520862151635</v>
      </c>
      <c r="AV463" s="19" t="s">
        <v>219</v>
      </c>
      <c r="AX463" s="396"/>
      <c r="AY463" s="396"/>
      <c r="AZ463" s="396"/>
      <c r="BA463" s="396"/>
      <c r="BB463" s="396"/>
      <c r="BC463" s="396"/>
      <c r="BD463" s="396"/>
      <c r="BE463" s="396"/>
      <c r="BF463" s="396"/>
      <c r="BG463" s="388">
        <f>(BG462/AY452)*100</f>
        <v>0.16953897609176899</v>
      </c>
      <c r="BH463" s="19" t="s">
        <v>219</v>
      </c>
      <c r="BI463" s="402"/>
    </row>
    <row r="464" spans="1:62" x14ac:dyDescent="0.35">
      <c r="A464" s="402"/>
      <c r="B464" s="402"/>
      <c r="C464" s="402"/>
      <c r="D464" s="402"/>
      <c r="E464" s="402"/>
      <c r="F464" s="402"/>
      <c r="G464" s="402"/>
      <c r="H464" s="402"/>
      <c r="I464" s="402"/>
      <c r="J464" s="402"/>
      <c r="K464" s="402"/>
      <c r="L464" s="402"/>
      <c r="M464" s="402"/>
      <c r="N464" s="402"/>
      <c r="O464" s="402"/>
      <c r="P464" s="402"/>
      <c r="Q464" s="402"/>
      <c r="R464" s="402"/>
      <c r="S464" s="402"/>
      <c r="T464" s="402"/>
      <c r="U464" s="402"/>
      <c r="V464" s="402"/>
      <c r="W464" s="402"/>
      <c r="X464" s="402"/>
      <c r="Y464" s="402"/>
      <c r="Z464" s="402"/>
      <c r="AA464" s="402"/>
      <c r="AB464" s="402"/>
      <c r="AC464" s="402"/>
      <c r="AD464" s="402"/>
      <c r="AE464" s="402"/>
      <c r="AF464" s="402"/>
      <c r="AG464" s="402"/>
      <c r="AH464" s="402"/>
      <c r="AI464" s="402"/>
      <c r="AJ464" s="402"/>
      <c r="AK464" s="402"/>
      <c r="AL464" s="402"/>
      <c r="AM464" s="402"/>
      <c r="AN464" s="402"/>
      <c r="AO464" s="402"/>
      <c r="AP464" s="402"/>
      <c r="AQ464" s="402"/>
      <c r="AR464" s="402"/>
      <c r="AS464" s="402"/>
      <c r="AT464" s="402"/>
      <c r="AU464" s="402"/>
      <c r="AV464" s="402"/>
      <c r="AW464" s="402"/>
      <c r="AX464" s="402"/>
      <c r="AY464" s="402"/>
      <c r="AZ464" s="402"/>
      <c r="BA464" s="402"/>
      <c r="BB464" s="402"/>
      <c r="BC464" s="402"/>
      <c r="BD464" s="402"/>
      <c r="BE464" s="402"/>
      <c r="BF464" s="402"/>
      <c r="BG464" s="402"/>
      <c r="BH464" s="402"/>
      <c r="BI464" s="402"/>
      <c r="BJ464" s="402"/>
    </row>
    <row r="465" spans="1:62" x14ac:dyDescent="0.35">
      <c r="A465" s="402"/>
      <c r="B465" s="402"/>
      <c r="C465" s="402"/>
      <c r="D465" s="402"/>
      <c r="E465" s="402"/>
      <c r="F465" s="402"/>
      <c r="G465" s="402"/>
      <c r="H465" s="402"/>
      <c r="I465" s="402"/>
      <c r="J465" s="402"/>
      <c r="K465" s="402"/>
      <c r="L465" s="402"/>
      <c r="M465" s="402"/>
      <c r="N465" s="402"/>
      <c r="O465" s="402"/>
      <c r="P465" s="402"/>
      <c r="Q465" s="402"/>
      <c r="R465" s="402"/>
      <c r="S465" s="402"/>
      <c r="T465" s="402"/>
      <c r="U465" s="402"/>
      <c r="V465" s="402"/>
      <c r="W465" s="402"/>
      <c r="X465" s="402"/>
      <c r="Y465" s="402"/>
      <c r="Z465" s="402"/>
      <c r="AA465" s="402"/>
      <c r="AB465" s="402"/>
      <c r="AC465" s="402"/>
      <c r="AD465" s="402"/>
      <c r="AE465" s="402"/>
      <c r="AF465" s="402"/>
      <c r="AG465" s="402"/>
      <c r="AH465" s="402"/>
      <c r="AI465" s="402"/>
      <c r="AJ465" s="402"/>
      <c r="AK465" s="402"/>
      <c r="AL465" s="402"/>
      <c r="AM465" s="402"/>
      <c r="AN465" s="402"/>
      <c r="AO465" s="402"/>
      <c r="AP465" s="402"/>
      <c r="AQ465" s="402"/>
      <c r="AR465" s="402"/>
      <c r="AS465" s="402"/>
      <c r="AT465" s="402"/>
      <c r="AU465" s="402"/>
      <c r="AV465" s="402"/>
      <c r="AW465" s="402"/>
      <c r="AX465" s="402"/>
      <c r="AY465" s="402"/>
      <c r="AZ465" s="402"/>
      <c r="BA465" s="402"/>
      <c r="BB465" s="402"/>
      <c r="BC465" s="402"/>
      <c r="BD465" s="402"/>
      <c r="BE465" s="402"/>
      <c r="BF465" s="402"/>
      <c r="BG465" s="402"/>
      <c r="BH465" s="402"/>
      <c r="BI465" s="402"/>
      <c r="BJ465" s="402"/>
    </row>
  </sheetData>
  <mergeCells count="1">
    <mergeCell ref="A1:L1"/>
  </mergeCells>
  <printOptions horizontalCentered="1"/>
  <pageMargins left="0.32" right="0.36" top="0.45" bottom="0.38" header="0.3" footer="0.18"/>
  <pageSetup paperSize="9" scale="57" orientation="portrait" r:id="rId1"/>
  <headerFooter>
    <oddHeader>&amp;R&amp;8UB.MK.093-19/Rev.0</oddHeader>
    <oddFooter>&amp;C&amp;8&amp;K92D050 Software 04-08-22</oddFooter>
  </headerFooter>
  <rowBreaks count="1" manualBreakCount="1">
    <brk id="1" max="11" man="1"/>
  </rowBreaks>
  <colBreaks count="1" manualBreakCount="1">
    <brk id="1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F4F34-309D-4F07-860B-C7AE3D5A4865}">
  <dimension ref="A1:AK69"/>
  <sheetViews>
    <sheetView topLeftCell="X84" zoomScaleNormal="100" workbookViewId="0">
      <selection activeCell="AG56" sqref="AG56"/>
    </sheetView>
  </sheetViews>
  <sheetFormatPr defaultColWidth="9.1796875" defaultRowHeight="12.5" x14ac:dyDescent="0.25"/>
  <cols>
    <col min="1" max="1" width="4.1796875" style="73" customWidth="1"/>
    <col min="2" max="2" width="17.453125" style="73" customWidth="1"/>
    <col min="3" max="3" width="10.7265625" style="73" customWidth="1"/>
    <col min="4" max="5" width="9.1796875" style="73"/>
    <col min="6" max="7" width="11.6328125" style="73" bestFit="1" customWidth="1"/>
    <col min="8" max="8" width="2.81640625" style="73" customWidth="1"/>
    <col min="9" max="9" width="3.7265625" style="73" customWidth="1"/>
    <col min="10" max="10" width="17.54296875" style="73" customWidth="1"/>
    <col min="11" max="13" width="9.1796875" style="73"/>
    <col min="14" max="14" width="11.54296875" style="73" bestFit="1" customWidth="1"/>
    <col min="15" max="15" width="10" style="73" bestFit="1" customWidth="1"/>
    <col min="16" max="16" width="1.7265625" style="73" customWidth="1"/>
    <col min="17" max="17" width="3.7265625" style="73" customWidth="1"/>
    <col min="18" max="18" width="18.1796875" style="73" customWidth="1"/>
    <col min="19" max="24" width="9.1796875" style="73"/>
    <col min="25" max="25" width="10" style="73" customWidth="1"/>
    <col min="26" max="27" width="12" style="73" customWidth="1"/>
    <col min="28" max="37" width="12.1796875" style="73" customWidth="1"/>
    <col min="38" max="16384" width="9.1796875" style="73"/>
  </cols>
  <sheetData>
    <row r="1" spans="1:31" ht="13" x14ac:dyDescent="0.3">
      <c r="B1" s="356" t="s">
        <v>65</v>
      </c>
    </row>
    <row r="4" spans="1:31" ht="27" customHeight="1" x14ac:dyDescent="0.25">
      <c r="A4" s="876">
        <v>1</v>
      </c>
      <c r="B4" s="879" t="s">
        <v>189</v>
      </c>
      <c r="C4" s="879"/>
      <c r="D4" s="879"/>
      <c r="E4" s="879"/>
      <c r="F4" s="879"/>
      <c r="G4" s="879"/>
      <c r="H4" s="120"/>
      <c r="I4" s="876">
        <v>2</v>
      </c>
      <c r="J4" s="879" t="s">
        <v>224</v>
      </c>
      <c r="K4" s="879"/>
      <c r="L4" s="879"/>
      <c r="M4" s="879"/>
      <c r="N4" s="879"/>
      <c r="O4" s="879"/>
      <c r="P4" s="120"/>
      <c r="Q4" s="876">
        <v>3</v>
      </c>
      <c r="R4" s="879" t="s">
        <v>225</v>
      </c>
      <c r="S4" s="879"/>
      <c r="T4" s="879"/>
      <c r="U4" s="879"/>
      <c r="V4" s="879"/>
      <c r="W4" s="879"/>
    </row>
    <row r="5" spans="1:31" ht="14" x14ac:dyDescent="0.3">
      <c r="A5" s="877"/>
      <c r="B5" s="886" t="s">
        <v>66</v>
      </c>
      <c r="C5" s="881"/>
      <c r="D5" s="881"/>
      <c r="E5" s="881"/>
      <c r="F5" s="121" t="s">
        <v>4</v>
      </c>
      <c r="G5" s="121" t="s">
        <v>67</v>
      </c>
      <c r="H5" s="120"/>
      <c r="I5" s="877"/>
      <c r="J5" s="881" t="s">
        <v>66</v>
      </c>
      <c r="K5" s="881"/>
      <c r="L5" s="881"/>
      <c r="M5" s="881"/>
      <c r="N5" s="121" t="s">
        <v>4</v>
      </c>
      <c r="O5" s="121" t="s">
        <v>67</v>
      </c>
      <c r="P5" s="120"/>
      <c r="Q5" s="877"/>
      <c r="R5" s="881" t="s">
        <v>66</v>
      </c>
      <c r="S5" s="881"/>
      <c r="T5" s="881"/>
      <c r="U5" s="881"/>
      <c r="V5" s="121" t="s">
        <v>4</v>
      </c>
      <c r="W5" s="121" t="s">
        <v>67</v>
      </c>
      <c r="Y5" s="882"/>
      <c r="Z5" s="882"/>
      <c r="AA5" s="882"/>
      <c r="AB5" s="882"/>
      <c r="AC5" s="882"/>
      <c r="AD5" s="883"/>
      <c r="AE5" s="883"/>
    </row>
    <row r="6" spans="1:31" ht="15.75" customHeight="1" x14ac:dyDescent="0.25">
      <c r="A6" s="877"/>
      <c r="B6" s="884" t="s">
        <v>68</v>
      </c>
      <c r="C6" s="875"/>
      <c r="D6" s="875"/>
      <c r="E6" s="875"/>
      <c r="F6" s="121"/>
      <c r="G6" s="121"/>
      <c r="H6" s="120"/>
      <c r="I6" s="877"/>
      <c r="J6" s="875" t="s">
        <v>68</v>
      </c>
      <c r="K6" s="875"/>
      <c r="L6" s="875"/>
      <c r="M6" s="875"/>
      <c r="N6" s="121"/>
      <c r="O6" s="121"/>
      <c r="P6" s="120"/>
      <c r="Q6" s="877"/>
      <c r="R6" s="875" t="s">
        <v>68</v>
      </c>
      <c r="S6" s="875"/>
      <c r="T6" s="875"/>
      <c r="U6" s="875"/>
      <c r="V6" s="121"/>
      <c r="W6" s="121"/>
      <c r="Y6" s="885"/>
      <c r="Z6" s="885"/>
      <c r="AA6" s="885"/>
      <c r="AB6" s="885"/>
      <c r="AC6" s="885"/>
      <c r="AD6" s="883"/>
      <c r="AE6" s="883"/>
    </row>
    <row r="7" spans="1:31" ht="14.5" x14ac:dyDescent="0.25">
      <c r="A7" s="877"/>
      <c r="B7" s="122" t="s">
        <v>226</v>
      </c>
      <c r="C7" s="123">
        <v>2017</v>
      </c>
      <c r="D7" s="123">
        <v>2017</v>
      </c>
      <c r="E7" s="121">
        <v>2018</v>
      </c>
      <c r="F7" s="121"/>
      <c r="G7" s="121"/>
      <c r="H7" s="120"/>
      <c r="I7" s="877"/>
      <c r="J7" s="124" t="s">
        <v>226</v>
      </c>
      <c r="K7" s="123">
        <v>2017</v>
      </c>
      <c r="L7" s="123">
        <v>2017</v>
      </c>
      <c r="M7" s="121">
        <v>2020</v>
      </c>
      <c r="N7" s="121"/>
      <c r="O7" s="121"/>
      <c r="P7" s="120"/>
      <c r="Q7" s="877"/>
      <c r="R7" s="124" t="s">
        <v>226</v>
      </c>
      <c r="S7" s="123">
        <v>2017</v>
      </c>
      <c r="T7" s="123">
        <v>2017</v>
      </c>
      <c r="U7" s="121">
        <v>2020</v>
      </c>
      <c r="V7" s="121"/>
      <c r="W7" s="121"/>
      <c r="Y7" s="125"/>
      <c r="Z7" s="126"/>
      <c r="AA7" s="126"/>
      <c r="AB7" s="126"/>
      <c r="AC7" s="127"/>
      <c r="AD7" s="883"/>
      <c r="AE7" s="883"/>
    </row>
    <row r="8" spans="1:31" ht="14" x14ac:dyDescent="0.25">
      <c r="A8" s="877"/>
      <c r="B8" s="128">
        <v>0</v>
      </c>
      <c r="C8" s="129">
        <v>6.1679999999999999E-3</v>
      </c>
      <c r="D8" s="129">
        <v>6.1679999999999999E-3</v>
      </c>
      <c r="E8" s="129">
        <v>7.1510000000000002E-3</v>
      </c>
      <c r="F8" s="583">
        <f>IF(0.5*(MAX(C8:E8)-MIN(C8:E8))=0,0.00001,0.5*(MAX(C8:E8)-MIN(C8:E8)))</f>
        <v>4.9150000000000018E-4</v>
      </c>
      <c r="G8" s="129">
        <v>1.5999999999999999E-5</v>
      </c>
      <c r="H8" s="120"/>
      <c r="I8" s="877"/>
      <c r="J8" s="124">
        <v>0</v>
      </c>
      <c r="K8" s="123"/>
      <c r="L8" s="123"/>
      <c r="M8" s="585">
        <v>1.0000000000000001E-5</v>
      </c>
      <c r="N8" s="584">
        <f>IF(0.5*(MAX(K8:M8)-MIN(K8:M8))=0,0.00001,0.5*(MAX(K8:M8)-MIN(K8:M8)))</f>
        <v>1.0000000000000001E-5</v>
      </c>
      <c r="O8" s="586">
        <v>9.9999999999999995E-7</v>
      </c>
      <c r="P8" s="120"/>
      <c r="Q8" s="877"/>
      <c r="R8" s="124">
        <v>0</v>
      </c>
      <c r="S8" s="123"/>
      <c r="T8" s="123"/>
      <c r="U8" s="585">
        <v>1.0000000000000001E-5</v>
      </c>
      <c r="V8" s="584">
        <f>IF(0.5*(MAX(S8:U8)-MIN(S8:U8))=0,0.00001,0.5*(MAX(S8:U8)-MIN(S8:U8)))</f>
        <v>1.0000000000000001E-5</v>
      </c>
      <c r="W8" s="586">
        <v>9.9999999999999995E-7</v>
      </c>
      <c r="Y8" s="125"/>
      <c r="Z8" s="126"/>
      <c r="AA8" s="126"/>
      <c r="AB8" s="126"/>
      <c r="AC8" s="127"/>
      <c r="AD8" s="127"/>
      <c r="AE8" s="127"/>
    </row>
    <row r="9" spans="1:31" ht="14" x14ac:dyDescent="0.25">
      <c r="A9" s="877"/>
      <c r="B9" s="130">
        <v>0.01</v>
      </c>
      <c r="C9" s="129">
        <v>5.9239999999999996E-3</v>
      </c>
      <c r="D9" s="129">
        <v>5.9239999999999996E-3</v>
      </c>
      <c r="E9" s="129">
        <v>6.901E-3</v>
      </c>
      <c r="F9" s="583">
        <f t="shared" ref="F9:F14" si="0">IF(0.5*(MAX(C9:E9)-MIN(C9:E9))=0,0.00001,0.5*(MAX(C9:E9)-MIN(C9:E9)))</f>
        <v>4.8850000000000022E-4</v>
      </c>
      <c r="G9" s="129">
        <v>1.8E-5</v>
      </c>
      <c r="H9" s="120"/>
      <c r="I9" s="877"/>
      <c r="J9" s="130">
        <v>0.01</v>
      </c>
      <c r="K9" s="129" t="s">
        <v>10</v>
      </c>
      <c r="L9" s="129" t="s">
        <v>10</v>
      </c>
      <c r="M9" s="129">
        <v>-4.0000000000000002E-4</v>
      </c>
      <c r="N9" s="584">
        <f>IF(0.5*(MAX(K9:M9)-MIN(K9:M9))=0,0.00001,0.5*(MAX(K9:M9)-MIN(K9:M9)))</f>
        <v>1.0000000000000001E-5</v>
      </c>
      <c r="O9" s="129">
        <v>5.1999999999999995E-4</v>
      </c>
      <c r="P9" s="120"/>
      <c r="Q9" s="877"/>
      <c r="R9" s="130">
        <v>0.01</v>
      </c>
      <c r="S9" s="129" t="s">
        <v>10</v>
      </c>
      <c r="T9" s="129" t="s">
        <v>10</v>
      </c>
      <c r="U9" s="129">
        <v>-2.9999999999999997E-4</v>
      </c>
      <c r="V9" s="584">
        <f>IF(0.5*(MAX(S9:U9)-MIN(S9:U9))=0,0.00001,0.5*(MAX(S9:U9)-MIN(S9:U9)))</f>
        <v>1.0000000000000001E-5</v>
      </c>
      <c r="W9" s="129">
        <v>5.1999999999999995E-4</v>
      </c>
      <c r="Y9" s="360"/>
      <c r="Z9" s="126"/>
      <c r="AA9" s="126"/>
      <c r="AB9" s="126"/>
      <c r="AC9" s="127"/>
      <c r="AD9" s="127"/>
      <c r="AE9" s="127"/>
    </row>
    <row r="10" spans="1:31" ht="14" x14ac:dyDescent="0.25">
      <c r="A10" s="877"/>
      <c r="B10" s="130">
        <v>0.1</v>
      </c>
      <c r="C10" s="129">
        <v>6.522E-3</v>
      </c>
      <c r="D10" s="129">
        <v>6.522E-3</v>
      </c>
      <c r="E10" s="129">
        <v>7.4840000000000002E-3</v>
      </c>
      <c r="F10" s="583">
        <f t="shared" si="0"/>
        <v>4.8100000000000009E-4</v>
      </c>
      <c r="G10" s="129">
        <v>2.0999999999999999E-5</v>
      </c>
      <c r="H10" s="120"/>
      <c r="I10" s="877"/>
      <c r="J10" s="130">
        <v>0.1</v>
      </c>
      <c r="K10" s="129" t="s">
        <v>10</v>
      </c>
      <c r="L10" s="129" t="s">
        <v>10</v>
      </c>
      <c r="M10" s="129">
        <v>-2.0000000000000001E-4</v>
      </c>
      <c r="N10" s="584">
        <f t="shared" ref="N10:N15" si="1">IF(0.5*(MAX(K10:M10)-MIN(K10:M10))=0,0.00001,0.5*(MAX(K10:M10)-MIN(K10:M10)))</f>
        <v>1.0000000000000001E-5</v>
      </c>
      <c r="O10" s="129">
        <v>5.1999999999999995E-4</v>
      </c>
      <c r="P10" s="120"/>
      <c r="Q10" s="877"/>
      <c r="R10" s="130">
        <v>0.1</v>
      </c>
      <c r="S10" s="129" t="s">
        <v>10</v>
      </c>
      <c r="T10" s="129" t="s">
        <v>10</v>
      </c>
      <c r="U10" s="359">
        <v>0</v>
      </c>
      <c r="V10" s="584">
        <f t="shared" ref="V10:V15" si="2">IF(0.5*(MAX(S10:U10)-MIN(S10:U10))=0,0.00001,0.5*(MAX(S10:U10)-MIN(S10:U10)))</f>
        <v>1.0000000000000001E-5</v>
      </c>
      <c r="W10" s="129">
        <v>5.1999999999999995E-4</v>
      </c>
      <c r="Y10" s="360"/>
      <c r="Z10" s="126"/>
      <c r="AA10" s="126"/>
      <c r="AB10" s="126"/>
      <c r="AC10" s="127"/>
      <c r="AD10" s="127"/>
      <c r="AE10" s="127"/>
    </row>
    <row r="11" spans="1:31" ht="14" x14ac:dyDescent="0.25">
      <c r="A11" s="877"/>
      <c r="B11" s="130">
        <v>1</v>
      </c>
      <c r="C11" s="129">
        <v>5.77E-3</v>
      </c>
      <c r="D11" s="129">
        <v>5.77E-3</v>
      </c>
      <c r="E11" s="129">
        <v>6.7499999999999999E-3</v>
      </c>
      <c r="F11" s="583">
        <f>IF(0.5*(MAX(C11:E11)-MIN(C11:E11))=0,0.00001,0.5*(MAX(C11:E11)-MIN(C11:E11)))</f>
        <v>4.8999999999999998E-4</v>
      </c>
      <c r="G11" s="129">
        <v>4.0000000000000003E-5</v>
      </c>
      <c r="H11" s="120"/>
      <c r="I11" s="877"/>
      <c r="J11" s="130">
        <v>1</v>
      </c>
      <c r="K11" s="129" t="s">
        <v>10</v>
      </c>
      <c r="L11" s="129" t="s">
        <v>10</v>
      </c>
      <c r="M11" s="359">
        <v>0</v>
      </c>
      <c r="N11" s="584">
        <f t="shared" si="1"/>
        <v>1.0000000000000001E-5</v>
      </c>
      <c r="O11" s="129">
        <v>5.1999999999999995E-4</v>
      </c>
      <c r="P11" s="120"/>
      <c r="Q11" s="877"/>
      <c r="R11" s="130">
        <v>1</v>
      </c>
      <c r="S11" s="129" t="s">
        <v>10</v>
      </c>
      <c r="T11" s="129" t="s">
        <v>10</v>
      </c>
      <c r="U11" s="129">
        <v>2.9999999999999997E-4</v>
      </c>
      <c r="V11" s="584">
        <f t="shared" si="2"/>
        <v>1.0000000000000001E-5</v>
      </c>
      <c r="W11" s="129">
        <v>5.1999999999999995E-4</v>
      </c>
      <c r="Y11" s="360"/>
      <c r="Z11" s="126"/>
      <c r="AA11" s="126"/>
      <c r="AB11" s="126"/>
      <c r="AC11" s="127"/>
      <c r="AD11" s="127"/>
      <c r="AE11" s="127"/>
    </row>
    <row r="12" spans="1:31" ht="14" x14ac:dyDescent="0.25">
      <c r="A12" s="877"/>
      <c r="B12" s="130">
        <v>2</v>
      </c>
      <c r="C12" s="129">
        <v>5.6699999999999997E-3</v>
      </c>
      <c r="D12" s="129">
        <v>5.6699999999999997E-3</v>
      </c>
      <c r="E12" s="129">
        <v>6.5599999999999999E-3</v>
      </c>
      <c r="F12" s="583">
        <f t="shared" si="0"/>
        <v>4.4500000000000008E-4</v>
      </c>
      <c r="G12" s="129">
        <v>1.2E-4</v>
      </c>
      <c r="H12" s="120"/>
      <c r="I12" s="877"/>
      <c r="J12" s="130">
        <v>2</v>
      </c>
      <c r="K12" s="129" t="s">
        <v>10</v>
      </c>
      <c r="L12" s="129" t="s">
        <v>10</v>
      </c>
      <c r="M12" s="129">
        <v>2.9999999999999997E-4</v>
      </c>
      <c r="N12" s="584">
        <f>IF(0.5*(MAX(K12:M12)-MIN(K12:M12))=0,0.00001,0.5*(MAX(K12:M12)-MIN(K12:M12)))</f>
        <v>1.0000000000000001E-5</v>
      </c>
      <c r="O12" s="129">
        <v>5.1999999999999995E-4</v>
      </c>
      <c r="P12" s="120"/>
      <c r="Q12" s="877"/>
      <c r="R12" s="130">
        <v>2</v>
      </c>
      <c r="S12" s="129" t="s">
        <v>10</v>
      </c>
      <c r="T12" s="129" t="s">
        <v>10</v>
      </c>
      <c r="U12" s="129">
        <v>2.9999999999999997E-4</v>
      </c>
      <c r="V12" s="584">
        <f>IF(0.5*(MAX(S12:U12)-MIN(S12:U12))=0,0.00001,0.5*(MAX(S12:U12)-MIN(S12:U12)))</f>
        <v>1.0000000000000001E-5</v>
      </c>
      <c r="W12" s="129">
        <v>5.1999999999999995E-4</v>
      </c>
      <c r="Y12" s="360"/>
      <c r="Z12" s="126"/>
      <c r="AA12" s="126"/>
      <c r="AB12" s="126"/>
      <c r="AC12" s="127"/>
      <c r="AD12" s="127"/>
      <c r="AE12" s="127"/>
    </row>
    <row r="13" spans="1:31" ht="14" x14ac:dyDescent="0.25">
      <c r="A13" s="877"/>
      <c r="B13" s="130">
        <v>3</v>
      </c>
      <c r="C13" s="129">
        <v>6.1799999999999997E-3</v>
      </c>
      <c r="D13" s="129">
        <v>6.1799999999999997E-3</v>
      </c>
      <c r="E13" s="129">
        <v>7.11E-3</v>
      </c>
      <c r="F13" s="583">
        <f t="shared" si="0"/>
        <v>4.6500000000000014E-4</v>
      </c>
      <c r="G13" s="129">
        <v>1.2999999999999999E-4</v>
      </c>
      <c r="H13" s="120"/>
      <c r="I13" s="877"/>
      <c r="J13" s="130">
        <v>3</v>
      </c>
      <c r="K13" s="129" t="s">
        <v>10</v>
      </c>
      <c r="L13" s="129" t="s">
        <v>10</v>
      </c>
      <c r="M13" s="129">
        <v>5.9999999999999995E-4</v>
      </c>
      <c r="N13" s="584">
        <f t="shared" si="1"/>
        <v>1.0000000000000001E-5</v>
      </c>
      <c r="O13" s="129">
        <v>5.1999999999999995E-4</v>
      </c>
      <c r="P13" s="120"/>
      <c r="Q13" s="877"/>
      <c r="R13" s="130">
        <v>3</v>
      </c>
      <c r="S13" s="129" t="s">
        <v>10</v>
      </c>
      <c r="T13" s="129" t="s">
        <v>10</v>
      </c>
      <c r="U13" s="129">
        <v>-1E-4</v>
      </c>
      <c r="V13" s="584">
        <f t="shared" si="2"/>
        <v>1.0000000000000001E-5</v>
      </c>
      <c r="W13" s="129">
        <v>5.1999999999999995E-4</v>
      </c>
      <c r="Y13" s="360"/>
      <c r="Z13" s="126"/>
      <c r="AA13" s="126"/>
      <c r="AB13" s="126"/>
      <c r="AC13" s="127"/>
      <c r="AD13" s="127"/>
      <c r="AE13" s="127"/>
    </row>
    <row r="14" spans="1:31" ht="14" x14ac:dyDescent="0.25">
      <c r="A14" s="877"/>
      <c r="B14" s="128">
        <v>500</v>
      </c>
      <c r="C14" s="129">
        <v>-2E-3</v>
      </c>
      <c r="D14" s="129">
        <v>-2E-3</v>
      </c>
      <c r="E14" s="129">
        <v>8.9999999999999993E-3</v>
      </c>
      <c r="F14" s="583">
        <f t="shared" si="0"/>
        <v>5.4999999999999997E-3</v>
      </c>
      <c r="G14" s="129">
        <v>1.2999999999999999E-2</v>
      </c>
      <c r="H14" s="120"/>
      <c r="I14" s="877"/>
      <c r="J14" s="130">
        <v>500</v>
      </c>
      <c r="K14" s="129" t="s">
        <v>10</v>
      </c>
      <c r="L14" s="129" t="s">
        <v>10</v>
      </c>
      <c r="M14" s="129">
        <v>-1E-3</v>
      </c>
      <c r="N14" s="584">
        <f t="shared" si="1"/>
        <v>1.0000000000000001E-5</v>
      </c>
      <c r="O14" s="129">
        <f>K17</f>
        <v>5.2000000000000006E-4</v>
      </c>
      <c r="P14" s="120"/>
      <c r="Q14" s="877"/>
      <c r="R14" s="130">
        <v>500</v>
      </c>
      <c r="S14" s="129" t="s">
        <v>10</v>
      </c>
      <c r="T14" s="129" t="s">
        <v>10</v>
      </c>
      <c r="U14" s="129">
        <v>-1.6E-2</v>
      </c>
      <c r="V14" s="584">
        <f t="shared" si="2"/>
        <v>1.0000000000000001E-5</v>
      </c>
      <c r="W14" s="129">
        <f>K17</f>
        <v>5.2000000000000006E-4</v>
      </c>
      <c r="Y14" s="131"/>
      <c r="Z14" s="132"/>
      <c r="AA14" s="132"/>
      <c r="AB14" s="132"/>
      <c r="AC14" s="132"/>
      <c r="AD14" s="132"/>
      <c r="AE14" s="132"/>
    </row>
    <row r="15" spans="1:31" ht="14" x14ac:dyDescent="0.25">
      <c r="A15" s="878"/>
      <c r="B15" s="128">
        <v>1000</v>
      </c>
      <c r="C15" s="129">
        <v>-0.04</v>
      </c>
      <c r="D15" s="129">
        <v>-0.04</v>
      </c>
      <c r="E15" s="129">
        <v>0.04</v>
      </c>
      <c r="F15" s="583">
        <f>IF(0.5*(MAX(C15:E15)-MIN(C15:E15))=0,0.00001,0.5*(MAX(C15:E15)-MIN(C15:E15)))</f>
        <v>0.04</v>
      </c>
      <c r="G15" s="129">
        <v>0.02</v>
      </c>
      <c r="H15" s="120"/>
      <c r="I15" s="878"/>
      <c r="J15" s="130">
        <v>1000</v>
      </c>
      <c r="K15" s="129" t="s">
        <v>10</v>
      </c>
      <c r="L15" s="129" t="s">
        <v>10</v>
      </c>
      <c r="M15" s="129">
        <v>2.8000000000000001E-2</v>
      </c>
      <c r="N15" s="584">
        <f t="shared" si="1"/>
        <v>1.0000000000000001E-5</v>
      </c>
      <c r="O15" s="129">
        <f>K17</f>
        <v>5.2000000000000006E-4</v>
      </c>
      <c r="P15" s="120"/>
      <c r="Q15" s="878"/>
      <c r="R15" s="130">
        <v>1000</v>
      </c>
      <c r="S15" s="129" t="s">
        <v>10</v>
      </c>
      <c r="T15" s="129" t="s">
        <v>10</v>
      </c>
      <c r="U15" s="129">
        <v>-3.0000000000000001E-3</v>
      </c>
      <c r="V15" s="584">
        <f t="shared" si="2"/>
        <v>1.0000000000000001E-5</v>
      </c>
      <c r="W15" s="129">
        <f>K17</f>
        <v>5.2000000000000006E-4</v>
      </c>
      <c r="Y15" s="131"/>
      <c r="Z15" s="132"/>
      <c r="AA15" s="132"/>
      <c r="AB15" s="132"/>
      <c r="AC15" s="132"/>
      <c r="AD15" s="132"/>
      <c r="AE15" s="132"/>
    </row>
    <row r="17" spans="1:27" x14ac:dyDescent="0.25">
      <c r="J17" s="73" t="s">
        <v>70</v>
      </c>
      <c r="K17" s="73">
        <f>(20/1000000)+(0.5/1000)</f>
        <v>5.2000000000000006E-4</v>
      </c>
    </row>
    <row r="18" spans="1:27" hidden="1" x14ac:dyDescent="0.25"/>
    <row r="19" spans="1:27" hidden="1" x14ac:dyDescent="0.25"/>
    <row r="20" spans="1:27" hidden="1" x14ac:dyDescent="0.25"/>
    <row r="21" spans="1:27" hidden="1" x14ac:dyDescent="0.25"/>
    <row r="22" spans="1:27" hidden="1" x14ac:dyDescent="0.25"/>
    <row r="25" spans="1:27" ht="27.75" customHeight="1" x14ac:dyDescent="0.25">
      <c r="A25" s="876">
        <v>4</v>
      </c>
      <c r="B25" s="879" t="s">
        <v>227</v>
      </c>
      <c r="C25" s="879"/>
      <c r="D25" s="879"/>
      <c r="E25" s="879"/>
      <c r="F25" s="879"/>
      <c r="G25" s="879"/>
      <c r="H25" s="120"/>
      <c r="I25" s="876">
        <v>5</v>
      </c>
      <c r="J25" s="879" t="s">
        <v>228</v>
      </c>
      <c r="K25" s="879"/>
      <c r="L25" s="879"/>
      <c r="M25" s="879"/>
      <c r="N25" s="879"/>
      <c r="O25" s="879"/>
      <c r="P25" s="120"/>
      <c r="Q25" s="876">
        <v>6</v>
      </c>
      <c r="R25" s="880" t="str">
        <f>B67</f>
        <v>Precision resistance Box, Merek : Time Electronics, Model : 1067, SN : 2272B21</v>
      </c>
      <c r="S25" s="880"/>
      <c r="T25" s="880"/>
      <c r="U25" s="880"/>
      <c r="V25" s="880"/>
      <c r="W25" s="880"/>
    </row>
    <row r="26" spans="1:27" ht="14" x14ac:dyDescent="0.3">
      <c r="A26" s="877"/>
      <c r="B26" s="881" t="s">
        <v>66</v>
      </c>
      <c r="C26" s="881"/>
      <c r="D26" s="881"/>
      <c r="E26" s="881"/>
      <c r="F26" s="121" t="s">
        <v>4</v>
      </c>
      <c r="G26" s="121" t="s">
        <v>67</v>
      </c>
      <c r="H26" s="120"/>
      <c r="I26" s="877"/>
      <c r="J26" s="881" t="s">
        <v>66</v>
      </c>
      <c r="K26" s="881"/>
      <c r="L26" s="881"/>
      <c r="M26" s="881"/>
      <c r="N26" s="121" t="s">
        <v>4</v>
      </c>
      <c r="O26" s="121" t="s">
        <v>67</v>
      </c>
      <c r="P26" s="120"/>
      <c r="Q26" s="877"/>
      <c r="R26" s="881" t="s">
        <v>66</v>
      </c>
      <c r="S26" s="881"/>
      <c r="T26" s="881"/>
      <c r="U26" s="881"/>
      <c r="V26" s="121" t="s">
        <v>4</v>
      </c>
      <c r="W26" s="121" t="s">
        <v>67</v>
      </c>
    </row>
    <row r="27" spans="1:27" ht="13" x14ac:dyDescent="0.25">
      <c r="A27" s="877"/>
      <c r="B27" s="875" t="s">
        <v>68</v>
      </c>
      <c r="C27" s="875"/>
      <c r="D27" s="875"/>
      <c r="E27" s="875"/>
      <c r="F27" s="121"/>
      <c r="G27" s="121"/>
      <c r="H27" s="120"/>
      <c r="I27" s="877"/>
      <c r="J27" s="875" t="s">
        <v>68</v>
      </c>
      <c r="K27" s="875"/>
      <c r="L27" s="875"/>
      <c r="M27" s="875"/>
      <c r="N27" s="121"/>
      <c r="O27" s="121"/>
      <c r="P27" s="120"/>
      <c r="Q27" s="877"/>
      <c r="R27" s="875" t="s">
        <v>68</v>
      </c>
      <c r="S27" s="875"/>
      <c r="T27" s="875"/>
      <c r="U27" s="875"/>
      <c r="V27" s="121"/>
      <c r="W27" s="121"/>
    </row>
    <row r="28" spans="1:27" ht="14.5" x14ac:dyDescent="0.25">
      <c r="A28" s="877"/>
      <c r="B28" s="124" t="s">
        <v>226</v>
      </c>
      <c r="C28" s="123">
        <v>2017</v>
      </c>
      <c r="D28" s="123">
        <v>2017</v>
      </c>
      <c r="E28" s="121">
        <v>2020</v>
      </c>
      <c r="F28" s="121"/>
      <c r="G28" s="121"/>
      <c r="H28" s="120"/>
      <c r="I28" s="877"/>
      <c r="J28" s="124" t="s">
        <v>226</v>
      </c>
      <c r="K28" s="123">
        <v>2017</v>
      </c>
      <c r="L28" s="123">
        <v>2017</v>
      </c>
      <c r="M28" s="121">
        <v>2020</v>
      </c>
      <c r="N28" s="121"/>
      <c r="O28" s="121"/>
      <c r="P28" s="120"/>
      <c r="Q28" s="877"/>
      <c r="R28" s="124" t="s">
        <v>226</v>
      </c>
      <c r="S28" s="123">
        <v>2017</v>
      </c>
      <c r="T28" s="123">
        <v>2017</v>
      </c>
      <c r="U28" s="121">
        <v>2021</v>
      </c>
      <c r="V28" s="121"/>
      <c r="W28" s="121"/>
    </row>
    <row r="29" spans="1:27" ht="14" x14ac:dyDescent="0.25">
      <c r="A29" s="877"/>
      <c r="B29" s="130">
        <v>0.01</v>
      </c>
      <c r="C29" s="129" t="s">
        <v>10</v>
      </c>
      <c r="D29" s="129" t="s">
        <v>10</v>
      </c>
      <c r="E29" s="359">
        <v>-2.0000000000000001E-4</v>
      </c>
      <c r="F29" s="584">
        <f>IF(0.5*(MAX(C29:E29)-MIN(C29:E29))=0,0.00001,0.5*(MAX(C29:E29)-MIN(C29:E29)))</f>
        <v>1.0000000000000001E-5</v>
      </c>
      <c r="G29" s="129">
        <v>5.1999999999999995E-4</v>
      </c>
      <c r="H29" s="120"/>
      <c r="I29" s="877"/>
      <c r="J29" s="130">
        <v>0.01</v>
      </c>
      <c r="K29" s="129" t="s">
        <v>10</v>
      </c>
      <c r="L29" s="129" t="s">
        <v>10</v>
      </c>
      <c r="M29" s="359">
        <v>9.9999999999999995E-7</v>
      </c>
      <c r="N29" s="584">
        <f>IF(0.5*(MAX(K29:M29)-MIN(K29:M29))=0,0.00001,0.5*(MAX(K29:M29)-MIN(K29:M29)))</f>
        <v>1.0000000000000001E-5</v>
      </c>
      <c r="O29" s="361">
        <f t="shared" ref="O29:O33" si="3">(20/1000000)+(0.5/1000)</f>
        <v>5.2000000000000006E-4</v>
      </c>
      <c r="P29" s="120"/>
      <c r="Q29" s="877"/>
      <c r="R29" s="130">
        <v>0.01</v>
      </c>
      <c r="S29" s="129" t="s">
        <v>10</v>
      </c>
      <c r="T29" s="129" t="s">
        <v>10</v>
      </c>
      <c r="U29" s="129">
        <v>-2.0000000000000001E-4</v>
      </c>
      <c r="V29" s="584">
        <f>IF(0.5*(MAX(S29:U29)-MIN(S29:U29))=0,0.00001,0.5*(MAX(S29:U29)-MIN(S29:U29)))</f>
        <v>1.0000000000000001E-5</v>
      </c>
      <c r="W29" s="129">
        <v>5.1999999999999995E-4</v>
      </c>
      <c r="X29" s="73">
        <f>9.8/1000</f>
        <v>9.8000000000000014E-3</v>
      </c>
      <c r="Y29" s="73">
        <f>X29-R29</f>
        <v>-1.9999999999999879E-4</v>
      </c>
      <c r="Z29" s="73">
        <f>20/1000000</f>
        <v>2.0000000000000002E-5</v>
      </c>
      <c r="AA29" s="73">
        <f>0.5/1000</f>
        <v>5.0000000000000001E-4</v>
      </c>
    </row>
    <row r="30" spans="1:27" ht="14" x14ac:dyDescent="0.25">
      <c r="A30" s="877"/>
      <c r="B30" s="130">
        <v>0.1</v>
      </c>
      <c r="C30" s="129" t="s">
        <v>10</v>
      </c>
      <c r="D30" s="129" t="s">
        <v>10</v>
      </c>
      <c r="E30" s="359">
        <v>-1E-4</v>
      </c>
      <c r="F30" s="584">
        <f t="shared" ref="F30:F35" si="4">IF(0.5*(MAX(C30:E30)-MIN(C30:E30))=0,0.00001,0.5*(MAX(C30:E30)-MIN(C30:E30)))</f>
        <v>1.0000000000000001E-5</v>
      </c>
      <c r="G30" s="129">
        <v>5.1999999999999995E-4</v>
      </c>
      <c r="H30" s="120"/>
      <c r="I30" s="877"/>
      <c r="J30" s="130">
        <v>0.1</v>
      </c>
      <c r="K30" s="129" t="s">
        <v>10</v>
      </c>
      <c r="L30" s="129" t="s">
        <v>10</v>
      </c>
      <c r="M30" s="359">
        <v>-2.9999999999999997E-4</v>
      </c>
      <c r="N30" s="584">
        <f t="shared" ref="N30:N35" si="5">IF(0.5*(MAX(K30:M30)-MIN(K30:M30))=0,0.00001,0.5*(MAX(K30:M30)-MIN(K30:M30)))</f>
        <v>1.0000000000000001E-5</v>
      </c>
      <c r="O30" s="361">
        <f t="shared" si="3"/>
        <v>5.2000000000000006E-4</v>
      </c>
      <c r="P30" s="120"/>
      <c r="Q30" s="877"/>
      <c r="R30" s="130">
        <v>0.1</v>
      </c>
      <c r="S30" s="129" t="s">
        <v>10</v>
      </c>
      <c r="T30" s="129" t="s">
        <v>10</v>
      </c>
      <c r="U30" s="129">
        <v>4.0000000000000002E-4</v>
      </c>
      <c r="V30" s="584">
        <f t="shared" ref="V30:V35" si="6">IF(0.5*(MAX(S30:U30)-MIN(S30:U30))=0,0.00001,0.5*(MAX(S30:U30)-MIN(S30:U30)))</f>
        <v>1.0000000000000001E-5</v>
      </c>
      <c r="W30" s="129">
        <v>5.1999999999999995E-4</v>
      </c>
      <c r="X30" s="73">
        <f>100.4/1000</f>
        <v>0.1004</v>
      </c>
      <c r="Y30" s="73">
        <f>X30-R30</f>
        <v>3.9999999999999758E-4</v>
      </c>
      <c r="AA30" s="73">
        <f>Z29+AA29</f>
        <v>5.2000000000000006E-4</v>
      </c>
    </row>
    <row r="31" spans="1:27" ht="14" x14ac:dyDescent="0.25">
      <c r="A31" s="877"/>
      <c r="B31" s="130">
        <v>1</v>
      </c>
      <c r="C31" s="129" t="s">
        <v>10</v>
      </c>
      <c r="D31" s="129" t="s">
        <v>10</v>
      </c>
      <c r="E31" s="359">
        <v>2.0000000000000001E-4</v>
      </c>
      <c r="F31" s="584">
        <f t="shared" si="4"/>
        <v>1.0000000000000001E-5</v>
      </c>
      <c r="G31" s="129">
        <v>5.1999999999999995E-4</v>
      </c>
      <c r="H31" s="120"/>
      <c r="I31" s="877"/>
      <c r="J31" s="130">
        <v>1</v>
      </c>
      <c r="K31" s="129" t="s">
        <v>10</v>
      </c>
      <c r="L31" s="129" t="s">
        <v>10</v>
      </c>
      <c r="M31" s="359">
        <v>4.0000000000000002E-4</v>
      </c>
      <c r="N31" s="584">
        <f t="shared" si="5"/>
        <v>1.0000000000000001E-5</v>
      </c>
      <c r="O31" s="361">
        <f t="shared" si="3"/>
        <v>5.2000000000000006E-4</v>
      </c>
      <c r="P31" s="120"/>
      <c r="Q31" s="877"/>
      <c r="R31" s="130">
        <v>1</v>
      </c>
      <c r="S31" s="129" t="s">
        <v>10</v>
      </c>
      <c r="T31" s="129" t="s">
        <v>10</v>
      </c>
      <c r="U31" s="129">
        <v>5.0000000000000001E-4</v>
      </c>
      <c r="V31" s="584">
        <f t="shared" si="6"/>
        <v>1.0000000000000001E-5</v>
      </c>
      <c r="W31" s="129">
        <v>5.1999999999999995E-4</v>
      </c>
      <c r="X31" s="73">
        <v>1.0004999999999999</v>
      </c>
      <c r="Y31" s="73">
        <f>X31-R31</f>
        <v>4.9999999999994493E-4</v>
      </c>
    </row>
    <row r="32" spans="1:27" ht="14" x14ac:dyDescent="0.25">
      <c r="A32" s="877"/>
      <c r="B32" s="130">
        <v>2</v>
      </c>
      <c r="C32" s="129" t="s">
        <v>10</v>
      </c>
      <c r="D32" s="129" t="s">
        <v>10</v>
      </c>
      <c r="E32" s="359">
        <v>9.9999999999999995E-7</v>
      </c>
      <c r="F32" s="584">
        <f>IF(0.5*(MAX(C32:E32)-MIN(C32:E32))=0,0.00001,0.5*(MAX(C32:E32)-MIN(C32:E32)))</f>
        <v>1.0000000000000001E-5</v>
      </c>
      <c r="G32" s="129">
        <v>5.1999999999999995E-4</v>
      </c>
      <c r="H32" s="120"/>
      <c r="I32" s="877"/>
      <c r="J32" s="130">
        <v>2</v>
      </c>
      <c r="K32" s="129" t="s">
        <v>10</v>
      </c>
      <c r="L32" s="129" t="s">
        <v>10</v>
      </c>
      <c r="M32" s="359">
        <v>8.0000000000000004E-4</v>
      </c>
      <c r="N32" s="584">
        <f>IF(0.5*(MAX(K32:M32)-MIN(K32:M32))=0,0.00001,0.5*(MAX(K32:M32)-MIN(K32:M32)))</f>
        <v>1.0000000000000001E-5</v>
      </c>
      <c r="O32" s="361">
        <f t="shared" si="3"/>
        <v>5.2000000000000006E-4</v>
      </c>
      <c r="P32" s="120"/>
      <c r="Q32" s="877"/>
      <c r="R32" s="130">
        <v>2</v>
      </c>
      <c r="S32" s="129" t="s">
        <v>10</v>
      </c>
      <c r="T32" s="129" t="s">
        <v>10</v>
      </c>
      <c r="U32" s="129">
        <v>8.9999999999999998E-4</v>
      </c>
      <c r="V32" s="584">
        <f>IF(0.5*(MAX(S32:U32)-MIN(S32:U32))=0,0.00001,0.5*(MAX(S32:U32)-MIN(S32:U32)))</f>
        <v>1.0000000000000001E-5</v>
      </c>
      <c r="W32" s="129">
        <v>5.1999999999999995E-4</v>
      </c>
      <c r="X32" s="73">
        <v>2.0009000000000001</v>
      </c>
      <c r="Y32" s="73">
        <f>X32-R32</f>
        <v>9.0000000000012292E-4</v>
      </c>
    </row>
    <row r="33" spans="1:37" ht="14" x14ac:dyDescent="0.25">
      <c r="A33" s="877"/>
      <c r="B33" s="130">
        <v>3</v>
      </c>
      <c r="C33" s="129" t="s">
        <v>10</v>
      </c>
      <c r="D33" s="129" t="s">
        <v>10</v>
      </c>
      <c r="E33" s="359">
        <v>-2.9999999999999997E-4</v>
      </c>
      <c r="F33" s="584">
        <f t="shared" si="4"/>
        <v>1.0000000000000001E-5</v>
      </c>
      <c r="G33" s="129">
        <v>5.1999999999999995E-4</v>
      </c>
      <c r="H33" s="120"/>
      <c r="I33" s="877"/>
      <c r="J33" s="130">
        <v>3</v>
      </c>
      <c r="K33" s="129" t="s">
        <v>10</v>
      </c>
      <c r="L33" s="129" t="s">
        <v>10</v>
      </c>
      <c r="M33" s="359">
        <v>-2.0000000000000001E-4</v>
      </c>
      <c r="N33" s="584">
        <f t="shared" si="5"/>
        <v>1.0000000000000001E-5</v>
      </c>
      <c r="O33" s="361">
        <f t="shared" si="3"/>
        <v>5.2000000000000006E-4</v>
      </c>
      <c r="P33" s="120"/>
      <c r="Q33" s="877"/>
      <c r="R33" s="130">
        <v>3</v>
      </c>
      <c r="S33" s="129" t="s">
        <v>10</v>
      </c>
      <c r="T33" s="129" t="s">
        <v>10</v>
      </c>
      <c r="U33" s="129">
        <v>-2.0000000000000001E-4</v>
      </c>
      <c r="V33" s="584">
        <f t="shared" si="6"/>
        <v>1.0000000000000001E-5</v>
      </c>
      <c r="W33" s="129">
        <v>5.1999999999999995E-4</v>
      </c>
      <c r="X33" s="73">
        <v>2.9998</v>
      </c>
      <c r="Y33" s="73">
        <f>X33-R33</f>
        <v>-1.9999999999997797E-4</v>
      </c>
    </row>
    <row r="34" spans="1:37" ht="14" x14ac:dyDescent="0.25">
      <c r="A34" s="877"/>
      <c r="B34" s="130">
        <v>500</v>
      </c>
      <c r="C34" s="129" t="s">
        <v>10</v>
      </c>
      <c r="D34" s="129" t="s">
        <v>10</v>
      </c>
      <c r="E34" s="129">
        <v>-8.0000000000000002E-3</v>
      </c>
      <c r="F34" s="584">
        <f t="shared" si="4"/>
        <v>1.0000000000000001E-5</v>
      </c>
      <c r="G34" s="129">
        <v>5.1999999999999995E-4</v>
      </c>
      <c r="H34" s="120"/>
      <c r="I34" s="877"/>
      <c r="J34" s="130">
        <v>500</v>
      </c>
      <c r="K34" s="129" t="s">
        <v>10</v>
      </c>
      <c r="L34" s="129" t="s">
        <v>10</v>
      </c>
      <c r="M34" s="129">
        <v>-1.2999999999999999E-2</v>
      </c>
      <c r="N34" s="584">
        <f t="shared" si="5"/>
        <v>1.0000000000000001E-5</v>
      </c>
      <c r="O34" s="129">
        <f>K17</f>
        <v>5.2000000000000006E-4</v>
      </c>
      <c r="P34" s="120"/>
      <c r="Q34" s="877"/>
      <c r="R34" s="130">
        <v>500</v>
      </c>
      <c r="S34" s="129" t="s">
        <v>10</v>
      </c>
      <c r="T34" s="129" t="s">
        <v>10</v>
      </c>
      <c r="U34" s="129">
        <v>1.4E-2</v>
      </c>
      <c r="V34" s="584">
        <f t="shared" si="6"/>
        <v>1.0000000000000001E-5</v>
      </c>
      <c r="W34" s="129">
        <v>5.1999999999999995E-4</v>
      </c>
    </row>
    <row r="35" spans="1:37" ht="14" x14ac:dyDescent="0.25">
      <c r="A35" s="878"/>
      <c r="B35" s="130">
        <v>1000</v>
      </c>
      <c r="C35" s="129" t="s">
        <v>10</v>
      </c>
      <c r="D35" s="129" t="s">
        <v>10</v>
      </c>
      <c r="E35" s="129">
        <v>-1.7000000000000001E-2</v>
      </c>
      <c r="F35" s="584">
        <f t="shared" si="4"/>
        <v>1.0000000000000001E-5</v>
      </c>
      <c r="G35" s="129">
        <f>K17</f>
        <v>5.2000000000000006E-4</v>
      </c>
      <c r="H35" s="120"/>
      <c r="I35" s="878"/>
      <c r="J35" s="130">
        <v>1000</v>
      </c>
      <c r="K35" s="129" t="s">
        <v>10</v>
      </c>
      <c r="L35" s="129" t="s">
        <v>10</v>
      </c>
      <c r="M35" s="129">
        <v>-2.4E-2</v>
      </c>
      <c r="N35" s="584">
        <f t="shared" si="5"/>
        <v>1.0000000000000001E-5</v>
      </c>
      <c r="O35" s="129">
        <f>K17</f>
        <v>5.2000000000000006E-4</v>
      </c>
      <c r="P35" s="120"/>
      <c r="Q35" s="878"/>
      <c r="R35" s="130">
        <v>1000</v>
      </c>
      <c r="S35" s="129" t="s">
        <v>10</v>
      </c>
      <c r="T35" s="129" t="s">
        <v>10</v>
      </c>
      <c r="U35" s="129">
        <v>1.0999999999999999E-2</v>
      </c>
      <c r="V35" s="584">
        <f t="shared" si="6"/>
        <v>1.0000000000000001E-5</v>
      </c>
      <c r="W35" s="129">
        <v>5.1999999999999995E-4</v>
      </c>
    </row>
    <row r="37" spans="1:37" x14ac:dyDescent="0.25">
      <c r="C37" s="73">
        <f>1000-999.983</f>
        <v>1.7000000000052751E-2</v>
      </c>
      <c r="L37" s="73">
        <f>1000-999.976</f>
        <v>2.4000000000000909E-2</v>
      </c>
    </row>
    <row r="39" spans="1:37" hidden="1" x14ac:dyDescent="0.25"/>
    <row r="40" spans="1:37" hidden="1" x14ac:dyDescent="0.25"/>
    <row r="41" spans="1:37" hidden="1" x14ac:dyDescent="0.25"/>
    <row r="42" spans="1:37" hidden="1" x14ac:dyDescent="0.25"/>
    <row r="43" spans="1:37" hidden="1" x14ac:dyDescent="0.25"/>
    <row r="44" spans="1:37" hidden="1" x14ac:dyDescent="0.25"/>
    <row r="45" spans="1:37" ht="15" x14ac:dyDescent="0.3">
      <c r="B45" s="133"/>
      <c r="C45" s="133"/>
      <c r="E45" s="133"/>
      <c r="F45" s="133"/>
      <c r="G45" s="133"/>
      <c r="S45" s="134"/>
      <c r="U45" s="134"/>
      <c r="V45" s="134"/>
      <c r="W45" s="134"/>
      <c r="Y45" s="356" t="str">
        <f>ID!C36</f>
        <v>Kalibrasi Earth Resistance</v>
      </c>
    </row>
    <row r="46" spans="1:37" ht="39" customHeight="1" x14ac:dyDescent="0.25">
      <c r="A46" s="799">
        <f>IF($B$61=$B$62,A4,IF($B$61=$B$63,I4,IF($B$61=$B$64,Q4,IF($B$61=$B$65,A25,IF($B$61=$B$66,I25,Q25)))))</f>
        <v>2</v>
      </c>
      <c r="B46" s="800" t="str">
        <f>IF($B$61=$B$62,B4,IF($B$61=$B$63,J4,IF($B$61=$B$64,R4,IF($B$61=$B$65,B25,IF($B$61=$B$66,J25,R25)))))</f>
        <v>Precision resistance Box, Merek : Time Electronics, Model : 1067, SN : 2258J20</v>
      </c>
      <c r="C46" s="801"/>
      <c r="D46" s="801"/>
      <c r="E46" s="801"/>
      <c r="F46" s="801"/>
      <c r="G46" s="802"/>
      <c r="J46" s="481"/>
      <c r="K46" s="362"/>
      <c r="L46" s="803"/>
      <c r="M46" s="363"/>
      <c r="N46" s="363"/>
      <c r="U46" s="135"/>
      <c r="V46" s="135"/>
      <c r="W46" s="135"/>
      <c r="Y46" s="342" t="s">
        <v>30</v>
      </c>
      <c r="Z46" s="342" t="s">
        <v>72</v>
      </c>
      <c r="AA46" s="343" t="s">
        <v>73</v>
      </c>
      <c r="AB46" s="343" t="s">
        <v>74</v>
      </c>
      <c r="AC46" s="343" t="s">
        <v>75</v>
      </c>
      <c r="AD46" s="344" t="s">
        <v>76</v>
      </c>
      <c r="AE46" s="343" t="s">
        <v>77</v>
      </c>
      <c r="AF46" s="345" t="s">
        <v>78</v>
      </c>
      <c r="AG46" s="343" t="s">
        <v>36</v>
      </c>
      <c r="AH46" s="343" t="s">
        <v>79</v>
      </c>
      <c r="AI46" s="344" t="s">
        <v>80</v>
      </c>
      <c r="AJ46" s="344" t="s">
        <v>81</v>
      </c>
      <c r="AK46" s="343" t="s">
        <v>12</v>
      </c>
    </row>
    <row r="47" spans="1:37" ht="14.25" customHeight="1" x14ac:dyDescent="0.25">
      <c r="A47" s="799"/>
      <c r="B47" s="789" t="str">
        <f>IF($B$61=$B$62,B5,IF($B$61=$B$63,J5,IF($B$61=$B$64,R5,IF($B$61=$B$65,B26,IF($B$61=$B$66,J26,R26)))))</f>
        <v>KOREKSI RESISTANCE BOX</v>
      </c>
      <c r="C47" s="790"/>
      <c r="D47" s="790"/>
      <c r="E47" s="791"/>
      <c r="F47" s="136" t="str">
        <f>IF($B$61=$B$62,F5,IF($B$61=$B$63,N5,IF($B$61=$B$64,V5,IF($B$61=$B$65,F26,IF($B$61=$B$66,N26,V26)))))</f>
        <v>DRIFT</v>
      </c>
      <c r="G47" s="136" t="str">
        <f>IF($B$61=$B$62,G5,IF($B$61=$B$63,O5,IF($B$61=$B$64,W5,IF($B$61=$B$65,G26,IF($B$61=$B$66,O26,W26)))))</f>
        <v>U 95</v>
      </c>
      <c r="J47" s="481" t="s">
        <v>79</v>
      </c>
      <c r="K47" s="362"/>
      <c r="L47" s="803"/>
      <c r="M47" s="363"/>
      <c r="N47" s="363"/>
      <c r="U47" s="135"/>
      <c r="V47" s="137"/>
      <c r="W47" s="137"/>
      <c r="Y47" s="346">
        <v>1</v>
      </c>
      <c r="Z47" s="786" t="str">
        <f>ID!C36</f>
        <v>Kalibrasi Earth Resistance</v>
      </c>
      <c r="AA47" s="351">
        <f>ID!D40</f>
        <v>0.01</v>
      </c>
      <c r="AB47" s="399"/>
      <c r="AC47" s="346">
        <f>AVERAGE(ID!M40:Q40)</f>
        <v>8.9899999999999997E-3</v>
      </c>
      <c r="AD47" s="353">
        <f>(FORECAST(AC47,$E$50:$E$57,$B$50:$B$57))</f>
        <v>-9.4184597950284707E-4</v>
      </c>
      <c r="AE47" s="353">
        <f>AC47+AD47</f>
        <v>8.0481540204971527E-3</v>
      </c>
      <c r="AF47" s="692">
        <f>AA47-AE47-ID!$F$46-AI47</f>
        <v>1.7964817959245617E-3</v>
      </c>
      <c r="AG47" s="354">
        <f>IF(STDEV(ID!M40:Q40)=0,0.00001,STDEV(ID!M40:Q40))</f>
        <v>1.0000000000000001E-5</v>
      </c>
      <c r="AH47" s="346">
        <f>0.5*ID!K40</f>
        <v>5.0000000000000001E-4</v>
      </c>
      <c r="AI47" s="693">
        <f>(FORECAST(AE47,$F$50:$F$57,$B$50:$B$57))</f>
        <v>1.4536418357828594E-4</v>
      </c>
      <c r="AJ47" s="694">
        <f>(FORECAST(AE47,$G$50:$G$57,$B$50:$B$57))</f>
        <v>4.3609255073485785E-4</v>
      </c>
      <c r="AK47" s="354">
        <f>KTPS!K92</f>
        <v>7.366633848484279E-4</v>
      </c>
    </row>
    <row r="48" spans="1:37" ht="14.25" customHeight="1" x14ac:dyDescent="0.25">
      <c r="A48" s="799"/>
      <c r="B48" s="789" t="str">
        <f>IF($B$61=$B$62,B6,IF($B$61=$B$63,J6,IF($B$61=$B$64,R6,IF($B$61=$B$65,B27,IF($B$61=$B$66,J27,R27)))))</f>
        <v>Resistance</v>
      </c>
      <c r="C48" s="790"/>
      <c r="D48" s="790"/>
      <c r="E48" s="791"/>
      <c r="F48" s="138"/>
      <c r="G48" s="138"/>
      <c r="J48" s="481"/>
      <c r="K48" s="362"/>
      <c r="L48" s="803"/>
      <c r="M48" s="363"/>
      <c r="N48" s="363"/>
      <c r="U48" s="135"/>
      <c r="V48" s="135"/>
      <c r="W48" s="135"/>
      <c r="Y48" s="346">
        <v>2</v>
      </c>
      <c r="Z48" s="787"/>
      <c r="AA48" s="351">
        <f>ID!D41</f>
        <v>0.1</v>
      </c>
      <c r="AB48" s="399"/>
      <c r="AC48" s="346">
        <f>AVERAGE(ID!M41:Q41)</f>
        <v>0.15298999999999999</v>
      </c>
      <c r="AD48" s="353">
        <f>(FORECAST(AC48,$E$50:$E$57,$B$50:$B$57))</f>
        <v>-9.3851429311654579E-4</v>
      </c>
      <c r="AE48" s="353">
        <f t="shared" ref="AE48:AE51" si="7">AC48+AD48</f>
        <v>0.15205148570688345</v>
      </c>
      <c r="AF48" s="692">
        <f>AA48-AE48-ID!$F$46-AI48</f>
        <v>-5.2206854743322463E-2</v>
      </c>
      <c r="AG48" s="354">
        <f>IF(STDEV(ID!M41:Q41)=0,0.00001,STDEV(ID!M41:Q41))</f>
        <v>1.0000000000000001E-5</v>
      </c>
      <c r="AH48" s="346">
        <f>0.5*ID!K41</f>
        <v>5.0000000000000001E-4</v>
      </c>
      <c r="AI48" s="693">
        <f t="shared" ref="AI48:AI51" si="8">(FORECAST(AE48,$F$50:$F$57,$B$50:$B$57))</f>
        <v>1.4536903643900935E-4</v>
      </c>
      <c r="AJ48" s="694">
        <f t="shared" ref="AJ48:AJ50" si="9">(FORECAST(AE48,$G$50:$G$57,$B$50:$B$57))</f>
        <v>4.3610710931702806E-4</v>
      </c>
      <c r="AK48" s="354">
        <f>KTPS!K105</f>
        <v>7.3667294461386723E-4</v>
      </c>
    </row>
    <row r="49" spans="1:37" ht="14.25" customHeight="1" x14ac:dyDescent="0.25">
      <c r="A49" s="799"/>
      <c r="B49" s="138" t="str">
        <f>IF($B$61=$B$62,B7,IF($B$61=$B$63,J7,IF($B$61=$B$64,R7,IF($B$61=$B$65,B28,IF($B$61=$B$66,J28,R28)))))</f>
        <v>( Ω )</v>
      </c>
      <c r="C49" s="138">
        <f t="shared" ref="C49:G57" si="10">IF($B$61=$B$62,C7,IF($B$61=$B$63,K7,IF($B$61=$B$64,S7,IF($B$61=$B$65,C28,IF($B$61=$B$66,K28,S28)))))</f>
        <v>2017</v>
      </c>
      <c r="D49" s="138">
        <f t="shared" si="10"/>
        <v>2017</v>
      </c>
      <c r="E49" s="138">
        <f t="shared" si="10"/>
        <v>2020</v>
      </c>
      <c r="F49" s="138"/>
      <c r="G49" s="138"/>
      <c r="J49" s="365"/>
      <c r="K49" s="366"/>
      <c r="L49" s="367"/>
      <c r="M49" s="364"/>
      <c r="N49" s="364"/>
      <c r="Y49" s="346">
        <v>3</v>
      </c>
      <c r="Z49" s="787"/>
      <c r="AA49" s="351">
        <f>ID!D42</f>
        <v>1</v>
      </c>
      <c r="AB49" s="399"/>
      <c r="AC49" s="346">
        <f>AVERAGE(ID!M42:Q42)</f>
        <v>1.05799</v>
      </c>
      <c r="AD49" s="353">
        <f>(FORECAST(AC49,$E$50:$E$57,$B$50:$B$57))</f>
        <v>-9.1757556964708309E-4</v>
      </c>
      <c r="AE49" s="353">
        <f t="shared" si="7"/>
        <v>1.0570724244303529</v>
      </c>
      <c r="AF49" s="692">
        <f>AA49-AE49-ID!$F$46-AI49</f>
        <v>-5.7227823965673517E-2</v>
      </c>
      <c r="AG49" s="695">
        <f>IFERROR(STDEV(ID!M42:Q42), 0.00001)</f>
        <v>0</v>
      </c>
      <c r="AH49" s="346">
        <f>0.5*ID!K42</f>
        <v>5.0000000000000001E-4</v>
      </c>
      <c r="AI49" s="693">
        <f t="shared" si="8"/>
        <v>1.4539953532063902E-4</v>
      </c>
      <c r="AJ49" s="694">
        <f t="shared" si="9"/>
        <v>4.3619860596191715E-4</v>
      </c>
      <c r="AK49" s="696">
        <f>KTPS!K118</f>
        <v>7.3668217567997968E-4</v>
      </c>
    </row>
    <row r="50" spans="1:37" ht="14.25" customHeight="1" x14ac:dyDescent="0.25">
      <c r="A50" s="799"/>
      <c r="B50" s="138">
        <f t="shared" ref="B50:B57" si="11">IF($B$61=$B$62,B8,IF($B$61=$B$63,J8,IF($B$61=$B$64,R8,IF($B$61=$B$65,B29,IF($B$61=$B$66,J29,R29)))))</f>
        <v>0</v>
      </c>
      <c r="C50" s="138">
        <f t="shared" si="10"/>
        <v>0</v>
      </c>
      <c r="D50" s="138">
        <f t="shared" si="10"/>
        <v>0</v>
      </c>
      <c r="E50" s="138">
        <f t="shared" si="10"/>
        <v>1.0000000000000001E-5</v>
      </c>
      <c r="F50" s="587">
        <f>IF($K$60=2,0.5*(MAX(C8:E8)-MIN(C8:E8)),(G50/3))</f>
        <v>3.333333333333333E-7</v>
      </c>
      <c r="G50" s="587">
        <f t="shared" si="10"/>
        <v>9.9999999999999995E-7</v>
      </c>
      <c r="J50" s="365"/>
      <c r="K50" s="366"/>
      <c r="L50" s="367"/>
      <c r="M50" s="364"/>
      <c r="N50" s="364"/>
      <c r="Y50" s="346">
        <v>4</v>
      </c>
      <c r="Z50" s="787"/>
      <c r="AA50" s="351">
        <f>ID!D43</f>
        <v>1.5</v>
      </c>
      <c r="AB50" s="399"/>
      <c r="AC50" s="346">
        <f>AVERAGE(ID!M43:Q43)</f>
        <v>1.5589899999999999</v>
      </c>
      <c r="AD50" s="353">
        <f t="shared" ref="AD50:AD51" si="12">(FORECAST(AC50,$E$50:$E$57,$B$50:$B$57))</f>
        <v>-9.0598407742807662E-4</v>
      </c>
      <c r="AE50" s="353">
        <f t="shared" si="7"/>
        <v>1.5580840159225717</v>
      </c>
      <c r="AF50" s="692">
        <f>AA50-AE50-ID!$F$46-AI50</f>
        <v>-5.8239432341803642E-2</v>
      </c>
      <c r="AG50" s="354">
        <f>IF(STDEV(ID!M43:Q43)=0,0.00001,STDEV(ID!M43:Q43))</f>
        <v>1.0000000000000001E-5</v>
      </c>
      <c r="AH50" s="346">
        <f>0.5*ID!K43</f>
        <v>5.0000000000000001E-4</v>
      </c>
      <c r="AI50" s="693">
        <f t="shared" si="8"/>
        <v>1.4541641923190586E-4</v>
      </c>
      <c r="AJ50" s="694">
        <f t="shared" si="9"/>
        <v>4.3624925769571762E-4</v>
      </c>
      <c r="AK50" s="354">
        <f>KTPS!K131</f>
        <v>7.367662962151296E-4</v>
      </c>
    </row>
    <row r="51" spans="1:37" ht="14.25" customHeight="1" x14ac:dyDescent="0.25">
      <c r="A51" s="799"/>
      <c r="B51" s="138">
        <f t="shared" si="11"/>
        <v>0.01</v>
      </c>
      <c r="C51" s="138" t="str">
        <f t="shared" si="10"/>
        <v>-</v>
      </c>
      <c r="D51" s="138" t="str">
        <f t="shared" si="10"/>
        <v>-</v>
      </c>
      <c r="E51" s="138">
        <f t="shared" si="10"/>
        <v>-4.0000000000000002E-4</v>
      </c>
      <c r="F51" s="587">
        <f t="shared" ref="F51:F57" si="13">IF($K$60=2,0.5*(MAX(C9:E9)-MIN(C9:E9)),(G51/3))</f>
        <v>1.7333333333333331E-4</v>
      </c>
      <c r="G51" s="587">
        <f t="shared" si="10"/>
        <v>5.1999999999999995E-4</v>
      </c>
      <c r="Y51" s="346">
        <v>5</v>
      </c>
      <c r="Z51" s="788"/>
      <c r="AA51" s="351">
        <f>ID!D44</f>
        <v>2</v>
      </c>
      <c r="AB51" s="399"/>
      <c r="AC51" s="352">
        <f>AVERAGE(ID!M44:Q44)</f>
        <v>2.0609899999999999</v>
      </c>
      <c r="AD51" s="353">
        <f t="shared" si="12"/>
        <v>-8.9436944849805413E-4</v>
      </c>
      <c r="AE51" s="353">
        <f t="shared" si="7"/>
        <v>2.0600956305515017</v>
      </c>
      <c r="AF51" s="692">
        <f>AA51-AE51-ID!$F$46-AI51</f>
        <v>-6.0251063888345287E-2</v>
      </c>
      <c r="AG51" s="354">
        <f>IF(STDEV(ID!M44:Q44)=0,0.00001,STDEV(ID!M44:Q44))</f>
        <v>1.0000000000000001E-5</v>
      </c>
      <c r="AH51" s="346">
        <f>0.5*ID!K44</f>
        <v>5.0000000000000001E-4</v>
      </c>
      <c r="AI51" s="693">
        <f t="shared" si="8"/>
        <v>1.4543333684359437E-4</v>
      </c>
      <c r="AJ51" s="694">
        <f>(FORECAST(AE51,$G$50:$G$57,$B$50:$B$57))</f>
        <v>4.3630001053078315E-4</v>
      </c>
      <c r="AK51" s="354">
        <f>KTPS!K144</f>
        <v>7.3679963147137552E-4</v>
      </c>
    </row>
    <row r="52" spans="1:37" ht="14.25" customHeight="1" x14ac:dyDescent="0.25">
      <c r="A52" s="799"/>
      <c r="B52" s="138">
        <f t="shared" si="11"/>
        <v>0.1</v>
      </c>
      <c r="C52" s="138" t="str">
        <f t="shared" si="10"/>
        <v>-</v>
      </c>
      <c r="D52" s="138" t="str">
        <f t="shared" si="10"/>
        <v>-</v>
      </c>
      <c r="E52" s="138">
        <f t="shared" si="10"/>
        <v>-2.0000000000000001E-4</v>
      </c>
      <c r="F52" s="587">
        <f t="shared" si="13"/>
        <v>1.7333333333333331E-4</v>
      </c>
      <c r="G52" s="587">
        <f t="shared" si="10"/>
        <v>5.1999999999999995E-4</v>
      </c>
    </row>
    <row r="53" spans="1:37" ht="14.25" customHeight="1" x14ac:dyDescent="0.25">
      <c r="A53" s="799"/>
      <c r="B53" s="138">
        <f t="shared" si="11"/>
        <v>1</v>
      </c>
      <c r="C53" s="138" t="str">
        <f t="shared" si="10"/>
        <v>-</v>
      </c>
      <c r="D53" s="138" t="str">
        <f t="shared" si="10"/>
        <v>-</v>
      </c>
      <c r="E53" s="138">
        <f t="shared" si="10"/>
        <v>0</v>
      </c>
      <c r="F53" s="587">
        <f t="shared" si="13"/>
        <v>1.7333333333333331E-4</v>
      </c>
      <c r="G53" s="587">
        <f t="shared" si="10"/>
        <v>5.1999999999999995E-4</v>
      </c>
    </row>
    <row r="54" spans="1:37" ht="14.25" customHeight="1" x14ac:dyDescent="0.25">
      <c r="A54" s="799"/>
      <c r="B54" s="138">
        <f t="shared" si="11"/>
        <v>2</v>
      </c>
      <c r="C54" s="138" t="str">
        <f t="shared" si="10"/>
        <v>-</v>
      </c>
      <c r="D54" s="138" t="str">
        <f t="shared" si="10"/>
        <v>-</v>
      </c>
      <c r="E54" s="138">
        <f t="shared" si="10"/>
        <v>2.9999999999999997E-4</v>
      </c>
      <c r="F54" s="587">
        <f t="shared" si="13"/>
        <v>1.7333333333333331E-4</v>
      </c>
      <c r="G54" s="587">
        <f t="shared" si="10"/>
        <v>5.1999999999999995E-4</v>
      </c>
    </row>
    <row r="55" spans="1:37" ht="14.25" customHeight="1" x14ac:dyDescent="0.25">
      <c r="A55" s="799"/>
      <c r="B55" s="138">
        <f t="shared" si="11"/>
        <v>3</v>
      </c>
      <c r="C55" s="138" t="str">
        <f t="shared" si="10"/>
        <v>-</v>
      </c>
      <c r="D55" s="138" t="str">
        <f t="shared" si="10"/>
        <v>-</v>
      </c>
      <c r="E55" s="138">
        <f t="shared" si="10"/>
        <v>5.9999999999999995E-4</v>
      </c>
      <c r="F55" s="587">
        <f t="shared" si="13"/>
        <v>1.7333333333333331E-4</v>
      </c>
      <c r="G55" s="587">
        <f t="shared" si="10"/>
        <v>5.1999999999999995E-4</v>
      </c>
    </row>
    <row r="56" spans="1:37" ht="14.25" customHeight="1" x14ac:dyDescent="0.25">
      <c r="A56" s="799"/>
      <c r="B56" s="138">
        <f t="shared" si="11"/>
        <v>500</v>
      </c>
      <c r="C56" s="138" t="str">
        <f t="shared" si="10"/>
        <v>-</v>
      </c>
      <c r="D56" s="138" t="str">
        <f t="shared" si="10"/>
        <v>-</v>
      </c>
      <c r="E56" s="138">
        <f t="shared" si="10"/>
        <v>-1E-3</v>
      </c>
      <c r="F56" s="587">
        <f t="shared" si="13"/>
        <v>1.7333333333333336E-4</v>
      </c>
      <c r="G56" s="587">
        <f t="shared" si="10"/>
        <v>5.2000000000000006E-4</v>
      </c>
    </row>
    <row r="57" spans="1:37" x14ac:dyDescent="0.25">
      <c r="A57" s="799"/>
      <c r="B57" s="138">
        <f t="shared" si="11"/>
        <v>1000</v>
      </c>
      <c r="C57" s="138" t="str">
        <f t="shared" si="10"/>
        <v>-</v>
      </c>
      <c r="D57" s="138" t="str">
        <f t="shared" si="10"/>
        <v>-</v>
      </c>
      <c r="E57" s="138">
        <f t="shared" si="10"/>
        <v>2.8000000000000001E-2</v>
      </c>
      <c r="F57" s="587">
        <f t="shared" si="13"/>
        <v>1.7333333333333336E-4</v>
      </c>
      <c r="G57" s="587">
        <f t="shared" si="10"/>
        <v>5.2000000000000006E-4</v>
      </c>
    </row>
    <row r="58" spans="1:37" x14ac:dyDescent="0.25">
      <c r="Y58" s="73" t="str">
        <f>ID!D47</f>
        <v>Point to Point</v>
      </c>
    </row>
    <row r="59" spans="1:37" ht="21" x14ac:dyDescent="0.25">
      <c r="Y59" s="342" t="s">
        <v>30</v>
      </c>
      <c r="Z59" s="342" t="s">
        <v>72</v>
      </c>
      <c r="AA59" s="343" t="s">
        <v>73</v>
      </c>
      <c r="AB59" s="343" t="s">
        <v>74</v>
      </c>
      <c r="AC59" s="343" t="s">
        <v>75</v>
      </c>
      <c r="AD59" s="344" t="s">
        <v>76</v>
      </c>
      <c r="AE59" s="343" t="s">
        <v>77</v>
      </c>
      <c r="AF59" s="345" t="s">
        <v>78</v>
      </c>
      <c r="AG59" s="343" t="s">
        <v>36</v>
      </c>
      <c r="AH59" s="343" t="s">
        <v>79</v>
      </c>
      <c r="AI59" s="344" t="s">
        <v>80</v>
      </c>
      <c r="AJ59" s="344" t="s">
        <v>81</v>
      </c>
      <c r="AK59" s="343" t="s">
        <v>12</v>
      </c>
    </row>
    <row r="60" spans="1:37" x14ac:dyDescent="0.25">
      <c r="J60" s="482" t="s">
        <v>83</v>
      </c>
      <c r="K60" s="183">
        <f>IF(O61=O62,2,1)</f>
        <v>1</v>
      </c>
      <c r="Y60" s="346">
        <v>1</v>
      </c>
      <c r="Z60" s="786" t="str">
        <f>Z47</f>
        <v>Kalibrasi Earth Resistance</v>
      </c>
      <c r="AA60" s="351">
        <f>ID!D48</f>
        <v>0.01</v>
      </c>
      <c r="AB60" s="489">
        <f>AA60+E51</f>
        <v>9.6000000000000009E-3</v>
      </c>
      <c r="AC60" s="346">
        <f>AVERAGE(ID!M48:Q48)</f>
        <v>8.9899999999999997E-3</v>
      </c>
      <c r="AD60" s="353">
        <f ca="1">(FORECAST(AC60,OFFSET($E$50:$E$57,MATCH(AC60,$B$50:$B$57,1)-1,0,2),OFFSET($B$50:$B$57,MATCH(AC60,$B$50:$B$57,1)-1,0,2)))</f>
        <v>-3.5858999999999999E-4</v>
      </c>
      <c r="AE60" s="353">
        <f ca="1">AC60+AD60</f>
        <v>8.6314099999999991E-3</v>
      </c>
      <c r="AF60" s="353">
        <f ca="1">AA60-AE60-AI60-ID!$F$54</f>
        <v>1.2132257967661974E-3</v>
      </c>
      <c r="AG60" s="353">
        <f>IF(STDEV(ID!M48:Q48)=0,0.00001,STDEV(ID!M48:Q48))</f>
        <v>1.0000000000000001E-5</v>
      </c>
      <c r="AH60" s="346">
        <f>0.5*ID!K48</f>
        <v>5.0000000000000001E-4</v>
      </c>
      <c r="AI60" s="693">
        <f ca="1">(FORECAST(AE60,$F$50:$F$57,$B$50:$B$57))</f>
        <v>1.4536420323380363E-4</v>
      </c>
      <c r="AJ60" s="693">
        <f ca="1">(FORECAST(AE60,$G$50:$G$57,$B$50:$B$57))</f>
        <v>4.3609260970141095E-4</v>
      </c>
      <c r="AK60" s="354">
        <f ca="1">KTPS!W92</f>
        <v>7.3666342356787189E-4</v>
      </c>
    </row>
    <row r="61" spans="1:37" x14ac:dyDescent="0.25">
      <c r="B61" s="139" t="str">
        <f>ID!B174</f>
        <v>Precision resistance Box, Merek : Time Electronics, Model : 1067, SN : 2258J20</v>
      </c>
      <c r="C61" s="140"/>
      <c r="D61" s="141"/>
      <c r="E61" s="140"/>
      <c r="F61" s="140"/>
      <c r="G61" s="140"/>
      <c r="H61" s="140"/>
      <c r="I61" s="140"/>
      <c r="J61" s="140"/>
      <c r="K61" s="142"/>
      <c r="L61" s="143"/>
      <c r="M61" s="144" t="s">
        <v>84</v>
      </c>
      <c r="N61" s="144"/>
      <c r="O61" s="144">
        <f>VLOOKUP(B61,B62:O67,14,(FALSE))</f>
        <v>2</v>
      </c>
      <c r="Y61" s="346">
        <v>2</v>
      </c>
      <c r="Z61" s="787"/>
      <c r="AA61" s="351">
        <f>ID!D49</f>
        <v>0.1</v>
      </c>
      <c r="AB61" s="489">
        <f>AA61+E52</f>
        <v>9.98E-2</v>
      </c>
      <c r="AC61" s="346">
        <f>AVERAGE(ID!M49:Q49)</f>
        <v>0.14098999999999998</v>
      </c>
      <c r="AD61" s="353">
        <f ca="1">(FORECAST(AC61,OFFSET($E$50:$E$57,MATCH(AC61,$B$50:$B$57,1)-1,0,2),OFFSET($B$50:$B$57,MATCH(AC61,$B$50:$B$57,1)-1,0,2)))</f>
        <v>-1.9089111111111114E-4</v>
      </c>
      <c r="AE61" s="353">
        <f t="shared" ref="AE61:AE64" ca="1" si="14">AC61+AD61</f>
        <v>0.14079910888888886</v>
      </c>
      <c r="AF61" s="692">
        <f ca="1">AA61-AE61-AI61-ID!$F$54</f>
        <v>-4.0954477546126793E-2</v>
      </c>
      <c r="AG61" s="353">
        <f>IF(STDEV(ID!M49:Q49)=0,0.00001,STDEV(ID!M49:Q49))</f>
        <v>1.0000000000000001E-5</v>
      </c>
      <c r="AH61" s="346">
        <f>0.5*ID!K49</f>
        <v>5.0000000000000001E-4</v>
      </c>
      <c r="AI61" s="693">
        <f t="shared" ref="AI61:AI64" ca="1" si="15">(FORECAST(AE61,$F$50:$F$57,$B$50:$B$57))</f>
        <v>1.4536865723793901E-4</v>
      </c>
      <c r="AJ61" s="693">
        <f t="shared" ref="AJ61:AJ63" ca="1" si="16">(FORECAST(AE61,$G$50:$G$57,$B$50:$B$57))</f>
        <v>4.361059717138171E-4</v>
      </c>
      <c r="AK61" s="354">
        <f ca="1">KTPS!W105</f>
        <v>7.3667219760906665E-4</v>
      </c>
    </row>
    <row r="62" spans="1:37" x14ac:dyDescent="0.25">
      <c r="B62" s="145" t="s">
        <v>189</v>
      </c>
      <c r="C62" s="146"/>
      <c r="D62" s="75"/>
      <c r="E62" s="146"/>
      <c r="F62" s="146"/>
      <c r="G62" s="146"/>
      <c r="H62" s="146"/>
      <c r="I62" s="146"/>
      <c r="J62" s="146"/>
      <c r="K62" s="147"/>
      <c r="L62" s="148">
        <f t="shared" ref="L62:M62" si="17">C7</f>
        <v>2017</v>
      </c>
      <c r="M62" s="148">
        <f t="shared" si="17"/>
        <v>2017</v>
      </c>
      <c r="N62" s="148">
        <f>E7</f>
        <v>2018</v>
      </c>
      <c r="O62" s="149">
        <v>1</v>
      </c>
      <c r="R62" s="145" t="s">
        <v>86</v>
      </c>
      <c r="S62" s="75"/>
      <c r="T62" s="75"/>
      <c r="U62" s="75"/>
      <c r="V62" s="75"/>
      <c r="W62" s="76"/>
      <c r="Y62" s="346">
        <v>3</v>
      </c>
      <c r="Z62" s="787"/>
      <c r="AA62" s="351">
        <f>ID!D50</f>
        <v>1</v>
      </c>
      <c r="AB62" s="489">
        <f>AA62+E53</f>
        <v>1</v>
      </c>
      <c r="AC62" s="346">
        <f>AVERAGE(ID!M50:Q50)</f>
        <v>1.03999</v>
      </c>
      <c r="AD62" s="353">
        <f t="shared" ref="AD62:AD63" ca="1" si="18">(FORECAST(AC62,OFFSET($E$50:$E$57,MATCH(AC62,$B$50:$B$57,1)-1,0,2),OFFSET($B$50:$B$57,MATCH(AC62,$B$50:$B$57,1)-1,0,2)))</f>
        <v>1.1996999999999919E-5</v>
      </c>
      <c r="AE62" s="353">
        <f t="shared" ca="1" si="14"/>
        <v>1.0400019970000001</v>
      </c>
      <c r="AF62" s="692">
        <f ca="1">AA62-AE62-AI62-ID!$F$54</f>
        <v>-4.0157395960053417E-2</v>
      </c>
      <c r="AG62" s="353">
        <f>IF(STDEV(ID!M50:Q50)=0,0.00001,STDEV(ID!M50:Q50))</f>
        <v>1.0000000000000001E-5</v>
      </c>
      <c r="AH62" s="346">
        <f>0.5*ID!K50</f>
        <v>5.0000000000000001E-4</v>
      </c>
      <c r="AI62" s="693">
        <f t="shared" ca="1" si="15"/>
        <v>1.4539896005334599E-4</v>
      </c>
      <c r="AJ62" s="693">
        <f t="shared" ca="1" si="16"/>
        <v>4.3619688016003803E-4</v>
      </c>
      <c r="AK62" s="354">
        <f ca="1">KTPS!W118</f>
        <v>7.3673189652442069E-4</v>
      </c>
    </row>
    <row r="63" spans="1:37" x14ac:dyDescent="0.25">
      <c r="B63" s="145" t="s">
        <v>224</v>
      </c>
      <c r="C63" s="146"/>
      <c r="D63" s="75"/>
      <c r="E63" s="146"/>
      <c r="F63" s="146"/>
      <c r="G63" s="146"/>
      <c r="H63" s="146"/>
      <c r="I63" s="146"/>
      <c r="J63" s="146"/>
      <c r="K63" s="147"/>
      <c r="L63" s="148">
        <f t="shared" ref="L63:M63" si="19">K7</f>
        <v>2017</v>
      </c>
      <c r="M63" s="148">
        <f t="shared" si="19"/>
        <v>2017</v>
      </c>
      <c r="N63" s="148">
        <f>M7</f>
        <v>2020</v>
      </c>
      <c r="O63" s="149">
        <v>2</v>
      </c>
      <c r="R63" s="145" t="s">
        <v>88</v>
      </c>
      <c r="S63" s="75"/>
      <c r="T63" s="75"/>
      <c r="U63" s="75"/>
      <c r="V63" s="75"/>
      <c r="W63" s="76"/>
      <c r="Y63" s="346">
        <v>4</v>
      </c>
      <c r="Z63" s="787"/>
      <c r="AA63" s="351">
        <f>ID!D51</f>
        <v>1.5</v>
      </c>
      <c r="AB63" s="489">
        <f>AA63+E54</f>
        <v>1.5003</v>
      </c>
      <c r="AC63" s="346">
        <f>AVERAGE(ID!M51:Q51)</f>
        <v>1.53999</v>
      </c>
      <c r="AD63" s="353">
        <f t="shared" ca="1" si="18"/>
        <v>1.6199699999999993E-4</v>
      </c>
      <c r="AE63" s="353">
        <f t="shared" ca="1" si="14"/>
        <v>1.5401519969999999</v>
      </c>
      <c r="AF63" s="692">
        <f ca="1">AA63-AE63-AI63-ID!$F$54</f>
        <v>-4.0307412814929229E-2</v>
      </c>
      <c r="AG63" s="353">
        <f>IF(STDEV(ID!M51:Q51)=0,0.00001,STDEV(ID!M51:Q51))</f>
        <v>1.0000000000000001E-5</v>
      </c>
      <c r="AH63" s="346">
        <f>0.5*ID!K51</f>
        <v>5.0000000000000001E-4</v>
      </c>
      <c r="AI63" s="693">
        <f t="shared" ca="1" si="15"/>
        <v>1.4541581492928798E-4</v>
      </c>
      <c r="AJ63" s="693">
        <f t="shared" ca="1" si="16"/>
        <v>4.36247444787864E-4</v>
      </c>
      <c r="AK63" s="354">
        <f ca="1">KTPS!W131</f>
        <v>7.3676510551641409E-4</v>
      </c>
    </row>
    <row r="64" spans="1:37" x14ac:dyDescent="0.25">
      <c r="B64" s="145" t="s">
        <v>225</v>
      </c>
      <c r="C64" s="146"/>
      <c r="D64" s="75"/>
      <c r="E64" s="146"/>
      <c r="F64" s="146"/>
      <c r="G64" s="146"/>
      <c r="H64" s="146"/>
      <c r="I64" s="146"/>
      <c r="J64" s="146"/>
      <c r="K64" s="147"/>
      <c r="L64" s="148">
        <f t="shared" ref="L64:M64" si="20">S7</f>
        <v>2017</v>
      </c>
      <c r="M64" s="148">
        <f t="shared" si="20"/>
        <v>2017</v>
      </c>
      <c r="N64" s="148">
        <f>U7</f>
        <v>2020</v>
      </c>
      <c r="O64" s="149">
        <v>3</v>
      </c>
      <c r="R64" s="145" t="s">
        <v>88</v>
      </c>
      <c r="S64" s="75"/>
      <c r="T64" s="75"/>
      <c r="U64" s="75"/>
      <c r="V64" s="75"/>
      <c r="W64" s="76"/>
      <c r="Y64" s="346">
        <v>5</v>
      </c>
      <c r="Z64" s="788"/>
      <c r="AA64" s="351">
        <f>ID!D52</f>
        <v>2</v>
      </c>
      <c r="AB64" s="489">
        <f>AA64+E55</f>
        <v>2.0005999999999999</v>
      </c>
      <c r="AC64" s="346">
        <f>AVERAGE(ID!M52:Q52)</f>
        <v>2.0419899999999997</v>
      </c>
      <c r="AD64" s="353">
        <f ca="1">(FORECAST(AC64,OFFSET($E$50:$E$57,MATCH(AC64,$B$50:$B$57,1)-1,0,2),OFFSET($B$50:$B$57,MATCH(AC64,$B$50:$B$57,1)-1,0,2)))</f>
        <v>3.1259699999999996E-4</v>
      </c>
      <c r="AE64" s="353">
        <f t="shared" ca="1" si="14"/>
        <v>2.0423025969999999</v>
      </c>
      <c r="AF64" s="692">
        <f ca="1">AA64-AE64-AI64-ID!$F$54</f>
        <v>-4.2458029737224678E-2</v>
      </c>
      <c r="AG64" s="353">
        <f>IF(STDEV(ID!M52:Q52)=0,0.00001,STDEV(ID!M52:Q52))</f>
        <v>1.0000000000000001E-5</v>
      </c>
      <c r="AH64" s="346">
        <f>0.5*ID!K52</f>
        <v>5.0000000000000001E-4</v>
      </c>
      <c r="AI64" s="693">
        <f t="shared" ca="1" si="15"/>
        <v>1.4543273722473373E-4</v>
      </c>
      <c r="AJ64" s="693">
        <f ca="1">(FORECAST(AE64,$G$50:$G$57,$B$50:$B$57))</f>
        <v>4.3629821167420128E-4</v>
      </c>
      <c r="AK64" s="354">
        <f ca="1">KTPS!W144</f>
        <v>7.3679844991030399E-4</v>
      </c>
    </row>
    <row r="65" spans="2:23" x14ac:dyDescent="0.25">
      <c r="B65" s="145" t="s">
        <v>227</v>
      </c>
      <c r="C65" s="146"/>
      <c r="D65" s="75"/>
      <c r="E65" s="146"/>
      <c r="F65" s="146"/>
      <c r="G65" s="146"/>
      <c r="H65" s="146"/>
      <c r="I65" s="146"/>
      <c r="J65" s="146"/>
      <c r="K65" s="147"/>
      <c r="L65" s="148">
        <f t="shared" ref="L65:M65" si="21">C28</f>
        <v>2017</v>
      </c>
      <c r="M65" s="148">
        <f t="shared" si="21"/>
        <v>2017</v>
      </c>
      <c r="N65" s="148">
        <f>E28</f>
        <v>2020</v>
      </c>
      <c r="O65" s="149">
        <v>4</v>
      </c>
      <c r="R65" s="145" t="s">
        <v>88</v>
      </c>
      <c r="S65" s="75"/>
      <c r="T65" s="75"/>
      <c r="U65" s="75"/>
      <c r="V65" s="75"/>
      <c r="W65" s="76"/>
    </row>
    <row r="66" spans="2:23" x14ac:dyDescent="0.25">
      <c r="B66" s="145" t="s">
        <v>229</v>
      </c>
      <c r="C66" s="146"/>
      <c r="D66" s="75"/>
      <c r="E66" s="146"/>
      <c r="F66" s="146"/>
      <c r="G66" s="146"/>
      <c r="H66" s="146"/>
      <c r="I66" s="146"/>
      <c r="J66" s="146"/>
      <c r="K66" s="147"/>
      <c r="L66" s="148">
        <f t="shared" ref="L66:M66" si="22">K28</f>
        <v>2017</v>
      </c>
      <c r="M66" s="148">
        <f t="shared" si="22"/>
        <v>2017</v>
      </c>
      <c r="N66" s="148">
        <f>M28</f>
        <v>2020</v>
      </c>
      <c r="O66" s="149">
        <v>5</v>
      </c>
      <c r="R66" s="145" t="s">
        <v>88</v>
      </c>
      <c r="S66" s="75"/>
      <c r="T66" s="75"/>
      <c r="U66" s="75"/>
      <c r="V66" s="75"/>
      <c r="W66" s="76"/>
    </row>
    <row r="67" spans="2:23" x14ac:dyDescent="0.25">
      <c r="B67" s="145" t="s">
        <v>230</v>
      </c>
      <c r="C67" s="146"/>
      <c r="D67" s="75"/>
      <c r="E67" s="146"/>
      <c r="F67" s="146"/>
      <c r="G67" s="146"/>
      <c r="H67" s="146"/>
      <c r="I67" s="146"/>
      <c r="J67" s="146"/>
      <c r="K67" s="147"/>
      <c r="L67" s="148">
        <f t="shared" ref="L67:M67" si="23">S28</f>
        <v>2017</v>
      </c>
      <c r="M67" s="148">
        <f t="shared" si="23"/>
        <v>2017</v>
      </c>
      <c r="N67" s="148">
        <f>U28</f>
        <v>2021</v>
      </c>
      <c r="O67" s="149">
        <v>6</v>
      </c>
      <c r="R67" s="145" t="s">
        <v>88</v>
      </c>
      <c r="S67" s="75"/>
      <c r="T67" s="75"/>
      <c r="U67" s="75"/>
      <c r="V67" s="75"/>
      <c r="W67" s="76"/>
    </row>
    <row r="68" spans="2:23" ht="15" customHeight="1" x14ac:dyDescent="0.25">
      <c r="B68" s="150" t="str">
        <f>IF(O61=1,R62,R63)</f>
        <v>Hasil Kalibrasi Earth Resistance tertelusur ke Satuan Internasional ( SI ) melalui UKAS</v>
      </c>
      <c r="C68" s="151"/>
      <c r="D68" s="75"/>
      <c r="E68" s="152"/>
      <c r="F68" s="152"/>
      <c r="G68" s="152"/>
      <c r="H68" s="152"/>
      <c r="I68" s="152"/>
      <c r="J68" s="152"/>
      <c r="K68" s="153"/>
      <c r="L68" s="143"/>
      <c r="M68" s="154"/>
      <c r="N68" s="154"/>
      <c r="O68" s="154"/>
      <c r="R68" s="145" t="str">
        <f>IF(O61=O62,R62,R63)</f>
        <v>Hasil Kalibrasi Earth Resistance tertelusur ke Satuan Internasional ( SI ) melalui UKAS</v>
      </c>
      <c r="S68" s="75"/>
      <c r="T68" s="75"/>
      <c r="U68" s="75"/>
      <c r="V68" s="75"/>
      <c r="W68" s="76"/>
    </row>
    <row r="69" spans="2:23" x14ac:dyDescent="0.25">
      <c r="B69" s="462" t="s">
        <v>93</v>
      </c>
    </row>
  </sheetData>
  <mergeCells count="35">
    <mergeCell ref="R4:W4"/>
    <mergeCell ref="B5:E5"/>
    <mergeCell ref="J5:M5"/>
    <mergeCell ref="R5:U5"/>
    <mergeCell ref="A4:A15"/>
    <mergeCell ref="B4:G4"/>
    <mergeCell ref="I4:I15"/>
    <mergeCell ref="J4:O4"/>
    <mergeCell ref="Q4:Q15"/>
    <mergeCell ref="AE5:AE7"/>
    <mergeCell ref="B6:E6"/>
    <mergeCell ref="J6:M6"/>
    <mergeCell ref="R6:U6"/>
    <mergeCell ref="Y6:AC6"/>
    <mergeCell ref="J26:M26"/>
    <mergeCell ref="R26:U26"/>
    <mergeCell ref="B27:E27"/>
    <mergeCell ref="Y5:AC5"/>
    <mergeCell ref="AD5:AD7"/>
    <mergeCell ref="Z47:Z51"/>
    <mergeCell ref="A46:A57"/>
    <mergeCell ref="Z60:Z64"/>
    <mergeCell ref="J27:M27"/>
    <mergeCell ref="R27:U27"/>
    <mergeCell ref="B46:G46"/>
    <mergeCell ref="L46:L48"/>
    <mergeCell ref="B47:E47"/>
    <mergeCell ref="B48:E48"/>
    <mergeCell ref="A25:A35"/>
    <mergeCell ref="B25:G25"/>
    <mergeCell ref="I25:I35"/>
    <mergeCell ref="J25:O25"/>
    <mergeCell ref="Q25:Q35"/>
    <mergeCell ref="R25:W25"/>
    <mergeCell ref="B26:E26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C1AC5-0776-4F40-8C05-CEE984E9D7D4}">
  <dimension ref="A1:T177"/>
  <sheetViews>
    <sheetView view="pageBreakPreview" topLeftCell="A121" zoomScale="78" zoomScaleNormal="96" zoomScaleSheetLayoutView="78" workbookViewId="0">
      <selection activeCell="I172" sqref="I172"/>
    </sheetView>
  </sheetViews>
  <sheetFormatPr defaultColWidth="9.1796875" defaultRowHeight="14.5" x14ac:dyDescent="0.35"/>
  <cols>
    <col min="1" max="1" width="3" style="88" customWidth="1"/>
    <col min="2" max="2" width="0.7265625" style="88" customWidth="1"/>
    <col min="3" max="3" width="3" style="88" customWidth="1"/>
    <col min="4" max="4" width="1" style="88" customWidth="1"/>
    <col min="5" max="5" width="6" style="88" customWidth="1"/>
    <col min="6" max="6" width="17.81640625" style="88" customWidth="1"/>
    <col min="7" max="7" width="1.453125" style="88" customWidth="1"/>
    <col min="8" max="8" width="18.54296875" style="88" customWidth="1"/>
    <col min="9" max="11" width="19.81640625" style="88" customWidth="1"/>
    <col min="12" max="18" width="9.1796875" style="88" customWidth="1"/>
    <col min="19" max="16384" width="9.1796875" style="88"/>
  </cols>
  <sheetData>
    <row r="1" spans="1:20" ht="18" x14ac:dyDescent="0.35">
      <c r="A1" s="913" t="s">
        <v>231</v>
      </c>
      <c r="B1" s="913"/>
      <c r="C1" s="913"/>
      <c r="D1" s="913"/>
      <c r="E1" s="913"/>
      <c r="F1" s="913"/>
      <c r="G1" s="913"/>
      <c r="H1" s="913"/>
      <c r="I1" s="913"/>
      <c r="J1" s="913"/>
      <c r="K1" s="913"/>
    </row>
    <row r="2" spans="1:20" ht="15.5" x14ac:dyDescent="0.35">
      <c r="A2" s="914" t="str">
        <f>ID!A2&amp;ID!I2</f>
        <v>Nomor Sertifikat : 87 / 1 / VIII - 22 / E - 099 Dt</v>
      </c>
      <c r="B2" s="914"/>
      <c r="C2" s="914"/>
      <c r="D2" s="914"/>
      <c r="E2" s="914"/>
      <c r="F2" s="914"/>
      <c r="G2" s="914"/>
      <c r="H2" s="914"/>
      <c r="I2" s="914"/>
      <c r="J2" s="914"/>
      <c r="K2" s="914"/>
    </row>
    <row r="3" spans="1:20" ht="15.5" x14ac:dyDescent="0.35">
      <c r="A3" s="90"/>
      <c r="B3" s="90"/>
      <c r="C3" s="90"/>
      <c r="D3" s="90"/>
      <c r="E3" s="90"/>
      <c r="F3" s="90"/>
      <c r="G3" s="90"/>
      <c r="H3" s="90"/>
      <c r="I3" s="90"/>
      <c r="J3" s="89"/>
      <c r="K3" s="89"/>
    </row>
    <row r="5" spans="1:20" x14ac:dyDescent="0.35">
      <c r="A5" s="895" t="s">
        <v>96</v>
      </c>
      <c r="B5" s="895"/>
      <c r="C5" s="895"/>
      <c r="D5" s="895"/>
      <c r="E5" s="895"/>
      <c r="F5" s="895"/>
      <c r="G5" s="91" t="s">
        <v>97</v>
      </c>
      <c r="H5" s="92" t="str">
        <f>ID!E5</f>
        <v>Fluke</v>
      </c>
    </row>
    <row r="6" spans="1:20" x14ac:dyDescent="0.35">
      <c r="A6" s="895" t="s">
        <v>98</v>
      </c>
      <c r="B6" s="895"/>
      <c r="C6" s="895"/>
      <c r="D6" s="895"/>
      <c r="E6" s="895"/>
      <c r="F6" s="895"/>
      <c r="G6" s="91" t="s">
        <v>97</v>
      </c>
      <c r="H6" s="92" t="str">
        <f>ID!E6</f>
        <v>ESA 615</v>
      </c>
    </row>
    <row r="7" spans="1:20" x14ac:dyDescent="0.35">
      <c r="A7" s="895" t="s">
        <v>99</v>
      </c>
      <c r="B7" s="895"/>
      <c r="C7" s="895"/>
      <c r="D7" s="895"/>
      <c r="E7" s="895"/>
      <c r="F7" s="895"/>
      <c r="G7" s="91" t="s">
        <v>97</v>
      </c>
      <c r="H7" s="92" t="str">
        <f>ID!E7</f>
        <v>4669058</v>
      </c>
    </row>
    <row r="8" spans="1:20" ht="15.5" x14ac:dyDescent="0.35">
      <c r="A8" s="895" t="s">
        <v>100</v>
      </c>
      <c r="B8" s="895"/>
      <c r="C8" s="895"/>
      <c r="D8" s="895"/>
      <c r="E8" s="895"/>
      <c r="F8" s="895"/>
      <c r="G8" s="91" t="s">
        <v>97</v>
      </c>
      <c r="H8" s="92" t="str">
        <f>ID!E8</f>
        <v>3 Agustus 2022</v>
      </c>
      <c r="R8" s="902"/>
      <c r="S8" s="902"/>
      <c r="T8" s="902"/>
    </row>
    <row r="9" spans="1:20" x14ac:dyDescent="0.35">
      <c r="A9" s="895" t="s">
        <v>101</v>
      </c>
      <c r="B9" s="895"/>
      <c r="C9" s="895"/>
      <c r="D9" s="895"/>
      <c r="E9" s="895"/>
      <c r="F9" s="895"/>
      <c r="G9" s="91" t="s">
        <v>97</v>
      </c>
      <c r="H9" s="92" t="str">
        <f>ID!E9</f>
        <v>3 Agustus 2022</v>
      </c>
      <c r="R9" s="94"/>
      <c r="S9" s="94"/>
      <c r="T9" s="94"/>
    </row>
    <row r="10" spans="1:20" x14ac:dyDescent="0.35">
      <c r="A10" s="895" t="s">
        <v>102</v>
      </c>
      <c r="B10" s="895"/>
      <c r="C10" s="895"/>
      <c r="D10" s="895"/>
      <c r="E10" s="895"/>
      <c r="F10" s="895"/>
      <c r="G10" s="91" t="s">
        <v>97</v>
      </c>
      <c r="H10" s="447" t="str">
        <f>ID!E10</f>
        <v>-</v>
      </c>
      <c r="R10" s="95"/>
      <c r="S10" s="96"/>
      <c r="T10" s="97"/>
    </row>
    <row r="11" spans="1:20" x14ac:dyDescent="0.35">
      <c r="A11" s="895" t="s">
        <v>103</v>
      </c>
      <c r="B11" s="895"/>
      <c r="C11" s="895"/>
      <c r="D11" s="895"/>
      <c r="E11" s="895"/>
      <c r="F11" s="895"/>
      <c r="G11" s="91" t="s">
        <v>97</v>
      </c>
      <c r="H11" s="92" t="str">
        <f>ID!E11</f>
        <v>Laboratorium Kalibrasi LPFK Banjarbaru</v>
      </c>
      <c r="R11" s="95"/>
      <c r="S11" s="96"/>
      <c r="T11" s="97"/>
    </row>
    <row r="12" spans="1:20" x14ac:dyDescent="0.35">
      <c r="A12" s="895" t="s">
        <v>104</v>
      </c>
      <c r="B12" s="895"/>
      <c r="C12" s="895"/>
      <c r="D12" s="895"/>
      <c r="E12" s="895"/>
      <c r="F12" s="895"/>
      <c r="G12" s="91" t="s">
        <v>97</v>
      </c>
      <c r="H12" s="92" t="s">
        <v>105</v>
      </c>
      <c r="R12" s="95"/>
      <c r="S12" s="96"/>
      <c r="T12" s="97"/>
    </row>
    <row r="13" spans="1:20" x14ac:dyDescent="0.35">
      <c r="N13" s="98"/>
      <c r="R13" s="95"/>
      <c r="T13" s="97"/>
    </row>
    <row r="14" spans="1:20" ht="15" customHeight="1" x14ac:dyDescent="0.35">
      <c r="A14" s="99" t="s">
        <v>106</v>
      </c>
      <c r="B14" s="99"/>
      <c r="C14" s="99" t="s">
        <v>107</v>
      </c>
      <c r="D14" s="99"/>
      <c r="E14" s="99"/>
      <c r="F14" s="99"/>
      <c r="G14" s="100"/>
      <c r="H14" s="443"/>
      <c r="I14" s="443"/>
      <c r="J14" s="437"/>
      <c r="K14" s="437"/>
      <c r="R14" s="95"/>
      <c r="T14" s="101"/>
    </row>
    <row r="15" spans="1:20" x14ac:dyDescent="0.35">
      <c r="A15" s="102"/>
      <c r="B15" s="102"/>
      <c r="C15" s="903" t="s">
        <v>110</v>
      </c>
      <c r="D15" s="903"/>
      <c r="E15" s="903"/>
      <c r="F15" s="102"/>
      <c r="G15" s="91" t="s">
        <v>97</v>
      </c>
      <c r="H15" s="445" t="str">
        <f>'Sert Thermohygro'!Q381</f>
        <v>( 21.0 ± 0.5 ) °C</v>
      </c>
      <c r="I15" s="444"/>
      <c r="J15" s="104"/>
      <c r="K15" s="104"/>
      <c r="R15" s="95"/>
      <c r="T15" s="101"/>
    </row>
    <row r="16" spans="1:20" x14ac:dyDescent="0.35">
      <c r="A16" s="102"/>
      <c r="B16" s="102"/>
      <c r="C16" s="102" t="s">
        <v>112</v>
      </c>
      <c r="D16" s="102"/>
      <c r="E16" s="102"/>
      <c r="F16" s="102"/>
      <c r="G16" s="91" t="s">
        <v>97</v>
      </c>
      <c r="H16" s="445" t="str">
        <f>'Sert Thermohygro'!Q382</f>
        <v>( 56.3 ± 3.1 ) %RH</v>
      </c>
      <c r="I16" s="444"/>
      <c r="J16" s="104"/>
      <c r="K16" s="104"/>
      <c r="R16" s="95"/>
    </row>
    <row r="17" spans="1:18" x14ac:dyDescent="0.35">
      <c r="A17" s="102"/>
      <c r="B17" s="102"/>
      <c r="C17" s="102"/>
      <c r="D17" s="102"/>
      <c r="E17" s="102"/>
      <c r="F17" s="102"/>
      <c r="G17" s="100"/>
      <c r="H17" s="102"/>
      <c r="I17" s="102"/>
      <c r="J17" s="102"/>
      <c r="K17" s="102"/>
      <c r="R17" s="95"/>
    </row>
    <row r="18" spans="1:18" x14ac:dyDescent="0.35">
      <c r="A18" s="99" t="s">
        <v>113</v>
      </c>
      <c r="B18" s="99"/>
      <c r="C18" s="99" t="s">
        <v>114</v>
      </c>
      <c r="D18" s="99"/>
      <c r="E18" s="99"/>
      <c r="F18" s="99"/>
      <c r="G18" s="100"/>
      <c r="H18" s="102"/>
      <c r="I18" s="102"/>
      <c r="J18" s="102"/>
      <c r="K18" s="102"/>
      <c r="R18" s="95"/>
    </row>
    <row r="19" spans="1:18" x14ac:dyDescent="0.35">
      <c r="A19" s="102"/>
      <c r="B19" s="102"/>
      <c r="C19" s="903" t="s">
        <v>115</v>
      </c>
      <c r="D19" s="903"/>
      <c r="E19" s="903"/>
      <c r="F19" s="102"/>
      <c r="G19" s="91" t="s">
        <v>97</v>
      </c>
      <c r="H19" s="105" t="str">
        <f>ID!E19</f>
        <v>Baik</v>
      </c>
      <c r="I19" s="106"/>
      <c r="R19" s="95"/>
    </row>
    <row r="20" spans="1:18" x14ac:dyDescent="0.35">
      <c r="A20" s="102"/>
      <c r="B20" s="102"/>
      <c r="C20" s="903" t="s">
        <v>116</v>
      </c>
      <c r="D20" s="903"/>
      <c r="E20" s="903"/>
      <c r="F20" s="102"/>
      <c r="G20" s="91" t="s">
        <v>97</v>
      </c>
      <c r="H20" s="105" t="str">
        <f>ID!E20</f>
        <v>Baik</v>
      </c>
      <c r="I20" s="106"/>
      <c r="P20" s="438"/>
    </row>
    <row r="21" spans="1:18" x14ac:dyDescent="0.35">
      <c r="A21" s="102"/>
      <c r="B21" s="102"/>
      <c r="C21" s="102"/>
      <c r="D21" s="102"/>
      <c r="E21" s="102"/>
      <c r="F21" s="102"/>
      <c r="G21" s="100"/>
      <c r="H21" s="102"/>
      <c r="I21" s="106"/>
      <c r="J21" s="105"/>
      <c r="K21" s="105"/>
    </row>
    <row r="22" spans="1:18" x14ac:dyDescent="0.35">
      <c r="A22" s="99" t="s">
        <v>117</v>
      </c>
      <c r="B22" s="99"/>
      <c r="C22" s="99" t="s">
        <v>118</v>
      </c>
      <c r="D22" s="99"/>
      <c r="E22" s="99"/>
      <c r="F22" s="99"/>
      <c r="G22" s="100"/>
      <c r="H22" s="102"/>
      <c r="I22" s="106"/>
      <c r="J22" s="105"/>
      <c r="K22" s="105"/>
    </row>
    <row r="23" spans="1:18" x14ac:dyDescent="0.35">
      <c r="A23" s="102"/>
      <c r="B23" s="102"/>
      <c r="C23" s="93" t="s">
        <v>119</v>
      </c>
      <c r="D23" s="93"/>
      <c r="E23" s="102" t="s">
        <v>120</v>
      </c>
      <c r="F23" s="102"/>
      <c r="G23" s="100"/>
      <c r="H23" s="102"/>
      <c r="I23" s="106"/>
      <c r="J23" s="105"/>
      <c r="K23" s="105"/>
    </row>
    <row r="24" spans="1:18" ht="15" customHeight="1" x14ac:dyDescent="0.35">
      <c r="E24" s="822" t="s">
        <v>30</v>
      </c>
      <c r="F24" s="436" t="s">
        <v>232</v>
      </c>
      <c r="G24" s="825" t="str">
        <f>LK!F24</f>
        <v>Penunjukan Standar</v>
      </c>
      <c r="H24" s="826"/>
      <c r="I24" s="417" t="str">
        <f>ID!F25</f>
        <v>Pembacaan Alat</v>
      </c>
      <c r="J24" s="417" t="s">
        <v>233</v>
      </c>
      <c r="K24" s="417" t="s">
        <v>234</v>
      </c>
    </row>
    <row r="25" spans="1:18" ht="15" customHeight="1" x14ac:dyDescent="0.35">
      <c r="E25" s="896"/>
      <c r="F25" s="435"/>
      <c r="G25" s="423"/>
      <c r="H25" s="424"/>
      <c r="I25" s="432"/>
      <c r="J25" s="432"/>
      <c r="K25" s="432" t="s">
        <v>235</v>
      </c>
    </row>
    <row r="26" spans="1:18" ht="15" customHeight="1" thickBot="1" x14ac:dyDescent="0.4">
      <c r="E26" s="897"/>
      <c r="F26" s="418" t="s">
        <v>236</v>
      </c>
      <c r="G26" s="890" t="s">
        <v>236</v>
      </c>
      <c r="H26" s="891"/>
      <c r="I26" s="418" t="s">
        <v>236</v>
      </c>
      <c r="J26" s="418" t="s">
        <v>236</v>
      </c>
      <c r="K26" s="418" t="s">
        <v>236</v>
      </c>
    </row>
    <row r="27" spans="1:18" ht="15" customHeight="1" thickTop="1" x14ac:dyDescent="0.35">
      <c r="E27" s="108">
        <v>1</v>
      </c>
      <c r="F27" s="433">
        <f>ID!D28</f>
        <v>50</v>
      </c>
      <c r="G27" s="907">
        <f>IFERROR('Sert Time Electronics'!D123,"-")</f>
        <v>50</v>
      </c>
      <c r="H27" s="907"/>
      <c r="I27" s="114">
        <f ca="1">IFERROR('Sert Time Electronics'!H123,"-")</f>
        <v>49.996831937465103</v>
      </c>
      <c r="J27" s="109">
        <f ca="1">IFERROR('Sert Time Electronics'!I123,"-")</f>
        <v>2.9432208646227227E-3</v>
      </c>
      <c r="K27" s="440">
        <f ca="1">IFERROR('Sert Time Electronics'!N123,"-")</f>
        <v>5.7986785027458472E-2</v>
      </c>
      <c r="N27" s="492"/>
    </row>
    <row r="28" spans="1:18" ht="15" customHeight="1" x14ac:dyDescent="0.35">
      <c r="E28" s="107">
        <v>2</v>
      </c>
      <c r="F28" s="108">
        <f>ID!D29</f>
        <v>100</v>
      </c>
      <c r="G28" s="908">
        <f>IFERROR('Sert Time Electronics'!D124,"-")</f>
        <v>100</v>
      </c>
      <c r="H28" s="909"/>
      <c r="I28" s="114">
        <f ca="1">IFERROR('Sert Time Electronics'!H124,"-")</f>
        <v>99.996552763819096</v>
      </c>
      <c r="J28" s="109">
        <f ca="1">IFERROR('Sert Time Electronics'!I124,"-")</f>
        <v>3.029393540977848E-3</v>
      </c>
      <c r="K28" s="440">
        <f ca="1">IFERROR('Sert Time Electronics'!N124,"-")</f>
        <v>5.7996826623317635E-2</v>
      </c>
      <c r="N28" s="492"/>
    </row>
    <row r="29" spans="1:18" ht="15" customHeight="1" x14ac:dyDescent="0.35">
      <c r="E29" s="107">
        <v>3</v>
      </c>
      <c r="F29" s="108">
        <f>ID!D30</f>
        <v>120</v>
      </c>
      <c r="G29" s="908">
        <f>IFERROR('Sert Time Electronics'!D125,"-")</f>
        <v>120</v>
      </c>
      <c r="H29" s="909"/>
      <c r="I29" s="114">
        <f ca="1">IFERROR('Sert Time Electronics'!H125,"-")</f>
        <v>119.99644109436069</v>
      </c>
      <c r="J29" s="109">
        <f ca="1">IFERROR('Sert Time Electronics'!I125,"-")</f>
        <v>3.0638626115227405E-3</v>
      </c>
      <c r="K29" s="440">
        <f ca="1">IFERROR('Sert Time Electronics'!N125,"-")</f>
        <v>5.8002531550307726E-2</v>
      </c>
      <c r="N29" s="492"/>
    </row>
    <row r="30" spans="1:18" ht="15" customHeight="1" x14ac:dyDescent="0.35">
      <c r="E30" s="108">
        <v>4</v>
      </c>
      <c r="F30" s="108">
        <f>ID!D31</f>
        <v>200</v>
      </c>
      <c r="G30" s="908">
        <f>IFERROR('Sert Time Electronics'!D126,"-")</f>
        <v>200</v>
      </c>
      <c r="H30" s="909"/>
      <c r="I30" s="114">
        <f ca="1">IFERROR('Sert Time Electronics'!H126,"-")</f>
        <v>199.99602122347065</v>
      </c>
      <c r="J30" s="109">
        <f ca="1">IFERROR('Sert Time Electronics'!I126,"-")</f>
        <v>3.1701940843018991E-3</v>
      </c>
      <c r="K30" s="440">
        <f ca="1">IFERROR('Sert Time Electronics'!N126,"-")</f>
        <v>5.8035612801677662E-2</v>
      </c>
      <c r="N30" s="492"/>
    </row>
    <row r="31" spans="1:18" x14ac:dyDescent="0.35">
      <c r="E31" s="108">
        <v>5</v>
      </c>
      <c r="F31" s="108">
        <f>ID!D32</f>
        <v>220</v>
      </c>
      <c r="G31" s="910">
        <f>IFERROR('Sert Time Electronics'!D127,"-")</f>
        <v>220</v>
      </c>
      <c r="H31" s="911"/>
      <c r="I31" s="114">
        <f ca="1">IFERROR('Sert Time Electronics'!H127,"-")</f>
        <v>219.9964456928839</v>
      </c>
      <c r="J31" s="109">
        <f ca="1">IFERROR('Sert Time Electronics'!I127,"-")</f>
        <v>2.573386431744477E-3</v>
      </c>
      <c r="K31" s="440">
        <f ca="1">IFERROR('Sert Time Electronics'!N127,"-")</f>
        <v>5.8060566518166941E-2</v>
      </c>
      <c r="N31" s="492"/>
    </row>
    <row r="32" spans="1:18" ht="15" customHeight="1" x14ac:dyDescent="0.35">
      <c r="E32" s="108">
        <v>6</v>
      </c>
      <c r="F32" s="108">
        <f>ID!D33</f>
        <v>250</v>
      </c>
      <c r="G32" s="910">
        <f>IFERROR('Sert Time Electronics'!D128,"-")</f>
        <v>250</v>
      </c>
      <c r="H32" s="911"/>
      <c r="I32" s="114">
        <f ca="1">IFERROR('Sert Time Electronics'!H128,"-")</f>
        <v>249.99708239700374</v>
      </c>
      <c r="J32" s="109">
        <f ca="1">IFERROR('Sert Time Electronics'!I128,"-")</f>
        <v>1.6781749529367661E-3</v>
      </c>
      <c r="K32" s="440">
        <f ca="1">IFERROR('Sert Time Electronics'!N128,"-")</f>
        <v>5.8106993704470096E-2</v>
      </c>
      <c r="N32" s="492"/>
    </row>
    <row r="33" spans="1:16" x14ac:dyDescent="0.35">
      <c r="E33" s="112"/>
      <c r="F33" s="567"/>
      <c r="G33" s="552"/>
      <c r="H33" s="568"/>
      <c r="I33" s="568"/>
      <c r="J33" s="568"/>
      <c r="K33" s="568"/>
    </row>
    <row r="34" spans="1:16" x14ac:dyDescent="0.35">
      <c r="E34" s="448"/>
      <c r="F34" s="448"/>
      <c r="G34" s="566"/>
      <c r="H34" s="566"/>
      <c r="I34" s="566"/>
      <c r="J34" s="566"/>
      <c r="K34" s="566"/>
    </row>
    <row r="35" spans="1:16" x14ac:dyDescent="0.35">
      <c r="A35" s="102"/>
      <c r="B35" s="102"/>
      <c r="C35" s="93" t="s">
        <v>129</v>
      </c>
      <c r="D35" s="93"/>
      <c r="E35" s="102" t="s">
        <v>180</v>
      </c>
      <c r="F35" s="102"/>
      <c r="G35" s="100"/>
      <c r="H35" s="102"/>
      <c r="I35" s="106"/>
      <c r="J35" s="105"/>
      <c r="K35" s="105"/>
      <c r="L35" s="412"/>
      <c r="M35" s="413"/>
    </row>
    <row r="36" spans="1:16" ht="15" customHeight="1" x14ac:dyDescent="0.35">
      <c r="E36" s="822" t="s">
        <v>30</v>
      </c>
      <c r="F36" s="425" t="s">
        <v>232</v>
      </c>
      <c r="G36" s="825" t="str">
        <f>LK!F35</f>
        <v>Penunjukan Standar</v>
      </c>
      <c r="H36" s="826"/>
      <c r="I36" s="417" t="str">
        <f>ID!F37</f>
        <v>Pembacan Alat</v>
      </c>
      <c r="J36" s="417" t="s">
        <v>233</v>
      </c>
      <c r="K36" s="417" t="s">
        <v>234</v>
      </c>
      <c r="L36" s="414"/>
      <c r="M36" s="413"/>
    </row>
    <row r="37" spans="1:16" ht="15" customHeight="1" x14ac:dyDescent="0.35">
      <c r="E37" s="896"/>
      <c r="F37" s="422"/>
      <c r="G37" s="423"/>
      <c r="H37" s="424"/>
      <c r="I37" s="432"/>
      <c r="J37" s="432"/>
      <c r="K37" s="432" t="s">
        <v>235</v>
      </c>
      <c r="L37" s="414"/>
      <c r="M37" s="413"/>
    </row>
    <row r="38" spans="1:16" ht="15" customHeight="1" thickBot="1" x14ac:dyDescent="0.4">
      <c r="E38" s="897"/>
      <c r="F38" s="418" t="s">
        <v>131</v>
      </c>
      <c r="G38" s="890" t="s">
        <v>131</v>
      </c>
      <c r="H38" s="891"/>
      <c r="I38" s="418" t="s">
        <v>131</v>
      </c>
      <c r="J38" s="418" t="s">
        <v>131</v>
      </c>
      <c r="K38" s="418" t="s">
        <v>131</v>
      </c>
    </row>
    <row r="39" spans="1:16" ht="15" customHeight="1" thickTop="1" x14ac:dyDescent="0.35">
      <c r="E39" s="108">
        <v>1</v>
      </c>
      <c r="F39" s="108">
        <v>0.01</v>
      </c>
      <c r="G39" s="912">
        <f>IFERROR('Sert Resistor'!AA47,"-")</f>
        <v>0.01</v>
      </c>
      <c r="H39" s="912"/>
      <c r="I39" s="109">
        <f>IFERROR('Sert Resistor'!AE47,"-")</f>
        <v>8.0481540204971527E-3</v>
      </c>
      <c r="J39" s="550">
        <f>IFERROR('Sert Resistor'!AF47,"-")</f>
        <v>1.7964817959245617E-3</v>
      </c>
      <c r="K39" s="441">
        <f>IFERROR('Sert Resistor'!AK47,"-")</f>
        <v>7.366633848484279E-4</v>
      </c>
      <c r="L39" s="368"/>
      <c r="M39" s="488"/>
      <c r="N39" s="487"/>
      <c r="O39" s="368"/>
      <c r="P39" s="368"/>
    </row>
    <row r="40" spans="1:16" ht="15" customHeight="1" x14ac:dyDescent="0.35">
      <c r="E40" s="107">
        <v>2</v>
      </c>
      <c r="F40" s="107">
        <v>0.1</v>
      </c>
      <c r="G40" s="910">
        <f>IFERROR('Sert Resistor'!AA48,"-")</f>
        <v>0.1</v>
      </c>
      <c r="H40" s="911"/>
      <c r="I40" s="109">
        <f>IFERROR('Sert Resistor'!AE48,"-")</f>
        <v>0.15205148570688345</v>
      </c>
      <c r="J40" s="550">
        <f>IFERROR('Sert Resistor'!AF48,"-")</f>
        <v>-5.2206854743322463E-2</v>
      </c>
      <c r="K40" s="441">
        <f>IFERROR('Sert Resistor'!AK48,"-")</f>
        <v>7.3667294461386723E-4</v>
      </c>
      <c r="L40" s="368"/>
      <c r="M40" s="368"/>
      <c r="N40" s="368"/>
      <c r="O40" s="368"/>
      <c r="P40" s="368"/>
    </row>
    <row r="41" spans="1:16" ht="15" customHeight="1" x14ac:dyDescent="0.35">
      <c r="E41" s="107">
        <v>3</v>
      </c>
      <c r="F41" s="107">
        <v>1</v>
      </c>
      <c r="G41" s="910">
        <f>IFERROR('Sert Resistor'!AA49,"-")</f>
        <v>1</v>
      </c>
      <c r="H41" s="911"/>
      <c r="I41" s="109">
        <f>IFERROR('Sert Resistor'!AE49,"-")</f>
        <v>1.0570724244303529</v>
      </c>
      <c r="J41" s="550">
        <f>IFERROR('Sert Resistor'!AF49,"-")</f>
        <v>-5.7227823965673517E-2</v>
      </c>
      <c r="K41" s="441">
        <f>IFERROR('Sert Resistor'!AK49,"-")</f>
        <v>7.3668217567997968E-4</v>
      </c>
      <c r="L41" s="368"/>
      <c r="M41" s="368"/>
      <c r="N41" s="368"/>
      <c r="O41" s="368"/>
      <c r="P41" s="368"/>
    </row>
    <row r="42" spans="1:16" x14ac:dyDescent="0.35">
      <c r="E42" s="108">
        <v>4</v>
      </c>
      <c r="F42" s="108">
        <v>1.5</v>
      </c>
      <c r="G42" s="910">
        <f>IFERROR('Sert Resistor'!AA50,"-")</f>
        <v>1.5</v>
      </c>
      <c r="H42" s="911"/>
      <c r="I42" s="109">
        <f>IFERROR('Sert Resistor'!AE50,"-")</f>
        <v>1.5580840159225717</v>
      </c>
      <c r="J42" s="550">
        <f>IFERROR('Sert Resistor'!AF50,"-")</f>
        <v>-5.8239432341803642E-2</v>
      </c>
      <c r="K42" s="441">
        <f>IFERROR('Sert Resistor'!AK50,"-")</f>
        <v>7.367662962151296E-4</v>
      </c>
      <c r="L42" s="368"/>
      <c r="M42" s="368"/>
      <c r="N42" s="368"/>
      <c r="O42" s="368"/>
      <c r="P42" s="368"/>
    </row>
    <row r="43" spans="1:16" ht="15" customHeight="1" x14ac:dyDescent="0.35">
      <c r="E43" s="108">
        <v>5</v>
      </c>
      <c r="F43" s="108">
        <v>2</v>
      </c>
      <c r="G43" s="910">
        <f>IFERROR('Sert Resistor'!AA51,"-")</f>
        <v>2</v>
      </c>
      <c r="H43" s="911"/>
      <c r="I43" s="109">
        <f>IFERROR('Sert Resistor'!AE51,"-")</f>
        <v>2.0600956305515017</v>
      </c>
      <c r="J43" s="550">
        <f>IFERROR('Sert Resistor'!AF51,"-")</f>
        <v>-6.0251063888345287E-2</v>
      </c>
      <c r="K43" s="441">
        <f>IFERROR('Sert Resistor'!AK51,"-")</f>
        <v>7.3679963147137552E-4</v>
      </c>
      <c r="L43" s="368"/>
      <c r="M43" s="368"/>
      <c r="N43" s="368"/>
      <c r="O43" s="368"/>
      <c r="P43" s="368"/>
    </row>
    <row r="44" spans="1:16" ht="15.75" customHeight="1" x14ac:dyDescent="0.35">
      <c r="E44" s="411"/>
      <c r="F44" s="419"/>
      <c r="G44" s="904" t="s">
        <v>135</v>
      </c>
      <c r="H44" s="904"/>
      <c r="I44" s="904"/>
      <c r="J44" s="905"/>
      <c r="K44" s="428"/>
      <c r="M44" s="368"/>
    </row>
    <row r="45" spans="1:16" ht="15" customHeight="1" x14ac:dyDescent="0.35">
      <c r="E45" s="111">
        <v>1</v>
      </c>
      <c r="F45" s="111">
        <v>0.01</v>
      </c>
      <c r="G45" s="906">
        <f>IFERROR('Sert Resistor'!AA60,"-")</f>
        <v>0.01</v>
      </c>
      <c r="H45" s="906"/>
      <c r="I45" s="415">
        <f>IFERROR('Sert Resistor'!AC60,"-")</f>
        <v>8.9899999999999997E-3</v>
      </c>
      <c r="J45" s="421">
        <f ca="1">IFERROR('Sert Resistor'!AF60,"-")</f>
        <v>1.2132257967661974E-3</v>
      </c>
      <c r="K45" s="442">
        <f ca="1">IFERROR('Sert Resistor'!AK60,"-")</f>
        <v>7.3666342356787189E-4</v>
      </c>
      <c r="L45" s="368"/>
      <c r="M45" s="368"/>
      <c r="N45" s="368"/>
      <c r="O45" s="368"/>
      <c r="P45" s="368"/>
    </row>
    <row r="46" spans="1:16" ht="15" customHeight="1" x14ac:dyDescent="0.35">
      <c r="E46" s="115">
        <v>2</v>
      </c>
      <c r="F46" s="115">
        <v>0.1</v>
      </c>
      <c r="G46" s="906">
        <f>IFERROR('Sert Resistor'!AA61,"-")</f>
        <v>0.1</v>
      </c>
      <c r="H46" s="906"/>
      <c r="I46" s="415">
        <f>IFERROR('Sert Resistor'!AC61,"-")</f>
        <v>0.14098999999999998</v>
      </c>
      <c r="J46" s="421">
        <f ca="1">IFERROR('Sert Resistor'!AF61,"-")</f>
        <v>-4.0954477546126793E-2</v>
      </c>
      <c r="K46" s="442">
        <f ca="1">IFERROR('Sert Resistor'!AK61,"-")</f>
        <v>7.3667219760906665E-4</v>
      </c>
      <c r="L46" s="368"/>
      <c r="M46" s="368"/>
      <c r="N46" s="368"/>
      <c r="O46" s="368"/>
      <c r="P46" s="368"/>
    </row>
    <row r="47" spans="1:16" ht="15" customHeight="1" x14ac:dyDescent="0.35">
      <c r="E47" s="115">
        <v>3</v>
      </c>
      <c r="F47" s="115">
        <v>1</v>
      </c>
      <c r="G47" s="906">
        <f>IFERROR('Sert Resistor'!AA62,"-")</f>
        <v>1</v>
      </c>
      <c r="H47" s="906"/>
      <c r="I47" s="415">
        <f>IFERROR('Sert Resistor'!AC62,"-")</f>
        <v>1.03999</v>
      </c>
      <c r="J47" s="421">
        <f ca="1">IFERROR('Sert Resistor'!AF62,"-")</f>
        <v>-4.0157395960053417E-2</v>
      </c>
      <c r="K47" s="442">
        <f ca="1">IFERROR('Sert Resistor'!AK62,"-")</f>
        <v>7.3673189652442069E-4</v>
      </c>
      <c r="L47" s="368"/>
      <c r="M47" s="368"/>
      <c r="N47" s="368"/>
      <c r="O47" s="368"/>
      <c r="P47" s="368"/>
    </row>
    <row r="48" spans="1:16" x14ac:dyDescent="0.35">
      <c r="E48" s="111">
        <v>4</v>
      </c>
      <c r="F48" s="111">
        <v>1.5</v>
      </c>
      <c r="G48" s="906">
        <f>IFERROR('Sert Resistor'!AA63,"-")</f>
        <v>1.5</v>
      </c>
      <c r="H48" s="906"/>
      <c r="I48" s="415">
        <f>IFERROR('Sert Resistor'!AC63,"-")</f>
        <v>1.53999</v>
      </c>
      <c r="J48" s="421">
        <f ca="1">IFERROR('Sert Resistor'!AF63,"-")</f>
        <v>-4.0307412814929229E-2</v>
      </c>
      <c r="K48" s="442">
        <f ca="1">IFERROR('Sert Resistor'!AK63,"-")</f>
        <v>7.3676510551641409E-4</v>
      </c>
      <c r="L48" s="368"/>
      <c r="M48" s="368"/>
      <c r="N48" s="368"/>
      <c r="O48" s="368"/>
      <c r="P48" s="368"/>
    </row>
    <row r="49" spans="1:16" ht="15" customHeight="1" x14ac:dyDescent="0.35">
      <c r="E49" s="111">
        <v>5</v>
      </c>
      <c r="F49" s="111">
        <v>2</v>
      </c>
      <c r="G49" s="906">
        <f>IFERROR('Sert Resistor'!AA64,"-")</f>
        <v>2</v>
      </c>
      <c r="H49" s="906"/>
      <c r="I49" s="415">
        <f>IFERROR('Sert Resistor'!AC64,"-")</f>
        <v>2.0419899999999997</v>
      </c>
      <c r="J49" s="421">
        <f ca="1">IFERROR('Sert Resistor'!AF64,"-")</f>
        <v>-4.2458029737224678E-2</v>
      </c>
      <c r="K49" s="442">
        <f ca="1">IFERROR('Sert Resistor'!AK64,"-")</f>
        <v>7.3679844991030399E-4</v>
      </c>
      <c r="L49" s="368"/>
      <c r="M49" s="368"/>
      <c r="N49" s="368"/>
      <c r="O49" s="368"/>
      <c r="P49" s="368"/>
    </row>
    <row r="50" spans="1:16" ht="15" customHeight="1" x14ac:dyDescent="0.35">
      <c r="E50" s="112"/>
      <c r="F50" s="112"/>
      <c r="G50" s="40"/>
      <c r="H50" s="113"/>
      <c r="I50" s="113"/>
      <c r="J50" s="113"/>
      <c r="K50" s="113"/>
    </row>
    <row r="51" spans="1:16" x14ac:dyDescent="0.35">
      <c r="A51" s="102"/>
      <c r="B51" s="102"/>
      <c r="C51" s="93" t="s">
        <v>136</v>
      </c>
      <c r="D51" s="93"/>
      <c r="E51" s="102" t="s">
        <v>137</v>
      </c>
      <c r="F51" s="102"/>
      <c r="G51" s="100"/>
      <c r="H51" s="102"/>
      <c r="I51" s="106"/>
      <c r="J51" s="105"/>
      <c r="K51" s="105"/>
    </row>
    <row r="52" spans="1:16" s="427" customFormat="1" ht="15" customHeight="1" x14ac:dyDescent="0.35">
      <c r="E52" s="822" t="s">
        <v>30</v>
      </c>
      <c r="F52" s="425" t="s">
        <v>232</v>
      </c>
      <c r="G52" s="825" t="str">
        <f>LK!F55</f>
        <v>Penunjukan Standar</v>
      </c>
      <c r="H52" s="826"/>
      <c r="I52" s="417" t="str">
        <f>ID!F57</f>
        <v>Pembacaan Alat</v>
      </c>
      <c r="J52" s="417" t="s">
        <v>233</v>
      </c>
      <c r="K52" s="417" t="s">
        <v>234</v>
      </c>
    </row>
    <row r="53" spans="1:16" s="427" customFormat="1" ht="15" customHeight="1" x14ac:dyDescent="0.35">
      <c r="E53" s="896"/>
      <c r="F53" s="422"/>
      <c r="G53" s="423"/>
      <c r="H53" s="424"/>
      <c r="I53" s="432"/>
      <c r="J53" s="432"/>
      <c r="K53" s="432" t="s">
        <v>235</v>
      </c>
    </row>
    <row r="54" spans="1:16" s="427" customFormat="1" ht="15" customHeight="1" thickBot="1" x14ac:dyDescent="0.4">
      <c r="E54" s="897"/>
      <c r="F54" s="426" t="s">
        <v>237</v>
      </c>
      <c r="G54" s="890" t="s">
        <v>237</v>
      </c>
      <c r="H54" s="891"/>
      <c r="I54" s="418" t="s">
        <v>237</v>
      </c>
      <c r="J54" s="418" t="s">
        <v>237</v>
      </c>
      <c r="K54" s="418" t="s">
        <v>237</v>
      </c>
    </row>
    <row r="55" spans="1:16" ht="15" customHeight="1" thickTop="1" x14ac:dyDescent="0.35">
      <c r="E55" s="108">
        <v>1</v>
      </c>
      <c r="F55" s="108">
        <f>ID!D60</f>
        <v>0</v>
      </c>
      <c r="G55" s="892">
        <f>IFERROR('Sert Time Electronics'!R123,"-")</f>
        <v>0</v>
      </c>
      <c r="H55" s="892"/>
      <c r="I55" s="114">
        <f>IFERROR('Sert Time Electronics'!V123,"-")</f>
        <v>1.7073471655430807E-3</v>
      </c>
      <c r="J55" s="429">
        <f>IFERROR('Sert Time Electronics'!W123,"-")</f>
        <v>-1.8804544602117571E-3</v>
      </c>
      <c r="K55" s="439">
        <f>IFERROR('Sert Time Electronics'!AB123,"-")</f>
        <v>5.7985117631630188E-2</v>
      </c>
    </row>
    <row r="56" spans="1:16" ht="15" customHeight="1" x14ac:dyDescent="0.35">
      <c r="E56" s="107">
        <v>2</v>
      </c>
      <c r="F56" s="108">
        <f>ID!D61</f>
        <v>1</v>
      </c>
      <c r="G56" s="892">
        <f>IFERROR('Sert Time Electronics'!R124,"-")</f>
        <v>1</v>
      </c>
      <c r="H56" s="892"/>
      <c r="I56" s="114">
        <f>IFERROR('Sert Time Electronics'!V124,"-")</f>
        <v>1.0617618759544483</v>
      </c>
      <c r="J56" s="429">
        <f>IFERROR('Sert Time Electronics'!W124,"-")</f>
        <v>-6.2447898098112055E-2</v>
      </c>
      <c r="K56" s="439">
        <f>IFERROR('Sert Time Electronics'!AB124,"-")</f>
        <v>0.22075500275097593</v>
      </c>
    </row>
    <row r="57" spans="1:16" ht="15" customHeight="1" x14ac:dyDescent="0.35">
      <c r="E57" s="107">
        <v>3</v>
      </c>
      <c r="F57" s="108">
        <f>ID!D62</f>
        <v>50</v>
      </c>
      <c r="G57" s="892">
        <f>IFERROR('Sert Time Electronics'!R125,"-")</f>
        <v>50</v>
      </c>
      <c r="H57" s="892"/>
      <c r="I57" s="114">
        <f>IFERROR('Sert Time Electronics'!V125,"-")</f>
        <v>49.944276373314523</v>
      </c>
      <c r="J57" s="429">
        <f>IFERROR('Sert Time Electronics'!W125,"-")</f>
        <v>3.1385455656076519E-2</v>
      </c>
      <c r="K57" s="439">
        <f>IFERROR('Sert Time Electronics'!AB125,"-")</f>
        <v>0.37049630192462707</v>
      </c>
    </row>
    <row r="58" spans="1:16" x14ac:dyDescent="0.35">
      <c r="E58" s="108">
        <v>4</v>
      </c>
      <c r="F58" s="108">
        <f>ID!D63</f>
        <v>100</v>
      </c>
      <c r="G58" s="892">
        <f>IFERROR('Sert Time Electronics'!R126,"-")</f>
        <v>100</v>
      </c>
      <c r="H58" s="892"/>
      <c r="I58" s="114">
        <f>IFERROR('Sert Time Electronics'!V126,"-")</f>
        <v>99.966849514843801</v>
      </c>
      <c r="J58" s="429">
        <f>IFERROR('Sert Time Electronics'!W126,"-")</f>
        <v>-1.5391460162575164E-2</v>
      </c>
      <c r="K58" s="439">
        <f>IFERROR('Sert Time Electronics'!AB126,"-")</f>
        <v>0.31374309743646828</v>
      </c>
    </row>
    <row r="59" spans="1:16" ht="15" customHeight="1" x14ac:dyDescent="0.35">
      <c r="E59" s="108">
        <v>5</v>
      </c>
      <c r="F59" s="108">
        <f>ID!D64</f>
        <v>500</v>
      </c>
      <c r="G59" s="892">
        <f>IFERROR('Sert Time Electronics'!R127,"-")</f>
        <v>500</v>
      </c>
      <c r="H59" s="892"/>
      <c r="I59" s="431">
        <f>IFERROR('Sert Time Electronics'!V127,"-")</f>
        <v>499.22738732020463</v>
      </c>
      <c r="J59" s="429">
        <f>IFERROR('Sert Time Electronics'!W127,"-")</f>
        <v>0.53088571153998609</v>
      </c>
      <c r="K59" s="439">
        <f>IFERROR('Sert Time Electronics'!AB127,"-")</f>
        <v>1.0414216690190394</v>
      </c>
    </row>
    <row r="60" spans="1:16" ht="15" customHeight="1" x14ac:dyDescent="0.35">
      <c r="E60" s="108">
        <v>6</v>
      </c>
      <c r="F60" s="108">
        <f>ID!D65</f>
        <v>1000</v>
      </c>
      <c r="G60" s="892">
        <f>IFERROR('Sert Time Electronics'!R128,"-")</f>
        <v>1000</v>
      </c>
      <c r="H60" s="892"/>
      <c r="I60" s="431">
        <f>IFERROR('Sert Time Electronics'!V128,"-")</f>
        <v>998.45306729324363</v>
      </c>
      <c r="J60" s="429">
        <f>IFERROR('Sert Time Electronics'!W128,"-")</f>
        <v>1.063651877540261</v>
      </c>
      <c r="K60" s="439">
        <f>IFERROR('Sert Time Electronics'!AB128,"-")</f>
        <v>1.7185732586570042</v>
      </c>
    </row>
    <row r="61" spans="1:16" ht="15" customHeight="1" x14ac:dyDescent="0.35">
      <c r="E61" s="112"/>
      <c r="F61" s="112"/>
      <c r="G61" s="40"/>
      <c r="H61" s="113"/>
      <c r="I61" s="113"/>
      <c r="J61" s="113"/>
      <c r="K61" s="113"/>
    </row>
    <row r="62" spans="1:16" x14ac:dyDescent="0.35">
      <c r="A62" s="102"/>
      <c r="B62" s="102"/>
      <c r="C62" s="93" t="s">
        <v>139</v>
      </c>
      <c r="D62" s="93"/>
      <c r="E62" s="102" t="s">
        <v>140</v>
      </c>
      <c r="F62" s="102"/>
      <c r="G62" s="100"/>
      <c r="H62" s="102"/>
      <c r="I62" s="106"/>
      <c r="J62" s="105"/>
      <c r="K62" s="105"/>
    </row>
    <row r="63" spans="1:16" ht="15" customHeight="1" x14ac:dyDescent="0.35">
      <c r="E63" s="822" t="s">
        <v>30</v>
      </c>
      <c r="F63" s="425" t="s">
        <v>232</v>
      </c>
      <c r="G63" s="825" t="str">
        <f>LK!F66</f>
        <v>Penunjukan Standar</v>
      </c>
      <c r="H63" s="826"/>
      <c r="I63" s="417" t="str">
        <f>ID!F68</f>
        <v>Pembacaan Alat</v>
      </c>
      <c r="J63" s="417" t="s">
        <v>233</v>
      </c>
      <c r="K63" s="417" t="s">
        <v>234</v>
      </c>
    </row>
    <row r="64" spans="1:16" ht="15" customHeight="1" x14ac:dyDescent="0.35">
      <c r="E64" s="896"/>
      <c r="F64" s="422"/>
      <c r="G64" s="423"/>
      <c r="H64" s="424"/>
      <c r="I64" s="432"/>
      <c r="J64" s="432"/>
      <c r="K64" s="432" t="s">
        <v>235</v>
      </c>
    </row>
    <row r="65" spans="5:14" ht="15" customHeight="1" thickBot="1" x14ac:dyDescent="0.4">
      <c r="E65" s="897"/>
      <c r="F65" s="426" t="s">
        <v>237</v>
      </c>
      <c r="G65" s="890" t="s">
        <v>237</v>
      </c>
      <c r="H65" s="891"/>
      <c r="I65" s="418" t="s">
        <v>237</v>
      </c>
      <c r="J65" s="418" t="s">
        <v>237</v>
      </c>
      <c r="K65" s="418" t="s">
        <v>237</v>
      </c>
    </row>
    <row r="66" spans="5:14" ht="15" customHeight="1" thickTop="1" x14ac:dyDescent="0.35">
      <c r="E66" s="916" t="s">
        <v>141</v>
      </c>
      <c r="F66" s="917"/>
      <c r="G66" s="917"/>
      <c r="H66" s="917"/>
      <c r="I66" s="917"/>
      <c r="J66" s="917"/>
      <c r="K66" s="917"/>
    </row>
    <row r="67" spans="5:14" ht="15" customHeight="1" x14ac:dyDescent="0.35">
      <c r="E67" s="108">
        <v>1</v>
      </c>
      <c r="F67" s="108">
        <f>ID!D72</f>
        <v>0</v>
      </c>
      <c r="G67" s="894">
        <f>IFERROR('Sert Time Electronics'!R132,"-")</f>
        <v>0</v>
      </c>
      <c r="H67" s="894"/>
      <c r="I67" s="114">
        <f>IFERROR('Sert Time Electronics'!V132,"-")</f>
        <v>1.7073471655430807E-3</v>
      </c>
      <c r="J67" s="429">
        <f>IFERROR('Sert Time Electronics'!W132,"-")</f>
        <v>-1.8804544602117571E-3</v>
      </c>
      <c r="K67" s="439">
        <f>IFERROR('Sert Time Electronics'!AB132,"-")</f>
        <v>5.7985117631630188E-2</v>
      </c>
    </row>
    <row r="68" spans="5:14" ht="15" customHeight="1" x14ac:dyDescent="0.35">
      <c r="E68" s="107">
        <v>2</v>
      </c>
      <c r="F68" s="108">
        <f>ID!D73</f>
        <v>1</v>
      </c>
      <c r="G68" s="892">
        <f>IFERROR('Sert Time Electronics'!R133,"-")</f>
        <v>1</v>
      </c>
      <c r="H68" s="892"/>
      <c r="I68" s="114">
        <f>IFERROR('Sert Time Electronics'!V133,"-")</f>
        <v>1.1417659913347431</v>
      </c>
      <c r="J68" s="429">
        <f>IFERROR('Sert Time Electronics'!W133,"-")</f>
        <v>-0.14249072403304802</v>
      </c>
      <c r="K68" s="439">
        <f>IFERROR('Sert Time Electronics'!AB133,"-")</f>
        <v>0.23722780049395045</v>
      </c>
      <c r="N68" s="461"/>
    </row>
    <row r="69" spans="5:14" ht="15" customHeight="1" x14ac:dyDescent="0.35">
      <c r="E69" s="107">
        <v>3</v>
      </c>
      <c r="F69" s="108">
        <f>ID!D74</f>
        <v>50</v>
      </c>
      <c r="G69" s="892">
        <f>IFERROR('Sert Time Electronics'!R134,"-")</f>
        <v>50</v>
      </c>
      <c r="H69" s="892"/>
      <c r="I69" s="114">
        <f>IFERROR('Sert Time Electronics'!V134,"-")</f>
        <v>50.124285632920177</v>
      </c>
      <c r="J69" s="429">
        <f>IFERROR('Sert Time Electronics'!W134,"-")</f>
        <v>-0.14871090269752044</v>
      </c>
      <c r="K69" s="439">
        <f>IFERROR('Sert Time Electronics'!AB134,"-")</f>
        <v>0.20233605892295528</v>
      </c>
    </row>
    <row r="70" spans="5:14" x14ac:dyDescent="0.35">
      <c r="E70" s="108">
        <v>4</v>
      </c>
      <c r="F70" s="108">
        <f>ID!D75</f>
        <v>100</v>
      </c>
      <c r="G70" s="892">
        <f>IFERROR('Sert Time Electronics'!R135,"-")</f>
        <v>100</v>
      </c>
      <c r="H70" s="892"/>
      <c r="I70" s="114">
        <f>IFERROR('Sert Time Electronics'!V135,"-")</f>
        <v>99.906846428308583</v>
      </c>
      <c r="J70" s="429">
        <f>IFERROR('Sert Time Electronics'!W135,"-")</f>
        <v>4.4640659288623818E-2</v>
      </c>
      <c r="K70" s="439">
        <f>IFERROR('Sert Time Electronics'!AB135,"-")</f>
        <v>0.30738845486607386</v>
      </c>
    </row>
    <row r="71" spans="5:14" ht="15" customHeight="1" x14ac:dyDescent="0.35">
      <c r="E71" s="108">
        <v>5</v>
      </c>
      <c r="F71" s="108">
        <f>ID!D76</f>
        <v>500</v>
      </c>
      <c r="G71" s="892">
        <f>IFERROR('Sert Time Electronics'!R136,"-")</f>
        <v>500</v>
      </c>
      <c r="H71" s="892"/>
      <c r="I71" s="431">
        <f>IFERROR('Sert Time Electronics'!V136,"-")</f>
        <v>499.02737703175387</v>
      </c>
      <c r="J71" s="429">
        <f>IFERROR('Sert Time Electronics'!W136,"-")</f>
        <v>0.73099277637734439</v>
      </c>
      <c r="K71" s="439">
        <f>IFERROR('Sert Time Electronics'!AB136,"-")</f>
        <v>0.95883791518011396</v>
      </c>
    </row>
    <row r="72" spans="5:14" ht="15" customHeight="1" x14ac:dyDescent="0.35">
      <c r="E72" s="108">
        <v>6</v>
      </c>
      <c r="F72" s="108">
        <f>ID!D77</f>
        <v>1000</v>
      </c>
      <c r="G72" s="892">
        <f>IFERROR('Sert Time Electronics'!R137,"-")</f>
        <v>1000</v>
      </c>
      <c r="H72" s="892"/>
      <c r="I72" s="431">
        <f>IFERROR('Sert Time Electronics'!V137,"-")</f>
        <v>999.05309815859596</v>
      </c>
      <c r="J72" s="429">
        <f>IFERROR('Sert Time Electronics'!W137,"-")</f>
        <v>0.46333068302812913</v>
      </c>
      <c r="K72" s="439">
        <f>IFERROR('Sert Time Electronics'!AB137,"-")</f>
        <v>1.6495186620989404</v>
      </c>
    </row>
    <row r="73" spans="5:14" ht="15.75" customHeight="1" x14ac:dyDescent="0.35">
      <c r="E73" s="915" t="s">
        <v>142</v>
      </c>
      <c r="F73" s="841"/>
      <c r="G73" s="841"/>
      <c r="H73" s="841"/>
      <c r="I73" s="841"/>
      <c r="J73" s="841"/>
      <c r="K73" s="841"/>
    </row>
    <row r="74" spans="5:14" ht="15" customHeight="1" x14ac:dyDescent="0.35">
      <c r="E74" s="108">
        <v>1</v>
      </c>
      <c r="F74" s="108">
        <f>ID!D79</f>
        <v>0</v>
      </c>
      <c r="G74" s="900">
        <f>IFERROR('Sert Time Electronics'!R140,"-")</f>
        <v>0</v>
      </c>
      <c r="H74" s="901"/>
      <c r="I74" s="114">
        <f>IFERROR('Sert Time Electronics'!V140,"-")</f>
        <v>1.7073471655430807E-3</v>
      </c>
      <c r="J74" s="429">
        <f>IFERROR('Sert Time Electronics'!W140,"-")</f>
        <v>-1.8804544602117571E-3</v>
      </c>
      <c r="K74" s="439">
        <f>IFERROR('Sert Time Electronics'!AB140,"-")</f>
        <v>5.7985117631630188E-2</v>
      </c>
    </row>
    <row r="75" spans="5:14" ht="15" customHeight="1" x14ac:dyDescent="0.35">
      <c r="E75" s="107">
        <v>2</v>
      </c>
      <c r="F75" s="108">
        <f>ID!D80</f>
        <v>1</v>
      </c>
      <c r="G75" s="898">
        <f>IFERROR('Sert Time Electronics'!R141,"-")</f>
        <v>1</v>
      </c>
      <c r="H75" s="899"/>
      <c r="I75" s="114">
        <f>IFERROR('Sert Time Electronics'!V141,"-")</f>
        <v>1.0217598182643008</v>
      </c>
      <c r="J75" s="429">
        <f>IFERROR('Sert Time Electronics'!W141,"-")</f>
        <v>-2.2426485130644064E-2</v>
      </c>
      <c r="K75" s="439">
        <f>IFERROR('Sert Time Electronics'!AB141,"-")</f>
        <v>0.40229830722232779</v>
      </c>
    </row>
    <row r="76" spans="5:14" ht="15" customHeight="1" x14ac:dyDescent="0.35">
      <c r="E76" s="107">
        <v>3</v>
      </c>
      <c r="F76" s="108">
        <f>ID!D81</f>
        <v>50</v>
      </c>
      <c r="G76" s="898">
        <f>IFERROR('Sert Time Electronics'!R142,"-")</f>
        <v>50</v>
      </c>
      <c r="H76" s="899"/>
      <c r="I76" s="114">
        <f>IFERROR('Sert Time Electronics'!V142,"-")</f>
        <v>49.92427534446945</v>
      </c>
      <c r="J76" s="429">
        <f>IFERROR('Sert Time Electronics'!W142,"-")</f>
        <v>5.1396162139809506E-2</v>
      </c>
      <c r="K76" s="439">
        <f>IFERROR('Sert Time Electronics'!AB142,"-")</f>
        <v>0.35811948282612488</v>
      </c>
    </row>
    <row r="77" spans="5:14" x14ac:dyDescent="0.35">
      <c r="E77" s="108">
        <v>4</v>
      </c>
      <c r="F77" s="108">
        <f>ID!D82</f>
        <v>100</v>
      </c>
      <c r="G77" s="898">
        <f>IFERROR('Sert Time Electronics'!R143,"-")</f>
        <v>100</v>
      </c>
      <c r="H77" s="899"/>
      <c r="I77" s="114">
        <f>IFERROR('Sert Time Electronics'!V143,"-")</f>
        <v>99.906846428308583</v>
      </c>
      <c r="J77" s="429">
        <f>IFERROR('Sert Time Electronics'!W143,"-")</f>
        <v>4.4640659288623818E-2</v>
      </c>
      <c r="K77" s="439">
        <f>IFERROR('Sert Time Electronics'!AB143,"-")</f>
        <v>0.30738845486607386</v>
      </c>
    </row>
    <row r="78" spans="5:14" ht="15" customHeight="1" x14ac:dyDescent="0.35">
      <c r="E78" s="108">
        <v>5</v>
      </c>
      <c r="F78" s="108">
        <f>ID!D83</f>
        <v>500</v>
      </c>
      <c r="G78" s="898">
        <f>IFERROR('Sert Time Electronics'!R144,"-")</f>
        <v>500</v>
      </c>
      <c r="H78" s="899"/>
      <c r="I78" s="431">
        <f>IFERROR('Sert Time Electronics'!V144,"-")</f>
        <v>499.02737703175387</v>
      </c>
      <c r="J78" s="429">
        <f>IFERROR('Sert Time Electronics'!W144,"-")</f>
        <v>0.73099277637734439</v>
      </c>
      <c r="K78" s="439">
        <f>IFERROR('Sert Time Electronics'!AB144,"-")</f>
        <v>0.95883791518011396</v>
      </c>
    </row>
    <row r="79" spans="5:14" ht="15" customHeight="1" x14ac:dyDescent="0.35">
      <c r="E79" s="108">
        <v>6</v>
      </c>
      <c r="F79" s="108">
        <f>ID!D84</f>
        <v>1000</v>
      </c>
      <c r="G79" s="898">
        <f>IFERROR('Sert Time Electronics'!R145,"-")</f>
        <v>1000</v>
      </c>
      <c r="H79" s="899"/>
      <c r="I79" s="431">
        <f>IFERROR('Sert Time Electronics'!V145,"-")</f>
        <v>999.05309815859596</v>
      </c>
      <c r="J79" s="429">
        <f>IFERROR('Sert Time Electronics'!W145,"-")</f>
        <v>0.46333068302812913</v>
      </c>
      <c r="K79" s="439">
        <f>IFERROR('Sert Time Electronics'!AB145,"-")</f>
        <v>1.6495186620989404</v>
      </c>
    </row>
    <row r="80" spans="5:14" ht="15.75" customHeight="1" x14ac:dyDescent="0.35">
      <c r="E80" s="915" t="s">
        <v>143</v>
      </c>
      <c r="F80" s="841"/>
      <c r="G80" s="841"/>
      <c r="H80" s="841"/>
      <c r="I80" s="841"/>
      <c r="J80" s="841"/>
      <c r="K80" s="841"/>
    </row>
    <row r="81" spans="5:11" ht="15" customHeight="1" x14ac:dyDescent="0.35">
      <c r="E81" s="108">
        <v>1</v>
      </c>
      <c r="F81" s="108">
        <f>ID!D86</f>
        <v>0</v>
      </c>
      <c r="G81" s="894">
        <f>IFERROR('Sert Time Electronics'!R148,"-")</f>
        <v>0</v>
      </c>
      <c r="H81" s="894"/>
      <c r="I81" s="114">
        <f>IFERROR('Sert Time Electronics'!V148,"-")</f>
        <v>1.7073471655430807E-3</v>
      </c>
      <c r="J81" s="429">
        <f>IFERROR('Sert Time Electronics'!W148,"-")</f>
        <v>-1.8804544602117571E-3</v>
      </c>
      <c r="K81" s="439">
        <f>IFERROR('Sert Time Electronics'!AB148,"-")</f>
        <v>5.7985117631630188E-2</v>
      </c>
    </row>
    <row r="82" spans="5:11" ht="15" customHeight="1" x14ac:dyDescent="0.35">
      <c r="E82" s="107">
        <v>2</v>
      </c>
      <c r="F82" s="108">
        <f>ID!D87</f>
        <v>1</v>
      </c>
      <c r="G82" s="892">
        <f>IFERROR('Sert Time Electronics'!R149,"-")</f>
        <v>1</v>
      </c>
      <c r="H82" s="892"/>
      <c r="I82" s="114">
        <f>IFERROR('Sert Time Electronics'!V149,"-")</f>
        <v>1.0217598182643008</v>
      </c>
      <c r="J82" s="429">
        <f>IFERROR('Sert Time Electronics'!W149,"-")</f>
        <v>-2.2426485130644064E-2</v>
      </c>
      <c r="K82" s="439">
        <f>IFERROR('Sert Time Electronics'!AB149,"-")</f>
        <v>0.23402049189438798</v>
      </c>
    </row>
    <row r="83" spans="5:11" ht="15" customHeight="1" x14ac:dyDescent="0.35">
      <c r="E83" s="107">
        <v>3</v>
      </c>
      <c r="F83" s="108">
        <f>ID!D88</f>
        <v>50</v>
      </c>
      <c r="G83" s="892">
        <f>IFERROR('Sert Time Electronics'!R150,"-")</f>
        <v>50</v>
      </c>
      <c r="H83" s="892"/>
      <c r="I83" s="114">
        <f>IFERROR('Sert Time Electronics'!V150,"-")</f>
        <v>50.004279459849748</v>
      </c>
      <c r="J83" s="429">
        <f>IFERROR('Sert Time Electronics'!W150,"-")</f>
        <v>-2.864666379512958E-2</v>
      </c>
      <c r="K83" s="439">
        <f>IFERROR('Sert Time Electronics'!AB150,"-")</f>
        <v>0.19550721666383636</v>
      </c>
    </row>
    <row r="84" spans="5:11" x14ac:dyDescent="0.35">
      <c r="E84" s="108">
        <v>4</v>
      </c>
      <c r="F84" s="108">
        <f>ID!D89</f>
        <v>100</v>
      </c>
      <c r="G84" s="892">
        <f>IFERROR('Sert Time Electronics'!R151,"-")</f>
        <v>100</v>
      </c>
      <c r="H84" s="892"/>
      <c r="I84" s="114">
        <f>IFERROR('Sert Time Electronics'!V151,"-")</f>
        <v>100.02685260137902</v>
      </c>
      <c r="J84" s="429">
        <f>IFERROR('Sert Time Electronics'!W151,"-")</f>
        <v>-7.5423579613774161E-2</v>
      </c>
      <c r="K84" s="439">
        <f>IFERROR('Sert Time Electronics'!AB151,"-")</f>
        <v>0.38031492716335302</v>
      </c>
    </row>
    <row r="85" spans="5:11" ht="15" customHeight="1" x14ac:dyDescent="0.35">
      <c r="E85" s="107">
        <v>5</v>
      </c>
      <c r="F85" s="108">
        <f>ID!D90</f>
        <v>500</v>
      </c>
      <c r="G85" s="892">
        <f>IFERROR('Sert Time Electronics'!R152,"-")</f>
        <v>500</v>
      </c>
      <c r="H85" s="892"/>
      <c r="I85" s="431">
        <f>IFERROR('Sert Time Electronics'!V152,"-")</f>
        <v>499.42739760865533</v>
      </c>
      <c r="J85" s="429">
        <f>IFERROR('Sert Time Electronics'!W152,"-")</f>
        <v>0.33077864670268453</v>
      </c>
      <c r="K85" s="439">
        <f>IFERROR('Sert Time Electronics'!AB152,"-")</f>
        <v>1.0845489705213354</v>
      </c>
    </row>
    <row r="86" spans="5:11" ht="15" customHeight="1" x14ac:dyDescent="0.35">
      <c r="E86" s="107">
        <v>6</v>
      </c>
      <c r="F86" s="108">
        <f>ID!D91</f>
        <v>1000</v>
      </c>
      <c r="G86" s="892">
        <f>IFERROR('Sert Time Electronics'!R153,"-")</f>
        <v>1000</v>
      </c>
      <c r="H86" s="892"/>
      <c r="I86" s="431">
        <f>IFERROR('Sert Time Electronics'!V153,"-")</f>
        <v>999.65312902394817</v>
      </c>
      <c r="J86" s="429">
        <f>IFERROR('Sert Time Electronics'!W153,"-")</f>
        <v>-0.13699051148388919</v>
      </c>
      <c r="K86" s="439">
        <f>IFERROR('Sert Time Electronics'!AB153,"-")</f>
        <v>1.7202463989143639</v>
      </c>
    </row>
    <row r="87" spans="5:11" ht="15.75" customHeight="1" x14ac:dyDescent="0.35">
      <c r="E87" s="915" t="s">
        <v>144</v>
      </c>
      <c r="F87" s="841"/>
      <c r="G87" s="841"/>
      <c r="H87" s="841"/>
      <c r="I87" s="841"/>
      <c r="J87" s="841"/>
      <c r="K87" s="841"/>
    </row>
    <row r="88" spans="5:11" ht="15" customHeight="1" x14ac:dyDescent="0.35">
      <c r="E88" s="108">
        <v>1</v>
      </c>
      <c r="F88" s="108">
        <f>ID!D93</f>
        <v>0</v>
      </c>
      <c r="G88" s="894">
        <f>IFERROR('Sert Time Electronics'!R156,"-")</f>
        <v>0</v>
      </c>
      <c r="H88" s="894"/>
      <c r="I88" s="114">
        <f>IFERROR('Sert Time Electronics'!V156,"-")</f>
        <v>1.7073471655430807E-3</v>
      </c>
      <c r="J88" s="429">
        <f>IFERROR('Sert Time Electronics'!W156,"-")</f>
        <v>-1.8804544602117571E-3</v>
      </c>
      <c r="K88" s="439">
        <f>IFERROR('Sert Time Electronics'!AB156,"-")</f>
        <v>5.7985117631630188E-2</v>
      </c>
    </row>
    <row r="89" spans="5:11" ht="15" customHeight="1" x14ac:dyDescent="0.35">
      <c r="E89" s="107">
        <v>2</v>
      </c>
      <c r="F89" s="108">
        <f>ID!D94</f>
        <v>1</v>
      </c>
      <c r="G89" s="892">
        <f>IFERROR('Sert Time Electronics'!R157,"-")</f>
        <v>1</v>
      </c>
      <c r="H89" s="892"/>
      <c r="I89" s="114">
        <f>IFERROR('Sert Time Electronics'!V157,"-")</f>
        <v>1.0217598182643008</v>
      </c>
      <c r="J89" s="429">
        <f>IFERROR('Sert Time Electronics'!W157,"-")</f>
        <v>-2.2426485130644064E-2</v>
      </c>
      <c r="K89" s="439">
        <f>IFERROR('Sert Time Electronics'!AB157,"-")</f>
        <v>0.23402049189438798</v>
      </c>
    </row>
    <row r="90" spans="5:11" ht="15" customHeight="1" x14ac:dyDescent="0.35">
      <c r="E90" s="107">
        <v>3</v>
      </c>
      <c r="F90" s="108">
        <f>ID!D95</f>
        <v>50</v>
      </c>
      <c r="G90" s="892">
        <f>IFERROR('Sert Time Electronics'!R158,"-")</f>
        <v>50</v>
      </c>
      <c r="H90" s="892"/>
      <c r="I90" s="114">
        <f>IFERROR('Sert Time Electronics'!V158,"-")</f>
        <v>50.004279459849748</v>
      </c>
      <c r="J90" s="429">
        <f>IFERROR('Sert Time Electronics'!W158,"-")</f>
        <v>-2.864666379512958E-2</v>
      </c>
      <c r="K90" s="439">
        <f>IFERROR('Sert Time Electronics'!AB158,"-")</f>
        <v>0.19550721666383636</v>
      </c>
    </row>
    <row r="91" spans="5:11" x14ac:dyDescent="0.35">
      <c r="E91" s="108">
        <v>4</v>
      </c>
      <c r="F91" s="108">
        <f>ID!D96</f>
        <v>100</v>
      </c>
      <c r="G91" s="892">
        <f>IFERROR('Sert Time Electronics'!R159,"-")</f>
        <v>100</v>
      </c>
      <c r="H91" s="892"/>
      <c r="I91" s="114">
        <f>IFERROR('Sert Time Electronics'!V159,"-")</f>
        <v>100.02685260137902</v>
      </c>
      <c r="J91" s="429">
        <f>IFERROR('Sert Time Electronics'!W159,"-")</f>
        <v>-7.5423579613774161E-2</v>
      </c>
      <c r="K91" s="439">
        <f>IFERROR('Sert Time Electronics'!AB159,"-")</f>
        <v>0.38031492716335302</v>
      </c>
    </row>
    <row r="92" spans="5:11" ht="15" customHeight="1" x14ac:dyDescent="0.35">
      <c r="E92" s="107">
        <v>5</v>
      </c>
      <c r="F92" s="108">
        <f>ID!D97</f>
        <v>500</v>
      </c>
      <c r="G92" s="892">
        <f>IFERROR('Sert Time Electronics'!R160,"-")</f>
        <v>500</v>
      </c>
      <c r="H92" s="892"/>
      <c r="I92" s="431">
        <f>IFERROR('Sert Time Electronics'!V160,"-")</f>
        <v>499.42739760865533</v>
      </c>
      <c r="J92" s="429">
        <f>IFERROR('Sert Time Electronics'!W160,"-")</f>
        <v>0.33077864670268453</v>
      </c>
      <c r="K92" s="439">
        <f>IFERROR('Sert Time Electronics'!AB160,"-")</f>
        <v>1.0845489705213354</v>
      </c>
    </row>
    <row r="93" spans="5:11" ht="15" customHeight="1" x14ac:dyDescent="0.35">
      <c r="E93" s="107">
        <v>6</v>
      </c>
      <c r="F93" s="108">
        <f>ID!D98</f>
        <v>1000</v>
      </c>
      <c r="G93" s="892">
        <f>IFERROR('Sert Time Electronics'!R161,"-")</f>
        <v>1000</v>
      </c>
      <c r="H93" s="892"/>
      <c r="I93" s="431">
        <f>IFERROR('Sert Time Electronics'!V161,"-")</f>
        <v>998.65307758169445</v>
      </c>
      <c r="J93" s="429">
        <f>IFERROR('Sert Time Electronics'!W161,"-")</f>
        <v>0.86354481270284589</v>
      </c>
      <c r="K93" s="439">
        <f>IFERROR('Sert Time Electronics'!AB161,"-")</f>
        <v>1.7188520862151635</v>
      </c>
    </row>
    <row r="94" spans="5:11" ht="15.75" customHeight="1" x14ac:dyDescent="0.35">
      <c r="E94" s="915" t="s">
        <v>145</v>
      </c>
      <c r="F94" s="841"/>
      <c r="G94" s="841"/>
      <c r="H94" s="841"/>
      <c r="I94" s="841"/>
      <c r="J94" s="841"/>
      <c r="K94" s="842"/>
    </row>
    <row r="95" spans="5:11" ht="15" customHeight="1" x14ac:dyDescent="0.35">
      <c r="E95" s="108">
        <v>1</v>
      </c>
      <c r="F95" s="108">
        <f>ID!D100</f>
        <v>0</v>
      </c>
      <c r="G95" s="894">
        <f>IFERROR('Sert Time Electronics'!R164,"-")</f>
        <v>0</v>
      </c>
      <c r="H95" s="894"/>
      <c r="I95" s="114">
        <f>IFERROR('Sert Time Electronics'!V164,"-")</f>
        <v>1.7073471655430807E-3</v>
      </c>
      <c r="J95" s="429">
        <f>IFERROR('Sert Time Electronics'!W164,"-")</f>
        <v>-1.8804544602117571E-3</v>
      </c>
      <c r="K95" s="439">
        <f>IFERROR('Sert Time Electronics'!AB164,"-")</f>
        <v>5.7985117631630188E-2</v>
      </c>
    </row>
    <row r="96" spans="5:11" ht="15" customHeight="1" x14ac:dyDescent="0.35">
      <c r="E96" s="107">
        <v>2</v>
      </c>
      <c r="F96" s="108">
        <f>ID!D101</f>
        <v>1</v>
      </c>
      <c r="G96" s="892">
        <f>IFERROR('Sert Time Electronics'!R165,"-")</f>
        <v>1</v>
      </c>
      <c r="H96" s="892"/>
      <c r="I96" s="114">
        <f>IFERROR('Sert Time Electronics'!V165,"-")</f>
        <v>1.0217598182643008</v>
      </c>
      <c r="J96" s="429">
        <f>IFERROR('Sert Time Electronics'!W165,"-")</f>
        <v>-2.2426485130644064E-2</v>
      </c>
      <c r="K96" s="439">
        <f>IFERROR('Sert Time Electronics'!AB165,"-")</f>
        <v>0.23402049189438798</v>
      </c>
    </row>
    <row r="97" spans="1:11" ht="15" customHeight="1" x14ac:dyDescent="0.35">
      <c r="E97" s="107">
        <v>3</v>
      </c>
      <c r="F97" s="108">
        <f>ID!D102</f>
        <v>50</v>
      </c>
      <c r="G97" s="892">
        <f>IFERROR('Sert Time Electronics'!R166,"-")</f>
        <v>50</v>
      </c>
      <c r="H97" s="892"/>
      <c r="I97" s="114">
        <f>IFERROR('Sert Time Electronics'!V166,"-")</f>
        <v>50.004279459849748</v>
      </c>
      <c r="J97" s="429">
        <f>IFERROR('Sert Time Electronics'!W166,"-")</f>
        <v>-2.864666379512958E-2</v>
      </c>
      <c r="K97" s="439">
        <f>IFERROR('Sert Time Electronics'!AB166,"-")</f>
        <v>0.19550721666383636</v>
      </c>
    </row>
    <row r="98" spans="1:11" x14ac:dyDescent="0.35">
      <c r="E98" s="108">
        <v>4</v>
      </c>
      <c r="F98" s="108">
        <f>ID!D103</f>
        <v>100</v>
      </c>
      <c r="G98" s="892">
        <f>IFERROR('Sert Time Electronics'!R167,"-")</f>
        <v>100</v>
      </c>
      <c r="H98" s="892"/>
      <c r="I98" s="114">
        <f>IFERROR('Sert Time Electronics'!V167,"-")</f>
        <v>100.02685260137902</v>
      </c>
      <c r="J98" s="429">
        <f>IFERROR('Sert Time Electronics'!W167,"-")</f>
        <v>-7.5423579613774161E-2</v>
      </c>
      <c r="K98" s="439">
        <f>IFERROR('Sert Time Electronics'!AB167,"-")</f>
        <v>0.38031492716335302</v>
      </c>
    </row>
    <row r="99" spans="1:11" ht="15" customHeight="1" x14ac:dyDescent="0.35">
      <c r="E99" s="107">
        <v>5</v>
      </c>
      <c r="F99" s="108">
        <f>ID!D104</f>
        <v>500</v>
      </c>
      <c r="G99" s="892">
        <f>IFERROR('Sert Time Electronics'!R168,"-")</f>
        <v>500</v>
      </c>
      <c r="H99" s="892"/>
      <c r="I99" s="431">
        <f>IFERROR('Sert Time Electronics'!V168,"-")</f>
        <v>499.42739760865533</v>
      </c>
      <c r="J99" s="429">
        <f>IFERROR('Sert Time Electronics'!W168,"-")</f>
        <v>0.33077864670268453</v>
      </c>
      <c r="K99" s="439">
        <f>IFERROR('Sert Time Electronics'!AB168,"-")</f>
        <v>1.0845489705213354</v>
      </c>
    </row>
    <row r="100" spans="1:11" ht="15" customHeight="1" x14ac:dyDescent="0.35">
      <c r="E100" s="107">
        <v>6</v>
      </c>
      <c r="F100" s="108">
        <f>ID!D105</f>
        <v>1000</v>
      </c>
      <c r="G100" s="892">
        <f>IFERROR('Sert Time Electronics'!R169,"-")</f>
        <v>1000</v>
      </c>
      <c r="H100" s="892"/>
      <c r="I100" s="431">
        <f>IFERROR('Sert Time Electronics'!V169,"-")</f>
        <v>998.85308787014515</v>
      </c>
      <c r="J100" s="429">
        <f>IFERROR('Sert Time Electronics'!W169,"-")</f>
        <v>0.66343774786554444</v>
      </c>
      <c r="K100" s="439">
        <f>IFERROR('Sert Time Electronics'!AB169,"-")</f>
        <v>1.6953897609176898</v>
      </c>
    </row>
    <row r="101" spans="1:11" ht="15" customHeight="1" x14ac:dyDescent="0.35">
      <c r="E101" s="116"/>
      <c r="F101" s="116"/>
      <c r="G101" s="113"/>
      <c r="H101" s="113"/>
      <c r="I101" s="113"/>
      <c r="J101" s="113"/>
      <c r="K101" s="113"/>
    </row>
    <row r="102" spans="1:11" x14ac:dyDescent="0.35">
      <c r="A102" s="102"/>
      <c r="B102" s="102"/>
      <c r="C102" s="93" t="s">
        <v>146</v>
      </c>
      <c r="D102" s="93"/>
      <c r="E102" s="102" t="s">
        <v>147</v>
      </c>
      <c r="F102" s="102"/>
      <c r="G102" s="100"/>
      <c r="H102" s="102"/>
      <c r="I102" s="106"/>
      <c r="J102" s="105"/>
      <c r="K102" s="105"/>
    </row>
    <row r="103" spans="1:11" ht="15" customHeight="1" x14ac:dyDescent="0.35">
      <c r="E103" s="822" t="s">
        <v>30</v>
      </c>
      <c r="F103" s="425" t="s">
        <v>232</v>
      </c>
      <c r="G103" s="825" t="str">
        <f>LK!F106</f>
        <v>Penunjukan Standar</v>
      </c>
      <c r="H103" s="826"/>
      <c r="I103" s="417" t="str">
        <f>ID!F108</f>
        <v>Pembacaan Alat</v>
      </c>
      <c r="J103" s="417" t="s">
        <v>233</v>
      </c>
      <c r="K103" s="417" t="s">
        <v>234</v>
      </c>
    </row>
    <row r="104" spans="1:11" ht="15" customHeight="1" x14ac:dyDescent="0.35">
      <c r="E104" s="896"/>
      <c r="F104" s="422"/>
      <c r="G104" s="423"/>
      <c r="H104" s="424"/>
      <c r="I104" s="432"/>
      <c r="J104" s="432"/>
      <c r="K104" s="432" t="s">
        <v>235</v>
      </c>
    </row>
    <row r="105" spans="1:11" ht="15" customHeight="1" thickBot="1" x14ac:dyDescent="0.4">
      <c r="E105" s="897"/>
      <c r="F105" s="426" t="s">
        <v>237</v>
      </c>
      <c r="G105" s="890" t="s">
        <v>237</v>
      </c>
      <c r="H105" s="891"/>
      <c r="I105" s="418" t="s">
        <v>237</v>
      </c>
      <c r="J105" s="418" t="s">
        <v>237</v>
      </c>
      <c r="K105" s="418" t="s">
        <v>237</v>
      </c>
    </row>
    <row r="106" spans="1:11" ht="15" customHeight="1" thickTop="1" x14ac:dyDescent="0.35">
      <c r="E106" s="108">
        <v>1</v>
      </c>
      <c r="F106" s="108">
        <f>ID!D111</f>
        <v>0</v>
      </c>
      <c r="G106" s="894">
        <f>IFERROR('Sert Time Electronics'!R172,"-")</f>
        <v>0</v>
      </c>
      <c r="H106" s="894"/>
      <c r="I106" s="114">
        <f>IFERROR('Sert Time Electronics'!V172,"-")</f>
        <v>1.7073471655430807E-3</v>
      </c>
      <c r="J106" s="429">
        <f>IFERROR('Sert Time Electronics'!W172,"-")</f>
        <v>-1.8804544602117571E-3</v>
      </c>
      <c r="K106" s="439">
        <f>IFERROR('Sert Time Electronics'!AB172,"-")</f>
        <v>5.7985117631630188E-2</v>
      </c>
    </row>
    <row r="107" spans="1:11" ht="15" customHeight="1" x14ac:dyDescent="0.35">
      <c r="E107" s="107">
        <v>2</v>
      </c>
      <c r="F107" s="108">
        <f>ID!D112</f>
        <v>1</v>
      </c>
      <c r="G107" s="892">
        <f>IFERROR('Sert Time Electronics'!R173,"-")</f>
        <v>1</v>
      </c>
      <c r="H107" s="892"/>
      <c r="I107" s="114">
        <f>IFERROR('Sert Time Electronics'!V173,"-")</f>
        <v>0.40172792406701674</v>
      </c>
      <c r="J107" s="429">
        <f>IFERROR('Sert Time Electronics'!W173,"-")</f>
        <v>0.59790541586510892</v>
      </c>
      <c r="K107" s="439">
        <f>IFERROR('Sert Time Electronics'!AB173,"-")</f>
        <v>5.7993575508391543E-2</v>
      </c>
    </row>
    <row r="108" spans="1:11" ht="15" customHeight="1" x14ac:dyDescent="0.35">
      <c r="E108" s="107">
        <v>3</v>
      </c>
      <c r="F108" s="108">
        <f>ID!D113</f>
        <v>50</v>
      </c>
      <c r="G108" s="892">
        <f>IFERROR('Sert Time Electronics'!R174,"-")</f>
        <v>50</v>
      </c>
      <c r="H108" s="892"/>
      <c r="I108" s="114">
        <f>IFERROR('Sert Time Electronics'!V174,"-")</f>
        <v>48.904222873370692</v>
      </c>
      <c r="J108" s="429">
        <f>IFERROR('Sert Time Electronics'!W174,"-")</f>
        <v>1.0719421928102419</v>
      </c>
      <c r="K108" s="439">
        <f>IFERROR('Sert Time Electronics'!AB174,"-")</f>
        <v>9.504321281863555E-2</v>
      </c>
    </row>
    <row r="109" spans="1:11" x14ac:dyDescent="0.35">
      <c r="E109" s="108">
        <v>4</v>
      </c>
      <c r="F109" s="108">
        <f>ID!D114</f>
        <v>100</v>
      </c>
      <c r="G109" s="892">
        <f>IFERROR('Sert Time Electronics'!R175,"-")</f>
        <v>100</v>
      </c>
      <c r="H109" s="892"/>
      <c r="I109" s="114">
        <f>IFERROR('Sert Time Electronics'!V175,"-")</f>
        <v>98.10675383225194</v>
      </c>
      <c r="J109" s="429">
        <f>IFERROR('Sert Time Electronics'!W175,"-")</f>
        <v>1.8456042428246928</v>
      </c>
      <c r="K109" s="439">
        <f>IFERROR('Sert Time Electronics'!AB175,"-")</f>
        <v>0.16279564508654629</v>
      </c>
    </row>
    <row r="110" spans="1:11" ht="15" customHeight="1" x14ac:dyDescent="0.35">
      <c r="E110" s="108">
        <v>5</v>
      </c>
      <c r="F110" s="108">
        <f>ID!D115</f>
        <v>500</v>
      </c>
      <c r="G110" s="892">
        <f>IFERROR('Sert Time Electronics'!R176,"-")</f>
        <v>500</v>
      </c>
      <c r="H110" s="892"/>
      <c r="I110" s="431">
        <f>IFERROR('Sert Time Electronics'!V176,"-")</f>
        <v>490.02691405147073</v>
      </c>
      <c r="J110" s="429">
        <f>IFERROR('Sert Time Electronics'!W176,"-")</f>
        <v>9.7358106940576192</v>
      </c>
      <c r="K110" s="439">
        <f>IFERROR('Sert Time Electronics'!AB176,"-")</f>
        <v>1.0556505710808988</v>
      </c>
    </row>
    <row r="111" spans="1:11" ht="15" customHeight="1" x14ac:dyDescent="0.35">
      <c r="E111" s="108">
        <v>6</v>
      </c>
      <c r="F111" s="108">
        <f>ID!D116</f>
        <v>1000</v>
      </c>
      <c r="G111" s="892">
        <f>IFERROR('Sert Time Electronics'!R177,"-")</f>
        <v>1000</v>
      </c>
      <c r="H111" s="892"/>
      <c r="I111" s="431">
        <f>IFERROR('Sert Time Electronics'!V177,"-")</f>
        <v>981.05217219802955</v>
      </c>
      <c r="J111" s="429">
        <f>IFERROR('Sert Time Electronics'!W177,"-")</f>
        <v>18.472966518388791</v>
      </c>
      <c r="K111" s="439">
        <f>IFERROR('Sert Time Electronics'!AB177,"-")</f>
        <v>1.6232645917485644</v>
      </c>
    </row>
    <row r="112" spans="1:11" ht="15" customHeight="1" x14ac:dyDescent="0.35">
      <c r="E112" s="112"/>
      <c r="F112" s="112"/>
      <c r="G112" s="113"/>
      <c r="H112" s="113"/>
      <c r="I112" s="113"/>
      <c r="J112" s="113"/>
      <c r="K112" s="113"/>
    </row>
    <row r="113" spans="1:11" x14ac:dyDescent="0.35">
      <c r="A113" s="102"/>
      <c r="B113" s="102"/>
      <c r="C113" s="93" t="s">
        <v>149</v>
      </c>
      <c r="D113" s="93"/>
      <c r="E113" s="102" t="s">
        <v>150</v>
      </c>
      <c r="F113" s="102"/>
      <c r="G113" s="100"/>
      <c r="H113" s="102"/>
      <c r="I113" s="106"/>
      <c r="J113" s="105"/>
      <c r="K113" s="105"/>
    </row>
    <row r="114" spans="1:11" ht="15" customHeight="1" x14ac:dyDescent="0.35">
      <c r="E114" s="822" t="s">
        <v>30</v>
      </c>
      <c r="F114" s="425" t="s">
        <v>232</v>
      </c>
      <c r="G114" s="825" t="str">
        <f>LK!F117</f>
        <v>Penunjukan Standar</v>
      </c>
      <c r="H114" s="826"/>
      <c r="I114" s="417" t="str">
        <f>ID!F119</f>
        <v>Pembacaan Alat</v>
      </c>
      <c r="J114" s="417" t="s">
        <v>233</v>
      </c>
      <c r="K114" s="417" t="s">
        <v>234</v>
      </c>
    </row>
    <row r="115" spans="1:11" ht="15" customHeight="1" x14ac:dyDescent="0.35">
      <c r="E115" s="896"/>
      <c r="F115" s="422"/>
      <c r="G115" s="423"/>
      <c r="H115" s="424"/>
      <c r="I115" s="432"/>
      <c r="J115" s="432"/>
      <c r="K115" s="432" t="s">
        <v>235</v>
      </c>
    </row>
    <row r="116" spans="1:11" ht="15" customHeight="1" thickBot="1" x14ac:dyDescent="0.4">
      <c r="E116" s="897"/>
      <c r="F116" s="426" t="s">
        <v>237</v>
      </c>
      <c r="G116" s="890" t="s">
        <v>237</v>
      </c>
      <c r="H116" s="891"/>
      <c r="I116" s="418" t="s">
        <v>237</v>
      </c>
      <c r="J116" s="418" t="s">
        <v>237</v>
      </c>
      <c r="K116" s="418" t="s">
        <v>237</v>
      </c>
    </row>
    <row r="117" spans="1:11" ht="15" customHeight="1" thickTop="1" x14ac:dyDescent="0.35">
      <c r="E117" s="918" t="s">
        <v>151</v>
      </c>
      <c r="F117" s="919"/>
      <c r="G117" s="919"/>
      <c r="H117" s="919"/>
      <c r="I117" s="919"/>
      <c r="J117" s="919"/>
      <c r="K117" s="920"/>
    </row>
    <row r="118" spans="1:11" ht="15" customHeight="1" x14ac:dyDescent="0.35">
      <c r="E118" s="108">
        <v>1</v>
      </c>
      <c r="F118" s="108">
        <f>ID!D123</f>
        <v>0</v>
      </c>
      <c r="G118" s="894">
        <f>IFERROR('Sert Time Electronics'!R181,"-")</f>
        <v>0</v>
      </c>
      <c r="H118" s="894"/>
      <c r="I118" s="114">
        <f>IFERROR('Sert Time Electronics'!V181,"-")</f>
        <v>1.7073471655430807E-3</v>
      </c>
      <c r="J118" s="429">
        <f>IFERROR('Sert Time Electronics'!W181,"-")</f>
        <v>-1.8804544602117571E-3</v>
      </c>
      <c r="K118" s="439">
        <f>IFERROR('Sert Time Electronics'!AB181,"-")</f>
        <v>5.7985117631630188E-2</v>
      </c>
    </row>
    <row r="119" spans="1:11" ht="15" customHeight="1" x14ac:dyDescent="0.35">
      <c r="E119" s="107">
        <v>2</v>
      </c>
      <c r="F119" s="108">
        <f>ID!D124</f>
        <v>1</v>
      </c>
      <c r="G119" s="892">
        <f>IFERROR('Sert Time Electronics'!R182,"-")</f>
        <v>1</v>
      </c>
      <c r="H119" s="892"/>
      <c r="I119" s="114">
        <f>IFERROR('Sert Time Electronics'!V182,"-")</f>
        <v>1.0017587894192272</v>
      </c>
      <c r="J119" s="429">
        <f>IFERROR('Sert Time Electronics'!W182,"-")</f>
        <v>-2.4157786469101816E-3</v>
      </c>
      <c r="K119" s="439">
        <f>IFERROR('Sert Time Electronics'!AB182,"-")</f>
        <v>0.27294312523216918</v>
      </c>
    </row>
    <row r="120" spans="1:11" ht="15" customHeight="1" x14ac:dyDescent="0.35">
      <c r="E120" s="107">
        <v>3</v>
      </c>
      <c r="F120" s="108">
        <f>ID!D125</f>
        <v>50</v>
      </c>
      <c r="G120" s="892">
        <f>IFERROR('Sert Time Electronics'!R183,"-")</f>
        <v>50</v>
      </c>
      <c r="H120" s="892"/>
      <c r="I120" s="114">
        <f>IFERROR('Sert Time Electronics'!V183,"-")</f>
        <v>49.904274315624377</v>
      </c>
      <c r="J120" s="429">
        <f>IFERROR('Sert Time Electronics'!W183,"-")</f>
        <v>7.1406868623542508E-2</v>
      </c>
      <c r="K120" s="439">
        <f>IFERROR('Sert Time Electronics'!AB183,"-")</f>
        <v>0.22798863995662197</v>
      </c>
    </row>
    <row r="121" spans="1:11" x14ac:dyDescent="0.35">
      <c r="E121" s="108">
        <v>4</v>
      </c>
      <c r="F121" s="108">
        <f>ID!D126</f>
        <v>100</v>
      </c>
      <c r="G121" s="892">
        <f>IFERROR('Sert Time Electronics'!R184,"-")</f>
        <v>100</v>
      </c>
      <c r="H121" s="892"/>
      <c r="I121" s="114">
        <f>IFERROR('Sert Time Electronics'!V184,"-")</f>
        <v>99.986850543688874</v>
      </c>
      <c r="J121" s="429">
        <f>IFERROR('Sert Time Electronics'!W184,"-")</f>
        <v>-3.5402166646308159E-2</v>
      </c>
      <c r="K121" s="439">
        <f>IFERROR('Sert Time Electronics'!AB184,"-")</f>
        <v>0.27904083129255125</v>
      </c>
    </row>
    <row r="122" spans="1:11" ht="15" customHeight="1" x14ac:dyDescent="0.35">
      <c r="E122" s="108">
        <v>5</v>
      </c>
      <c r="F122" s="108">
        <f>ID!D127</f>
        <v>500</v>
      </c>
      <c r="G122" s="892">
        <f>IFERROR('Sert Time Electronics'!R185,"-")</f>
        <v>500</v>
      </c>
      <c r="H122" s="892"/>
      <c r="I122" s="431">
        <f>IFERROR('Sert Time Electronics'!V185,"-")</f>
        <v>498.62735645485242</v>
      </c>
      <c r="J122" s="429">
        <f>IFERROR('Sert Time Electronics'!W185,"-")</f>
        <v>1.1312069060520042</v>
      </c>
      <c r="K122" s="439">
        <f>IFERROR('Sert Time Electronics'!AB185,"-")</f>
        <v>1.0836941732862801</v>
      </c>
    </row>
    <row r="123" spans="1:11" ht="15" customHeight="1" x14ac:dyDescent="0.35">
      <c r="E123" s="110">
        <v>6</v>
      </c>
      <c r="F123" s="110">
        <f>ID!D128</f>
        <v>1000</v>
      </c>
      <c r="G123" s="892">
        <f>IFERROR('Sert Time Electronics'!R186,"-")</f>
        <v>1000</v>
      </c>
      <c r="H123" s="892"/>
      <c r="I123" s="431">
        <f>IFERROR('Sert Time Electronics'!V186,"-")</f>
        <v>998.45306729324363</v>
      </c>
      <c r="J123" s="429">
        <f>IFERROR('Sert Time Electronics'!W186,"-")</f>
        <v>1.063651877540261</v>
      </c>
      <c r="K123" s="439">
        <f>IFERROR('Sert Time Electronics'!AB186,"-")</f>
        <v>1.7185732586570042</v>
      </c>
    </row>
    <row r="124" spans="1:11" ht="15.75" customHeight="1" x14ac:dyDescent="0.35">
      <c r="E124" s="915" t="s">
        <v>152</v>
      </c>
      <c r="F124" s="841"/>
      <c r="G124" s="841"/>
      <c r="H124" s="841"/>
      <c r="I124" s="841"/>
      <c r="J124" s="841"/>
      <c r="K124" s="842"/>
    </row>
    <row r="125" spans="1:11" ht="15" customHeight="1" x14ac:dyDescent="0.35">
      <c r="E125" s="108">
        <v>1</v>
      </c>
      <c r="F125" s="108">
        <f>ID!D130</f>
        <v>0</v>
      </c>
      <c r="G125" s="894">
        <f>IFERROR('Sert Time Electronics'!R189,"-")</f>
        <v>0</v>
      </c>
      <c r="H125" s="894"/>
      <c r="I125" s="114">
        <f>IFERROR('Sert Time Electronics'!V189,"-")</f>
        <v>1.7073471655430807E-3</v>
      </c>
      <c r="J125" s="429">
        <f>IFERROR('Sert Time Electronics'!W189,"-")</f>
        <v>-1.8804544602117571E-3</v>
      </c>
      <c r="K125" s="439">
        <f>IFERROR('Sert Time Electronics'!AB189,"-")</f>
        <v>5.7985117631630188E-2</v>
      </c>
    </row>
    <row r="126" spans="1:11" ht="15" customHeight="1" x14ac:dyDescent="0.35">
      <c r="E126" s="107">
        <v>2</v>
      </c>
      <c r="F126" s="108">
        <f>ID!D131</f>
        <v>1</v>
      </c>
      <c r="G126" s="892">
        <f>IFERROR('Sert Time Electronics'!R190,"-")</f>
        <v>1</v>
      </c>
      <c r="H126" s="892"/>
      <c r="I126" s="114">
        <f>IFERROR('Sert Time Electronics'!V190,"-")</f>
        <v>1.8017999432221745</v>
      </c>
      <c r="J126" s="429">
        <f>IFERROR('Sert Time Electronics'!W190,"-")</f>
        <v>-0.80284403799626891</v>
      </c>
      <c r="K126" s="439">
        <f>IFERROR('Sert Time Electronics'!AB190,"-")</f>
        <v>0.82619986776608612</v>
      </c>
    </row>
    <row r="127" spans="1:11" ht="15" customHeight="1" x14ac:dyDescent="0.35">
      <c r="E127" s="107">
        <v>3</v>
      </c>
      <c r="F127" s="108">
        <f>ID!D132</f>
        <v>50</v>
      </c>
      <c r="G127" s="892">
        <f>IFERROR('Sert Time Electronics'!R191,"-")</f>
        <v>50</v>
      </c>
      <c r="H127" s="892"/>
      <c r="I127" s="114">
        <f>IFERROR('Sert Time Electronics'!V191,"-")</f>
        <v>49.964277402159603</v>
      </c>
      <c r="J127" s="429">
        <f>IFERROR('Sert Time Electronics'!W191,"-")</f>
        <v>1.1374749172336412E-2</v>
      </c>
      <c r="K127" s="439">
        <f>IFERROR('Sert Time Electronics'!AB191,"-")</f>
        <v>0.91819858755928851</v>
      </c>
    </row>
    <row r="128" spans="1:11" x14ac:dyDescent="0.35">
      <c r="E128" s="108">
        <v>4</v>
      </c>
      <c r="F128" s="108">
        <f>ID!D133</f>
        <v>100</v>
      </c>
      <c r="G128" s="892">
        <f>IFERROR('Sert Time Electronics'!R192,"-")</f>
        <v>100</v>
      </c>
      <c r="H128" s="892"/>
      <c r="I128" s="114">
        <f>IFERROR('Sert Time Electronics'!V192,"-")</f>
        <v>99.98685054368886</v>
      </c>
      <c r="J128" s="429">
        <f>IFERROR('Sert Time Electronics'!W192,"-")</f>
        <v>-3.5402166646293941E-2</v>
      </c>
      <c r="K128" s="439">
        <f>IFERROR('Sert Time Electronics'!AB192,"-")</f>
        <v>0.55827852978117409</v>
      </c>
    </row>
    <row r="129" spans="5:11" ht="15" customHeight="1" x14ac:dyDescent="0.35">
      <c r="E129" s="108">
        <v>5</v>
      </c>
      <c r="F129" s="108">
        <f>ID!D134</f>
        <v>500</v>
      </c>
      <c r="G129" s="892">
        <f>IFERROR('Sert Time Electronics'!R193,"-")</f>
        <v>500</v>
      </c>
      <c r="H129" s="892"/>
      <c r="I129" s="431">
        <f>IFERROR('Sert Time Electronics'!V193,"-")</f>
        <v>499.62740789710614</v>
      </c>
      <c r="J129" s="429">
        <f>IFERROR('Sert Time Electronics'!W193,"-")</f>
        <v>0.13067158186526925</v>
      </c>
      <c r="K129" s="439">
        <f>IFERROR('Sert Time Electronics'!AB193,"-")</f>
        <v>1.5077082856257702</v>
      </c>
    </row>
    <row r="130" spans="5:11" ht="15" customHeight="1" x14ac:dyDescent="0.35">
      <c r="E130" s="110">
        <v>6</v>
      </c>
      <c r="F130" s="110">
        <f>ID!D135</f>
        <v>1000</v>
      </c>
      <c r="G130" s="892">
        <f>IFERROR('Sert Time Electronics'!R194,"-")</f>
        <v>1000</v>
      </c>
      <c r="H130" s="892"/>
      <c r="I130" s="431">
        <f>IFERROR('Sert Time Electronics'!V194,"-")</f>
        <v>999.05309815859596</v>
      </c>
      <c r="J130" s="429">
        <f>IFERROR('Sert Time Electronics'!W194,"-")</f>
        <v>0.46333068302812913</v>
      </c>
      <c r="K130" s="439">
        <f>IFERROR('Sert Time Electronics'!AB194,"-")</f>
        <v>1.8922829780259207</v>
      </c>
    </row>
    <row r="131" spans="5:11" ht="15.75" customHeight="1" x14ac:dyDescent="0.35">
      <c r="E131" s="915" t="s">
        <v>153</v>
      </c>
      <c r="F131" s="841"/>
      <c r="G131" s="841"/>
      <c r="H131" s="841"/>
      <c r="I131" s="841"/>
      <c r="J131" s="841"/>
      <c r="K131" s="842"/>
    </row>
    <row r="132" spans="5:11" ht="15" customHeight="1" x14ac:dyDescent="0.35">
      <c r="E132" s="108">
        <v>1</v>
      </c>
      <c r="F132" s="108">
        <f>ID!D137</f>
        <v>0</v>
      </c>
      <c r="G132" s="894">
        <f>IFERROR('Sert Time Electronics'!R197,"-")</f>
        <v>0</v>
      </c>
      <c r="H132" s="894"/>
      <c r="I132" s="114">
        <f>IFERROR('Sert Time Electronics'!V197,"-")</f>
        <v>1.7073471655430807E-3</v>
      </c>
      <c r="J132" s="429">
        <f>IFERROR('Sert Time Electronics'!W197,"-")</f>
        <v>-1.8804544602117571E-3</v>
      </c>
      <c r="K132" s="439">
        <f>IFERROR('Sert Time Electronics'!AB197,"-")</f>
        <v>5.7985117631630188E-2</v>
      </c>
    </row>
    <row r="133" spans="5:11" ht="15" customHeight="1" x14ac:dyDescent="0.35">
      <c r="E133" s="107">
        <v>2</v>
      </c>
      <c r="F133" s="108">
        <f>ID!D138</f>
        <v>1</v>
      </c>
      <c r="G133" s="892">
        <f>IFERROR('Sert Time Electronics'!R198,"-")</f>
        <v>1</v>
      </c>
      <c r="H133" s="892"/>
      <c r="I133" s="114">
        <f>IFERROR('Sert Time Electronics'!V198,"-")</f>
        <v>1.0617618759544483</v>
      </c>
      <c r="J133" s="429">
        <f>IFERROR('Sert Time Electronics'!W198,"-")</f>
        <v>-6.2447898098112055E-2</v>
      </c>
      <c r="K133" s="439">
        <f>IFERROR('Sert Time Electronics'!AB198,"-")</f>
        <v>0.25269215123518701</v>
      </c>
    </row>
    <row r="134" spans="5:11" ht="15" customHeight="1" x14ac:dyDescent="0.35">
      <c r="E134" s="107">
        <v>3</v>
      </c>
      <c r="F134" s="108">
        <f>ID!D139</f>
        <v>50</v>
      </c>
      <c r="G134" s="892">
        <f>IFERROR('Sert Time Electronics'!R199,"-")</f>
        <v>50</v>
      </c>
      <c r="H134" s="892"/>
      <c r="I134" s="114">
        <f>IFERROR('Sert Time Electronics'!V199,"-")</f>
        <v>50.044281517539893</v>
      </c>
      <c r="J134" s="429">
        <f>IFERROR('Sert Time Electronics'!W199,"-")</f>
        <v>-6.8668076762595565E-2</v>
      </c>
      <c r="K134" s="439">
        <f>IFERROR('Sert Time Electronics'!AB199,"-")</f>
        <v>0.2056527384083707</v>
      </c>
    </row>
    <row r="135" spans="5:11" x14ac:dyDescent="0.35">
      <c r="E135" s="108">
        <v>4</v>
      </c>
      <c r="F135" s="108">
        <f>ID!D140</f>
        <v>100</v>
      </c>
      <c r="G135" s="892">
        <f>IFERROR('Sert Time Electronics'!R200,"-")</f>
        <v>100</v>
      </c>
      <c r="H135" s="892"/>
      <c r="I135" s="114">
        <f>IFERROR('Sert Time Electronics'!V200,"-")</f>
        <v>99.986850543688874</v>
      </c>
      <c r="J135" s="429">
        <f>IFERROR('Sert Time Electronics'!W200,"-")</f>
        <v>-3.5402166646308159E-2</v>
      </c>
      <c r="K135" s="439">
        <f>IFERROR('Sert Time Electronics'!AB200,"-")</f>
        <v>0.32206249452312996</v>
      </c>
    </row>
    <row r="136" spans="5:11" ht="15" customHeight="1" x14ac:dyDescent="0.35">
      <c r="E136" s="107">
        <v>5</v>
      </c>
      <c r="F136" s="108">
        <f>ID!D141</f>
        <v>500</v>
      </c>
      <c r="G136" s="892">
        <f>IFERROR('Sert Time Electronics'!R201,"-")</f>
        <v>500</v>
      </c>
      <c r="H136" s="892"/>
      <c r="I136" s="431">
        <f>IFERROR('Sert Time Electronics'!V201,"-")</f>
        <v>498.62735645485242</v>
      </c>
      <c r="J136" s="429">
        <f>IFERROR('Sert Time Electronics'!W201,"-")</f>
        <v>1.1312069060520042</v>
      </c>
      <c r="K136" s="439">
        <f>IFERROR('Sert Time Electronics'!AB201,"-")</f>
        <v>1.0836941732862801</v>
      </c>
    </row>
    <row r="137" spans="5:11" ht="15" customHeight="1" x14ac:dyDescent="0.35">
      <c r="E137" s="473">
        <v>6</v>
      </c>
      <c r="F137" s="110">
        <f>ID!D142</f>
        <v>1000</v>
      </c>
      <c r="G137" s="892">
        <f>IFERROR('Sert Time Electronics'!R202,"-")</f>
        <v>1000</v>
      </c>
      <c r="H137" s="892"/>
      <c r="I137" s="431">
        <f>IFERROR('Sert Time Electronics'!V202,"-")</f>
        <v>998.85308787014515</v>
      </c>
      <c r="J137" s="429">
        <f>IFERROR('Sert Time Electronics'!W202,"-")</f>
        <v>0.66343774786554444</v>
      </c>
      <c r="K137" s="439">
        <f>IFERROR('Sert Time Electronics'!AB202,"-")</f>
        <v>1.6953897609176898</v>
      </c>
    </row>
    <row r="138" spans="5:11" ht="15.75" customHeight="1" x14ac:dyDescent="0.35">
      <c r="E138" s="915" t="s">
        <v>154</v>
      </c>
      <c r="F138" s="841"/>
      <c r="G138" s="841"/>
      <c r="H138" s="841"/>
      <c r="I138" s="841"/>
      <c r="J138" s="841"/>
      <c r="K138" s="842"/>
    </row>
    <row r="139" spans="5:11" ht="15" customHeight="1" x14ac:dyDescent="0.35">
      <c r="E139" s="108">
        <v>1</v>
      </c>
      <c r="F139" s="108">
        <f>ID!D144</f>
        <v>0</v>
      </c>
      <c r="G139" s="894">
        <f>IFERROR('Sert Time Electronics'!R205,"-")</f>
        <v>0</v>
      </c>
      <c r="H139" s="894"/>
      <c r="I139" s="114">
        <f>IFERROR('Sert Time Electronics'!V205,"-")</f>
        <v>1.7073471655430807E-3</v>
      </c>
      <c r="J139" s="429">
        <f>IFERROR('Sert Time Electronics'!W205,"-")</f>
        <v>-1.8804544602117571E-3</v>
      </c>
      <c r="K139" s="439">
        <f>IFERROR('Sert Time Electronics'!AB205,"-")</f>
        <v>5.7985117631630188E-2</v>
      </c>
    </row>
    <row r="140" spans="5:11" ht="15" customHeight="1" x14ac:dyDescent="0.35">
      <c r="E140" s="107">
        <v>2</v>
      </c>
      <c r="F140" s="108">
        <f>ID!D145</f>
        <v>1</v>
      </c>
      <c r="G140" s="892">
        <f>IFERROR('Sert Time Electronics'!R206,"-")</f>
        <v>1</v>
      </c>
      <c r="H140" s="892"/>
      <c r="I140" s="114">
        <f>IFERROR('Sert Time Electronics'!V206,"-")</f>
        <v>0.98175776057415354</v>
      </c>
      <c r="J140" s="429">
        <f>IFERROR('Sert Time Electronics'!W206,"-")</f>
        <v>1.7594927836823811E-2</v>
      </c>
      <c r="K140" s="439">
        <f>IFERROR('Sert Time Electronics'!AB206,"-")</f>
        <v>0.29184590384673953</v>
      </c>
    </row>
    <row r="141" spans="5:11" ht="15" customHeight="1" x14ac:dyDescent="0.35">
      <c r="E141" s="107">
        <v>3</v>
      </c>
      <c r="F141" s="108">
        <f>ID!D146</f>
        <v>50</v>
      </c>
      <c r="G141" s="892">
        <f>IFERROR('Sert Time Electronics'!R207,"-")</f>
        <v>50</v>
      </c>
      <c r="H141" s="892"/>
      <c r="I141" s="114">
        <f>IFERROR('Sert Time Electronics'!V207,"-")</f>
        <v>50.024280488694814</v>
      </c>
      <c r="J141" s="429">
        <f>IFERROR('Sert Time Electronics'!W207,"-")</f>
        <v>-4.8657370278855465E-2</v>
      </c>
      <c r="K141" s="439">
        <f>IFERROR('Sert Time Electronics'!AB207,"-")</f>
        <v>0.33656059601510491</v>
      </c>
    </row>
    <row r="142" spans="5:11" x14ac:dyDescent="0.35">
      <c r="E142" s="108">
        <v>4</v>
      </c>
      <c r="F142" s="108">
        <f>ID!D147</f>
        <v>100</v>
      </c>
      <c r="G142" s="892">
        <f>IFERROR('Sert Time Electronics'!R208,"-")</f>
        <v>100</v>
      </c>
      <c r="H142" s="892"/>
      <c r="I142" s="114">
        <f>IFERROR('Sert Time Electronics'!V208,"-")</f>
        <v>99.986850543688874</v>
      </c>
      <c r="J142" s="429">
        <f>IFERROR('Sert Time Electronics'!W208,"-")</f>
        <v>-3.5402166646308159E-2</v>
      </c>
      <c r="K142" s="439">
        <f>IFERROR('Sert Time Electronics'!AB208,"-")</f>
        <v>0.32206249452312996</v>
      </c>
    </row>
    <row r="143" spans="5:11" ht="15" customHeight="1" x14ac:dyDescent="0.35">
      <c r="E143" s="107">
        <v>5</v>
      </c>
      <c r="F143" s="108">
        <f>ID!D148</f>
        <v>500</v>
      </c>
      <c r="G143" s="892">
        <f>IFERROR('Sert Time Electronics'!R209,"-")</f>
        <v>500</v>
      </c>
      <c r="H143" s="892"/>
      <c r="I143" s="431">
        <f>IFERROR('Sert Time Electronics'!V209,"-")</f>
        <v>499.02737703175387</v>
      </c>
      <c r="J143" s="429">
        <f>IFERROR('Sert Time Electronics'!W209,"-")</f>
        <v>0.73099277637734439</v>
      </c>
      <c r="K143" s="439">
        <f>IFERROR('Sert Time Electronics'!AB209,"-")</f>
        <v>0.95883791518011396</v>
      </c>
    </row>
    <row r="144" spans="5:11" ht="15" customHeight="1" x14ac:dyDescent="0.35">
      <c r="E144" s="473">
        <v>6</v>
      </c>
      <c r="F144" s="110">
        <f>ID!D149</f>
        <v>1000</v>
      </c>
      <c r="G144" s="892">
        <f>IFERROR('Sert Time Electronics'!R210,"-")</f>
        <v>1000</v>
      </c>
      <c r="H144" s="892"/>
      <c r="I144" s="431">
        <f>IFERROR('Sert Time Electronics'!V210,"-")</f>
        <v>998.65307758169445</v>
      </c>
      <c r="J144" s="429">
        <f>IFERROR('Sert Time Electronics'!W210,"-")</f>
        <v>0.86354481270284589</v>
      </c>
      <c r="K144" s="439">
        <f>IFERROR('Sert Time Electronics'!AB210,"-")</f>
        <v>1.7188520862151635</v>
      </c>
    </row>
    <row r="145" spans="1:11" ht="15.75" customHeight="1" x14ac:dyDescent="0.35">
      <c r="E145" s="915" t="s">
        <v>155</v>
      </c>
      <c r="F145" s="841"/>
      <c r="G145" s="841"/>
      <c r="H145" s="841"/>
      <c r="I145" s="841"/>
      <c r="J145" s="841"/>
      <c r="K145" s="842"/>
    </row>
    <row r="146" spans="1:11" ht="15" customHeight="1" x14ac:dyDescent="0.35">
      <c r="E146" s="108">
        <v>1</v>
      </c>
      <c r="F146" s="108">
        <f>ID!D151</f>
        <v>0</v>
      </c>
      <c r="G146" s="894">
        <f>IFERROR('Sert Time Electronics'!R213,"-")</f>
        <v>0</v>
      </c>
      <c r="H146" s="894"/>
      <c r="I146" s="114">
        <f>IFERROR('Sert Time Electronics'!V213,"-")</f>
        <v>1.7073471655430807E-3</v>
      </c>
      <c r="J146" s="429">
        <f>IFERROR('Sert Time Electronics'!W213,"-")</f>
        <v>-1.8804544602117571E-3</v>
      </c>
      <c r="K146" s="439">
        <f>IFERROR('Sert Time Electronics'!AB213,"-")</f>
        <v>5.7985117631630188E-2</v>
      </c>
    </row>
    <row r="147" spans="1:11" ht="15" customHeight="1" x14ac:dyDescent="0.35">
      <c r="E147" s="107">
        <v>2</v>
      </c>
      <c r="F147" s="108">
        <f>ID!D152</f>
        <v>1</v>
      </c>
      <c r="G147" s="892">
        <f>IFERROR('Sert Time Electronics'!R214,"-")</f>
        <v>1</v>
      </c>
      <c r="H147" s="892"/>
      <c r="I147" s="114">
        <f>IFERROR('Sert Time Electronics'!V214,"-")</f>
        <v>1.0817629047995219</v>
      </c>
      <c r="J147" s="429">
        <f>IFERROR('Sert Time Electronics'!W214,"-")</f>
        <v>-8.2458604581845937E-2</v>
      </c>
      <c r="K147" s="439">
        <f>IFERROR('Sert Time Electronics'!AB214,"-")</f>
        <v>0.23402017465581879</v>
      </c>
    </row>
    <row r="148" spans="1:11" ht="15" customHeight="1" x14ac:dyDescent="0.35">
      <c r="E148" s="107">
        <v>3</v>
      </c>
      <c r="F148" s="108">
        <f>ID!D153</f>
        <v>50</v>
      </c>
      <c r="G148" s="892">
        <f>IFERROR('Sert Time Electronics'!R215,"-")</f>
        <v>50</v>
      </c>
      <c r="H148" s="892"/>
      <c r="I148" s="114">
        <f>IFERROR('Sert Time Electronics'!V215,"-")</f>
        <v>50.044281517539893</v>
      </c>
      <c r="J148" s="429">
        <f>IFERROR('Sert Time Electronics'!W215,"-")</f>
        <v>-6.8668076762595565E-2</v>
      </c>
      <c r="K148" s="439">
        <f>IFERROR('Sert Time Electronics'!AB215,"-")</f>
        <v>0.27893493262667279</v>
      </c>
    </row>
    <row r="149" spans="1:11" x14ac:dyDescent="0.35">
      <c r="E149" s="108">
        <v>4</v>
      </c>
      <c r="F149" s="108">
        <f>ID!D154</f>
        <v>100</v>
      </c>
      <c r="G149" s="892">
        <f>IFERROR('Sert Time Electronics'!R216,"-")</f>
        <v>100</v>
      </c>
      <c r="H149" s="892"/>
      <c r="I149" s="114">
        <f>IFERROR('Sert Time Electronics'!V216,"-")</f>
        <v>100.02685260137903</v>
      </c>
      <c r="J149" s="429">
        <f>IFERROR('Sert Time Electronics'!W216,"-")</f>
        <v>-7.5423579613788372E-2</v>
      </c>
      <c r="K149" s="439">
        <f>IFERROR('Sert Time Electronics'!AB216,"-")</f>
        <v>0.30103704967644784</v>
      </c>
    </row>
    <row r="150" spans="1:11" ht="15" customHeight="1" x14ac:dyDescent="0.35">
      <c r="E150" s="107">
        <v>5</v>
      </c>
      <c r="F150" s="108">
        <f>ID!D155</f>
        <v>500</v>
      </c>
      <c r="G150" s="892">
        <f>IFERROR('Sert Time Electronics'!R217,"-")</f>
        <v>500</v>
      </c>
      <c r="H150" s="892"/>
      <c r="I150" s="431">
        <f>IFERROR('Sert Time Electronics'!V217,"-")</f>
        <v>499.02737703175387</v>
      </c>
      <c r="J150" s="429">
        <f>IFERROR('Sert Time Electronics'!W217,"-")</f>
        <v>0.73099277637734439</v>
      </c>
      <c r="K150" s="439">
        <f>IFERROR('Sert Time Electronics'!AB217,"-")</f>
        <v>0.95883791518011396</v>
      </c>
    </row>
    <row r="151" spans="1:11" ht="15" customHeight="1" x14ac:dyDescent="0.35">
      <c r="E151" s="107">
        <v>6</v>
      </c>
      <c r="F151" s="108">
        <f>ID!D156</f>
        <v>1000</v>
      </c>
      <c r="G151" s="892">
        <f>IFERROR('Sert Time Electronics'!R218,"-")</f>
        <v>1000</v>
      </c>
      <c r="H151" s="892"/>
      <c r="I151" s="431">
        <f>IFERROR('Sert Time Electronics'!V218,"-")</f>
        <v>998.85308787014515</v>
      </c>
      <c r="J151" s="429">
        <f>IFERROR('Sert Time Electronics'!W218,"-")</f>
        <v>0.66343774786554444</v>
      </c>
      <c r="K151" s="439">
        <f>IFERROR('Sert Time Electronics'!AB218,"-")</f>
        <v>1.6953897609176898</v>
      </c>
    </row>
    <row r="153" spans="1:11" x14ac:dyDescent="0.35">
      <c r="A153" s="99" t="s">
        <v>156</v>
      </c>
      <c r="B153" s="99"/>
      <c r="C153" s="99" t="s">
        <v>157</v>
      </c>
      <c r="D153" s="99"/>
      <c r="E153" s="99"/>
      <c r="F153" s="99"/>
      <c r="G153" s="100"/>
    </row>
    <row r="154" spans="1:11" x14ac:dyDescent="0.35">
      <c r="A154" s="99"/>
      <c r="B154" s="99"/>
      <c r="C154" s="102" t="str">
        <f>ID!B159</f>
        <v>Ketidakpastian Kalibrasi Dual Lead Voltage dilaporkan pada tingkat kepercayaan 95 %</v>
      </c>
      <c r="D154" s="102"/>
      <c r="E154" s="99"/>
      <c r="F154" s="99"/>
      <c r="G154" s="100"/>
    </row>
    <row r="155" spans="1:11" x14ac:dyDescent="0.35">
      <c r="A155" s="99"/>
      <c r="B155" s="99"/>
      <c r="C155" s="102" t="str">
        <f>ID!B160</f>
        <v>dengan faktor cakupan k = 2</v>
      </c>
      <c r="D155" s="102"/>
      <c r="E155" s="99"/>
      <c r="F155" s="99"/>
      <c r="G155" s="100"/>
    </row>
    <row r="156" spans="1:11" x14ac:dyDescent="0.35">
      <c r="A156" s="102"/>
      <c r="B156" s="102"/>
      <c r="C156" s="102" t="str">
        <f>ID!B161</f>
        <v>Ketidakpastian Kalibrasi Earth Resistance dilaporkan pada tingkat kepercayaan 95 % dengan faktor cakupan k = 2</v>
      </c>
      <c r="D156" s="102"/>
      <c r="E156" s="117"/>
      <c r="F156" s="117"/>
      <c r="G156" s="100"/>
    </row>
    <row r="157" spans="1:11" x14ac:dyDescent="0.35">
      <c r="A157" s="102"/>
      <c r="B157" s="102"/>
      <c r="C157" s="102" t="str">
        <f>ID!B162</f>
        <v>Ketidakpastian Kalibrasi Enclosure (Chassis) Leakage Current, Patient / Electroda Leakage Current, Dual Lead, Leakage</v>
      </c>
      <c r="D157" s="102"/>
      <c r="E157" s="117"/>
      <c r="F157" s="117"/>
      <c r="G157" s="100"/>
    </row>
    <row r="158" spans="1:11" x14ac:dyDescent="0.35">
      <c r="A158" s="102"/>
      <c r="B158" s="102"/>
      <c r="C158" s="102" t="str">
        <f>ID!B163</f>
        <v>Current, Patient Auxillary Leakage Current dilaporkan pada tingkat kepercayaan 95 % dengan faktor cakupan k = 2</v>
      </c>
      <c r="D158" s="102"/>
      <c r="E158" s="117"/>
      <c r="F158" s="117"/>
      <c r="G158" s="100"/>
    </row>
    <row r="159" spans="1:11" x14ac:dyDescent="0.35">
      <c r="A159" s="102"/>
      <c r="B159" s="102"/>
      <c r="C159" s="102" t="str">
        <f>ID!B164</f>
        <v>Hasil Kalibrasi Dual Lead Voltage tertelusur ke Satuan Internasional ( SI ) melalui UKAS</v>
      </c>
      <c r="D159" s="92"/>
      <c r="E159" s="117"/>
      <c r="F159" s="117"/>
      <c r="G159" s="100"/>
    </row>
    <row r="160" spans="1:11" x14ac:dyDescent="0.35">
      <c r="A160" s="102"/>
      <c r="B160" s="102"/>
      <c r="C160" s="102" t="str">
        <f>ID!B165</f>
        <v>Hasil Kalibrasi Earth Resistance tertelusur ke Satuan Internasional ( SI ) melalui UKAS</v>
      </c>
      <c r="D160" s="92"/>
      <c r="E160" s="117"/>
      <c r="F160" s="117"/>
      <c r="G160" s="100"/>
    </row>
    <row r="161" spans="1:14" x14ac:dyDescent="0.35">
      <c r="A161" s="102"/>
      <c r="B161" s="102"/>
      <c r="C161" s="102" t="str">
        <f>ID!B166</f>
        <v>Hasil Kalibrasi Enclosure (Chassis) Leakage Current, Patient / Electroda Leakage Current, Dual Lead</v>
      </c>
      <c r="D161" s="92"/>
      <c r="E161" s="117"/>
      <c r="F161" s="117"/>
      <c r="G161" s="100"/>
    </row>
    <row r="162" spans="1:14" x14ac:dyDescent="0.35">
      <c r="A162" s="102"/>
      <c r="B162" s="102"/>
      <c r="C162" s="102" t="str">
        <f>ID!B167</f>
        <v>Leakage Current, Patient Auxillary Leakage Current tertelusur ke Satuan Internasional ( SI ) melalui UKAS</v>
      </c>
      <c r="D162" s="92"/>
      <c r="E162" s="117"/>
      <c r="F162" s="117"/>
      <c r="G162" s="100"/>
    </row>
    <row r="163" spans="1:14" x14ac:dyDescent="0.35">
      <c r="A163" s="102"/>
      <c r="B163" s="102"/>
      <c r="C163" s="102" t="str">
        <f>ID!B168</f>
        <v>Metode Kalibrasi yang digunakan mengacu pada Keputusan Direktur Jenderal Pelayanan Kesehatan</v>
      </c>
      <c r="D163" s="92"/>
      <c r="E163" s="117"/>
      <c r="F163" s="117"/>
      <c r="G163" s="100"/>
    </row>
    <row r="164" spans="1:14" x14ac:dyDescent="0.35">
      <c r="A164" s="102"/>
      <c r="B164" s="102"/>
      <c r="C164" s="102" t="str">
        <f>ID!B169</f>
        <v>Nomor : HK.02.02/V/0412/2020 Nomor MK : 093-19</v>
      </c>
      <c r="D164" s="92"/>
      <c r="E164" s="117"/>
      <c r="F164" s="117"/>
      <c r="G164" s="100"/>
    </row>
    <row r="165" spans="1:14" x14ac:dyDescent="0.35">
      <c r="C165" s="92"/>
      <c r="D165" s="92"/>
      <c r="E165" s="92"/>
      <c r="F165" s="92"/>
      <c r="N165" s="117"/>
    </row>
    <row r="166" spans="1:14" x14ac:dyDescent="0.35">
      <c r="A166" s="99" t="s">
        <v>158</v>
      </c>
      <c r="B166" s="99"/>
      <c r="C166" s="99" t="s">
        <v>159</v>
      </c>
      <c r="D166" s="99"/>
      <c r="E166" s="99"/>
      <c r="F166" s="99"/>
      <c r="N166" s="416"/>
    </row>
    <row r="167" spans="1:14" x14ac:dyDescent="0.35">
      <c r="C167" s="92" t="s">
        <v>160</v>
      </c>
      <c r="D167" s="92"/>
      <c r="E167" s="92"/>
      <c r="F167" s="92"/>
      <c r="N167" s="92"/>
    </row>
    <row r="168" spans="1:14" hidden="1" x14ac:dyDescent="0.35">
      <c r="C168" s="548" t="str">
        <f>ID!B173</f>
        <v>F</v>
      </c>
      <c r="D168" s="92"/>
      <c r="E168" s="92"/>
      <c r="F168" s="92"/>
      <c r="N168" s="92"/>
    </row>
    <row r="169" spans="1:14" x14ac:dyDescent="0.35">
      <c r="C169" s="893" t="s">
        <v>189</v>
      </c>
      <c r="D169" s="893"/>
      <c r="E169" s="893"/>
      <c r="F169" s="893"/>
      <c r="G169" s="893"/>
      <c r="H169" s="893"/>
      <c r="I169" s="893"/>
      <c r="J169" s="893"/>
      <c r="N169" s="92"/>
    </row>
    <row r="170" spans="1:14" x14ac:dyDescent="0.35">
      <c r="C170" s="893" t="s">
        <v>45</v>
      </c>
      <c r="D170" s="893"/>
      <c r="E170" s="893"/>
      <c r="F170" s="893"/>
      <c r="G170" s="893"/>
      <c r="H170" s="893"/>
      <c r="I170" s="893"/>
      <c r="J170" s="893"/>
    </row>
    <row r="171" spans="1:14" x14ac:dyDescent="0.35">
      <c r="C171" s="92"/>
      <c r="D171" s="92"/>
      <c r="E171" s="92"/>
      <c r="F171" s="92"/>
    </row>
    <row r="172" spans="1:14" x14ac:dyDescent="0.35">
      <c r="A172" s="118" t="s">
        <v>167</v>
      </c>
      <c r="B172" s="118"/>
      <c r="C172" s="118" t="s">
        <v>168</v>
      </c>
      <c r="D172" s="118"/>
      <c r="E172" s="118"/>
      <c r="F172" s="118"/>
    </row>
    <row r="173" spans="1:14" x14ac:dyDescent="0.35">
      <c r="C173" s="893" t="s">
        <v>238</v>
      </c>
      <c r="D173" s="893"/>
      <c r="E173" s="893"/>
      <c r="F173" s="893"/>
      <c r="G173" s="893"/>
      <c r="H173" s="893"/>
      <c r="I173" s="893"/>
    </row>
    <row r="174" spans="1:14" x14ac:dyDescent="0.35">
      <c r="C174" s="92"/>
      <c r="D174" s="92"/>
      <c r="E174" s="92"/>
      <c r="F174" s="92"/>
    </row>
    <row r="175" spans="1:14" x14ac:dyDescent="0.35">
      <c r="A175" s="118"/>
      <c r="B175" s="118"/>
      <c r="C175" s="119"/>
      <c r="D175" s="119"/>
      <c r="E175" s="449"/>
      <c r="F175" s="887" t="s">
        <v>239</v>
      </c>
      <c r="G175" s="888"/>
      <c r="H175" s="888"/>
      <c r="I175" s="889"/>
      <c r="J175" s="450" t="s">
        <v>240</v>
      </c>
      <c r="K175" s="450" t="s">
        <v>241</v>
      </c>
    </row>
    <row r="176" spans="1:14" x14ac:dyDescent="0.35">
      <c r="D176" s="453"/>
      <c r="E176" s="453"/>
      <c r="F176" s="455" t="s">
        <v>242</v>
      </c>
      <c r="G176" s="452"/>
      <c r="H176" s="92" t="str">
        <f>ID!B178</f>
        <v>Muhammad Alpian Hadi</v>
      </c>
      <c r="I176" s="92"/>
      <c r="J176" s="450" t="str">
        <f>ID!B181</f>
        <v>10 Agustus 2022</v>
      </c>
      <c r="K176" s="451"/>
    </row>
    <row r="177" spans="4:11" x14ac:dyDescent="0.35">
      <c r="D177" s="454"/>
      <c r="E177" s="454"/>
      <c r="F177" s="456" t="s">
        <v>243</v>
      </c>
      <c r="G177" s="457"/>
      <c r="H177" s="457"/>
      <c r="I177" s="420"/>
      <c r="J177" s="103"/>
      <c r="K177" s="103"/>
    </row>
  </sheetData>
  <mergeCells count="135">
    <mergeCell ref="A1:K1"/>
    <mergeCell ref="A2:K2"/>
    <mergeCell ref="E94:K94"/>
    <mergeCell ref="E87:K87"/>
    <mergeCell ref="E80:K80"/>
    <mergeCell ref="E73:K73"/>
    <mergeCell ref="E66:K66"/>
    <mergeCell ref="E145:K145"/>
    <mergeCell ref="E138:K138"/>
    <mergeCell ref="E131:K131"/>
    <mergeCell ref="E124:K124"/>
    <mergeCell ref="E117:K117"/>
    <mergeCell ref="C19:E19"/>
    <mergeCell ref="C20:E20"/>
    <mergeCell ref="G31:H31"/>
    <mergeCell ref="G32:H32"/>
    <mergeCell ref="G36:H36"/>
    <mergeCell ref="G38:H38"/>
    <mergeCell ref="G60:H60"/>
    <mergeCell ref="E63:E65"/>
    <mergeCell ref="G65:H65"/>
    <mergeCell ref="G78:H78"/>
    <mergeCell ref="G55:H55"/>
    <mergeCell ref="G56:H56"/>
    <mergeCell ref="R8:T8"/>
    <mergeCell ref="C15:E15"/>
    <mergeCell ref="A11:F11"/>
    <mergeCell ref="A12:F12"/>
    <mergeCell ref="G24:H24"/>
    <mergeCell ref="G26:H26"/>
    <mergeCell ref="E24:E26"/>
    <mergeCell ref="E52:E54"/>
    <mergeCell ref="G44:J44"/>
    <mergeCell ref="G45:H45"/>
    <mergeCell ref="G46:H46"/>
    <mergeCell ref="G47:H47"/>
    <mergeCell ref="G48:H48"/>
    <mergeCell ref="G49:H49"/>
    <mergeCell ref="G27:H27"/>
    <mergeCell ref="G28:H28"/>
    <mergeCell ref="G29:H29"/>
    <mergeCell ref="G30:H30"/>
    <mergeCell ref="G40:H40"/>
    <mergeCell ref="G41:H41"/>
    <mergeCell ref="G42:H42"/>
    <mergeCell ref="G43:H43"/>
    <mergeCell ref="E36:E38"/>
    <mergeCell ref="G39:H39"/>
    <mergeCell ref="G79:H79"/>
    <mergeCell ref="G81:H81"/>
    <mergeCell ref="G82:H82"/>
    <mergeCell ref="G83:H83"/>
    <mergeCell ref="G57:H57"/>
    <mergeCell ref="G58:H58"/>
    <mergeCell ref="G59:H59"/>
    <mergeCell ref="G72:H72"/>
    <mergeCell ref="G74:H74"/>
    <mergeCell ref="G75:H75"/>
    <mergeCell ref="G76:H76"/>
    <mergeCell ref="G77:H77"/>
    <mergeCell ref="G67:H67"/>
    <mergeCell ref="G68:H68"/>
    <mergeCell ref="G69:H69"/>
    <mergeCell ref="G70:H70"/>
    <mergeCell ref="G71:H71"/>
    <mergeCell ref="G90:H90"/>
    <mergeCell ref="G91:H91"/>
    <mergeCell ref="G92:H92"/>
    <mergeCell ref="G93:H93"/>
    <mergeCell ref="G95:H95"/>
    <mergeCell ref="G84:H84"/>
    <mergeCell ref="G85:H85"/>
    <mergeCell ref="G86:H86"/>
    <mergeCell ref="G88:H88"/>
    <mergeCell ref="G89:H89"/>
    <mergeCell ref="E114:E116"/>
    <mergeCell ref="G106:H106"/>
    <mergeCell ref="G107:H107"/>
    <mergeCell ref="G108:H108"/>
    <mergeCell ref="G103:H103"/>
    <mergeCell ref="G105:H105"/>
    <mergeCell ref="G96:H96"/>
    <mergeCell ref="G97:H97"/>
    <mergeCell ref="G98:H98"/>
    <mergeCell ref="G99:H99"/>
    <mergeCell ref="G100:H100"/>
    <mergeCell ref="E103:E105"/>
    <mergeCell ref="A5:F5"/>
    <mergeCell ref="A6:F6"/>
    <mergeCell ref="A7:F7"/>
    <mergeCell ref="A8:F8"/>
    <mergeCell ref="A9:F9"/>
    <mergeCell ref="A10:F10"/>
    <mergeCell ref="G146:H146"/>
    <mergeCell ref="G147:H147"/>
    <mergeCell ref="G139:H139"/>
    <mergeCell ref="G140:H140"/>
    <mergeCell ref="G141:H141"/>
    <mergeCell ref="G142:H142"/>
    <mergeCell ref="G143:H143"/>
    <mergeCell ref="G144:H144"/>
    <mergeCell ref="G133:H133"/>
    <mergeCell ref="G134:H134"/>
    <mergeCell ref="G135:H135"/>
    <mergeCell ref="G136:H136"/>
    <mergeCell ref="G137:H137"/>
    <mergeCell ref="G127:H127"/>
    <mergeCell ref="G128:H128"/>
    <mergeCell ref="G129:H129"/>
    <mergeCell ref="G118:H118"/>
    <mergeCell ref="G119:H119"/>
    <mergeCell ref="F175:I175"/>
    <mergeCell ref="G52:H52"/>
    <mergeCell ref="G54:H54"/>
    <mergeCell ref="G63:H63"/>
    <mergeCell ref="G151:H151"/>
    <mergeCell ref="C169:J169"/>
    <mergeCell ref="C170:J170"/>
    <mergeCell ref="C173:I173"/>
    <mergeCell ref="G148:H148"/>
    <mergeCell ref="G149:H149"/>
    <mergeCell ref="G150:H150"/>
    <mergeCell ref="G130:H130"/>
    <mergeCell ref="G132:H132"/>
    <mergeCell ref="G121:H121"/>
    <mergeCell ref="G122:H122"/>
    <mergeCell ref="G123:H123"/>
    <mergeCell ref="G125:H125"/>
    <mergeCell ref="G126:H126"/>
    <mergeCell ref="G120:H120"/>
    <mergeCell ref="G114:H114"/>
    <mergeCell ref="G116:H116"/>
    <mergeCell ref="G109:H109"/>
    <mergeCell ref="G110:H110"/>
    <mergeCell ref="G111:H111"/>
  </mergeCells>
  <phoneticPr fontId="26" type="noConversion"/>
  <dataValidations count="1">
    <dataValidation type="list" allowBlank="1" showInputMessage="1" showErrorMessage="1" sqref="J62:K62 J113:K113 J35:K35 J21:K23 J51:K51 J102:K102" xr:uid="{8244B25F-89C9-4709-A470-02A1A07D9D2D}">
      <formula1>$O$239:$O$240</formula1>
    </dataValidation>
  </dataValidations>
  <pageMargins left="0.45" right="0.39" top="0.5" bottom="0.5" header="0.3" footer="0.3"/>
  <pageSetup paperSize="9" scale="84" orientation="portrait" r:id="rId1"/>
  <headerFooter>
    <oddHeader>&amp;R&amp;8LP.MK.093-19/Rev.0</oddHeader>
    <oddFooter>&amp;C&amp;8&amp;K09+000Software 04-08-22</oddFooter>
  </headerFooter>
  <rowBreaks count="3" manualBreakCount="3">
    <brk id="34" max="10" man="1"/>
    <brk id="93" max="10" man="1"/>
    <brk id="152" max="10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3E7EA86-F58C-4AD5-BD5B-3D7E26DAF5BD}">
          <x14:formula1>
            <xm:f>'Kata-kata'!$B$14:$B$36</xm:f>
          </x14:formula1>
          <xm:sqref>C173:D173</xm:sqref>
        </x14:dataValidation>
        <x14:dataValidation type="list" allowBlank="1" showInputMessage="1" showErrorMessage="1" xr:uid="{B39D15E8-6F09-4C89-BE9A-31C19CDD2B8B}">
          <x14:formula1>
            <xm:f>'Sert Thermohygro'!$A$393:$A$412</xm:f>
          </x14:formula1>
          <xm:sqref>C170:K170</xm:sqref>
        </x14:dataValidation>
        <x14:dataValidation type="list" allowBlank="1" showInputMessage="1" showErrorMessage="1" xr:uid="{FB8438E2-4505-4F69-B900-CB438D89FDD5}">
          <x14:formula1>
            <xm:f>'Sert Resistor'!$B$62:$B$67</xm:f>
          </x14:formula1>
          <xm:sqref>C169:K169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88773-B325-4783-A36E-54008A67177D}">
  <dimension ref="A1:T193"/>
  <sheetViews>
    <sheetView tabSelected="1" view="pageBreakPreview" topLeftCell="A134" zoomScale="89" zoomScaleNormal="96" zoomScaleSheetLayoutView="89" workbookViewId="0">
      <selection activeCell="O145" sqref="O145"/>
    </sheetView>
  </sheetViews>
  <sheetFormatPr defaultColWidth="9.1796875" defaultRowHeight="14.5" x14ac:dyDescent="0.35"/>
  <cols>
    <col min="1" max="1" width="3" style="593" customWidth="1"/>
    <col min="2" max="2" width="0.7265625" style="593" customWidth="1"/>
    <col min="3" max="3" width="3" style="593" customWidth="1"/>
    <col min="4" max="4" width="1" style="593" customWidth="1"/>
    <col min="5" max="5" width="6" style="593" customWidth="1"/>
    <col min="6" max="6" width="17.81640625" style="593" customWidth="1"/>
    <col min="7" max="7" width="1.453125" style="593" customWidth="1"/>
    <col min="8" max="8" width="18.54296875" style="593" customWidth="1"/>
    <col min="9" max="11" width="19.81640625" style="593" customWidth="1"/>
    <col min="12" max="18" width="9.1796875" style="593" customWidth="1"/>
    <col min="19" max="16384" width="9.1796875" style="593"/>
  </cols>
  <sheetData>
    <row r="1" spans="1:20" ht="18" x14ac:dyDescent="0.35">
      <c r="A1" s="913" t="s">
        <v>231</v>
      </c>
      <c r="B1" s="913"/>
      <c r="C1" s="913"/>
      <c r="D1" s="913"/>
      <c r="E1" s="913"/>
      <c r="F1" s="913"/>
      <c r="G1" s="913"/>
      <c r="H1" s="913"/>
      <c r="I1" s="913"/>
      <c r="J1" s="913"/>
      <c r="K1" s="913"/>
    </row>
    <row r="2" spans="1:20" ht="15.5" x14ac:dyDescent="0.35">
      <c r="A2" s="914" t="str">
        <f>LP!A2</f>
        <v>Nomor Sertifikat : 87 / 1 / VIII - 22 / E - 099 Dt</v>
      </c>
      <c r="B2" s="914"/>
      <c r="C2" s="914"/>
      <c r="D2" s="914"/>
      <c r="E2" s="914"/>
      <c r="F2" s="914"/>
      <c r="G2" s="914"/>
      <c r="H2" s="914"/>
      <c r="I2" s="914"/>
      <c r="J2" s="914"/>
      <c r="K2" s="914"/>
    </row>
    <row r="3" spans="1:20" ht="15.5" x14ac:dyDescent="0.35">
      <c r="A3" s="90"/>
      <c r="B3" s="90"/>
      <c r="C3" s="90"/>
      <c r="D3" s="90"/>
      <c r="E3" s="90"/>
      <c r="F3" s="90"/>
      <c r="G3" s="90"/>
      <c r="H3" s="90"/>
      <c r="I3" s="90"/>
      <c r="J3" s="89"/>
      <c r="K3" s="89"/>
    </row>
    <row r="5" spans="1:20" x14ac:dyDescent="0.35">
      <c r="A5" s="938" t="s">
        <v>96</v>
      </c>
      <c r="B5" s="938"/>
      <c r="C5" s="938"/>
      <c r="D5" s="938"/>
      <c r="E5" s="938"/>
      <c r="F5" s="938"/>
      <c r="G5" s="594" t="s">
        <v>97</v>
      </c>
      <c r="H5" s="92" t="str">
        <f>LP!H5</f>
        <v>Fluke</v>
      </c>
    </row>
    <row r="6" spans="1:20" x14ac:dyDescent="0.35">
      <c r="A6" s="938" t="s">
        <v>98</v>
      </c>
      <c r="B6" s="938"/>
      <c r="C6" s="938"/>
      <c r="D6" s="938"/>
      <c r="E6" s="938"/>
      <c r="F6" s="938"/>
      <c r="G6" s="594" t="s">
        <v>97</v>
      </c>
      <c r="H6" s="92" t="str">
        <f>LP!H6</f>
        <v>ESA 615</v>
      </c>
    </row>
    <row r="7" spans="1:20" x14ac:dyDescent="0.35">
      <c r="A7" s="938" t="s">
        <v>99</v>
      </c>
      <c r="B7" s="938"/>
      <c r="C7" s="938"/>
      <c r="D7" s="938"/>
      <c r="E7" s="938"/>
      <c r="F7" s="938"/>
      <c r="G7" s="594" t="s">
        <v>97</v>
      </c>
      <c r="H7" s="92" t="str">
        <f>LP!H7</f>
        <v>4669058</v>
      </c>
    </row>
    <row r="8" spans="1:20" ht="15.5" x14ac:dyDescent="0.35">
      <c r="A8" s="938" t="s">
        <v>100</v>
      </c>
      <c r="B8" s="938"/>
      <c r="C8" s="938"/>
      <c r="D8" s="938"/>
      <c r="E8" s="938"/>
      <c r="F8" s="938"/>
      <c r="G8" s="594" t="s">
        <v>97</v>
      </c>
      <c r="H8" s="92" t="str">
        <f>LP!H8</f>
        <v>3 Agustus 2022</v>
      </c>
      <c r="R8" s="902"/>
      <c r="S8" s="902"/>
      <c r="T8" s="902"/>
    </row>
    <row r="9" spans="1:20" x14ac:dyDescent="0.35">
      <c r="A9" s="938" t="s">
        <v>101</v>
      </c>
      <c r="B9" s="938"/>
      <c r="C9" s="938"/>
      <c r="D9" s="938"/>
      <c r="E9" s="938"/>
      <c r="F9" s="938"/>
      <c r="G9" s="594" t="s">
        <v>97</v>
      </c>
      <c r="H9" s="92" t="str">
        <f>LP!H9</f>
        <v>3 Agustus 2022</v>
      </c>
      <c r="R9" s="94"/>
      <c r="S9" s="94"/>
      <c r="T9" s="94"/>
    </row>
    <row r="10" spans="1:20" x14ac:dyDescent="0.35">
      <c r="A10" s="938" t="s">
        <v>102</v>
      </c>
      <c r="B10" s="938"/>
      <c r="C10" s="938"/>
      <c r="D10" s="938"/>
      <c r="E10" s="938"/>
      <c r="F10" s="938"/>
      <c r="G10" s="594" t="s">
        <v>97</v>
      </c>
      <c r="H10" s="92" t="str">
        <f>LP!H10</f>
        <v>-</v>
      </c>
      <c r="R10" s="95"/>
      <c r="S10" s="96"/>
      <c r="T10" s="97"/>
    </row>
    <row r="11" spans="1:20" x14ac:dyDescent="0.35">
      <c r="A11" s="938" t="s">
        <v>103</v>
      </c>
      <c r="B11" s="938"/>
      <c r="C11" s="938"/>
      <c r="D11" s="938"/>
      <c r="E11" s="938"/>
      <c r="F11" s="938"/>
      <c r="G11" s="594" t="s">
        <v>97</v>
      </c>
      <c r="H11" s="92" t="str">
        <f>LP!H11</f>
        <v>Laboratorium Kalibrasi LPFK Banjarbaru</v>
      </c>
      <c r="R11" s="95"/>
      <c r="S11" s="96"/>
      <c r="T11" s="97"/>
    </row>
    <row r="12" spans="1:20" x14ac:dyDescent="0.35">
      <c r="A12" s="938" t="s">
        <v>104</v>
      </c>
      <c r="B12" s="938"/>
      <c r="C12" s="938"/>
      <c r="D12" s="938"/>
      <c r="E12" s="938"/>
      <c r="F12" s="938"/>
      <c r="G12" s="594" t="s">
        <v>97</v>
      </c>
      <c r="H12" s="92" t="str">
        <f>LP!H12</f>
        <v>MK.093-19</v>
      </c>
      <c r="R12" s="95"/>
      <c r="S12" s="96"/>
      <c r="T12" s="97"/>
    </row>
    <row r="13" spans="1:20" x14ac:dyDescent="0.35">
      <c r="N13" s="595"/>
      <c r="R13" s="95"/>
      <c r="T13" s="97"/>
    </row>
    <row r="14" spans="1:20" ht="15" customHeight="1" x14ac:dyDescent="0.35">
      <c r="A14" s="596" t="s">
        <v>106</v>
      </c>
      <c r="B14" s="596"/>
      <c r="C14" s="596" t="s">
        <v>107</v>
      </c>
      <c r="D14" s="596"/>
      <c r="E14" s="596"/>
      <c r="F14" s="596"/>
      <c r="G14" s="597"/>
      <c r="H14" s="598"/>
      <c r="I14" s="598"/>
      <c r="J14" s="599"/>
      <c r="K14" s="599"/>
      <c r="R14" s="95"/>
      <c r="T14" s="600"/>
    </row>
    <row r="15" spans="1:20" x14ac:dyDescent="0.35">
      <c r="A15" s="601"/>
      <c r="B15" s="601"/>
      <c r="C15" s="936" t="s">
        <v>110</v>
      </c>
      <c r="D15" s="936"/>
      <c r="E15" s="936"/>
      <c r="F15" s="601"/>
      <c r="G15" s="594" t="s">
        <v>97</v>
      </c>
      <c r="H15" s="635" t="str">
        <f>'Sert Thermohygro'!M393</f>
        <v>21.0</v>
      </c>
      <c r="I15" s="636" t="str">
        <f>'Sert Thermohygro'!N393</f>
        <v>0.5</v>
      </c>
      <c r="J15" s="602"/>
      <c r="K15" s="602"/>
      <c r="R15" s="95"/>
      <c r="T15" s="600"/>
    </row>
    <row r="16" spans="1:20" x14ac:dyDescent="0.35">
      <c r="A16" s="601"/>
      <c r="B16" s="601"/>
      <c r="C16" s="601" t="s">
        <v>112</v>
      </c>
      <c r="D16" s="601"/>
      <c r="E16" s="601"/>
      <c r="F16" s="601"/>
      <c r="G16" s="594" t="s">
        <v>97</v>
      </c>
      <c r="H16" s="635" t="str">
        <f>'Sert Thermohygro'!M394</f>
        <v>56.3</v>
      </c>
      <c r="I16" s="636" t="str">
        <f>'Sert Thermohygro'!N394</f>
        <v>3.1</v>
      </c>
      <c r="J16" s="602"/>
      <c r="K16" s="602"/>
      <c r="R16" s="95"/>
    </row>
    <row r="17" spans="1:18" x14ac:dyDescent="0.35">
      <c r="A17" s="601"/>
      <c r="B17" s="601"/>
      <c r="C17" s="601"/>
      <c r="D17" s="601"/>
      <c r="E17" s="601"/>
      <c r="F17" s="601"/>
      <c r="G17" s="597"/>
      <c r="H17" s="601"/>
      <c r="I17" s="601"/>
      <c r="J17" s="601"/>
      <c r="K17" s="601"/>
      <c r="R17" s="95"/>
    </row>
    <row r="18" spans="1:18" x14ac:dyDescent="0.35">
      <c r="A18" s="596" t="s">
        <v>113</v>
      </c>
      <c r="B18" s="596"/>
      <c r="C18" s="596" t="s">
        <v>114</v>
      </c>
      <c r="D18" s="596"/>
      <c r="E18" s="596"/>
      <c r="F18" s="596"/>
      <c r="G18" s="597"/>
      <c r="H18" s="601"/>
      <c r="I18" s="601"/>
      <c r="J18" s="601"/>
      <c r="K18" s="601"/>
      <c r="R18" s="95"/>
    </row>
    <row r="19" spans="1:18" x14ac:dyDescent="0.35">
      <c r="A19" s="601"/>
      <c r="B19" s="601"/>
      <c r="C19" s="936" t="s">
        <v>115</v>
      </c>
      <c r="D19" s="936"/>
      <c r="E19" s="936"/>
      <c r="F19" s="601"/>
      <c r="G19" s="594" t="s">
        <v>97</v>
      </c>
      <c r="H19" s="637" t="str">
        <f>LP!H19</f>
        <v>Baik</v>
      </c>
      <c r="I19" s="603"/>
      <c r="R19" s="95"/>
    </row>
    <row r="20" spans="1:18" x14ac:dyDescent="0.35">
      <c r="A20" s="601"/>
      <c r="B20" s="601"/>
      <c r="C20" s="936" t="s">
        <v>116</v>
      </c>
      <c r="D20" s="936"/>
      <c r="E20" s="936"/>
      <c r="F20" s="601"/>
      <c r="G20" s="594" t="s">
        <v>97</v>
      </c>
      <c r="H20" s="637" t="str">
        <f>LP!H20</f>
        <v>Baik</v>
      </c>
      <c r="I20" s="603"/>
      <c r="P20" s="438"/>
    </row>
    <row r="21" spans="1:18" x14ac:dyDescent="0.35">
      <c r="A21" s="601"/>
      <c r="B21" s="601"/>
      <c r="C21" s="601"/>
      <c r="D21" s="601"/>
      <c r="E21" s="601"/>
      <c r="F21" s="601"/>
      <c r="G21" s="597"/>
      <c r="H21" s="601"/>
      <c r="I21" s="603"/>
      <c r="J21" s="604"/>
      <c r="K21" s="604"/>
    </row>
    <row r="22" spans="1:18" x14ac:dyDescent="0.35">
      <c r="A22" s="596" t="s">
        <v>117</v>
      </c>
      <c r="B22" s="596"/>
      <c r="C22" s="596" t="s">
        <v>118</v>
      </c>
      <c r="D22" s="596"/>
      <c r="E22" s="596"/>
      <c r="F22" s="596"/>
      <c r="G22" s="597"/>
      <c r="H22" s="601"/>
      <c r="I22" s="603"/>
      <c r="J22" s="604"/>
      <c r="K22" s="604"/>
    </row>
    <row r="23" spans="1:18" x14ac:dyDescent="0.35">
      <c r="A23" s="601"/>
      <c r="B23" s="601"/>
      <c r="C23" s="93" t="s">
        <v>119</v>
      </c>
      <c r="D23" s="93"/>
      <c r="E23" s="601" t="s">
        <v>120</v>
      </c>
      <c r="F23" s="601"/>
      <c r="G23" s="597"/>
      <c r="H23" s="601"/>
      <c r="I23" s="603"/>
      <c r="J23" s="604"/>
      <c r="K23" s="604"/>
    </row>
    <row r="24" spans="1:18" ht="15" customHeight="1" x14ac:dyDescent="0.35">
      <c r="E24" s="859" t="s">
        <v>30</v>
      </c>
      <c r="F24" s="605" t="s">
        <v>232</v>
      </c>
      <c r="G24" s="825" t="str">
        <f>LK!F24</f>
        <v>Penunjukan Standar</v>
      </c>
      <c r="H24" s="826"/>
      <c r="I24" s="417" t="str">
        <f>ID!F25</f>
        <v>Pembacaan Alat</v>
      </c>
      <c r="J24" s="417" t="s">
        <v>233</v>
      </c>
      <c r="K24" s="417" t="s">
        <v>234</v>
      </c>
    </row>
    <row r="25" spans="1:18" ht="15" customHeight="1" x14ac:dyDescent="0.35">
      <c r="E25" s="926"/>
      <c r="F25" s="606"/>
      <c r="G25" s="423"/>
      <c r="H25" s="424"/>
      <c r="I25" s="432"/>
      <c r="J25" s="432"/>
      <c r="K25" s="432" t="s">
        <v>235</v>
      </c>
    </row>
    <row r="26" spans="1:18" ht="15" customHeight="1" thickBot="1" x14ac:dyDescent="0.4">
      <c r="E26" s="927"/>
      <c r="F26" s="418" t="s">
        <v>236</v>
      </c>
      <c r="G26" s="890" t="s">
        <v>236</v>
      </c>
      <c r="H26" s="891"/>
      <c r="I26" s="418" t="s">
        <v>236</v>
      </c>
      <c r="J26" s="418" t="s">
        <v>236</v>
      </c>
      <c r="K26" s="418" t="s">
        <v>236</v>
      </c>
      <c r="M26" s="607"/>
    </row>
    <row r="27" spans="1:18" ht="15" customHeight="1" thickTop="1" x14ac:dyDescent="0.35">
      <c r="E27" s="608">
        <v>1</v>
      </c>
      <c r="F27" s="609">
        <f>LP!F27</f>
        <v>50</v>
      </c>
      <c r="G27" s="937">
        <f>LP!G27</f>
        <v>50</v>
      </c>
      <c r="H27" s="937"/>
      <c r="I27" s="588">
        <f ca="1">LP!I27</f>
        <v>49.996831937465103</v>
      </c>
      <c r="J27" s="589">
        <f ca="1">LP!J27</f>
        <v>2.9432208646227227E-3</v>
      </c>
      <c r="K27" s="589">
        <f ca="1">LP!K27</f>
        <v>5.7986785027458472E-2</v>
      </c>
      <c r="M27" s="610"/>
    </row>
    <row r="28" spans="1:18" ht="15" customHeight="1" x14ac:dyDescent="0.35">
      <c r="E28" s="107">
        <v>2</v>
      </c>
      <c r="F28" s="608">
        <f>LP!F28</f>
        <v>100</v>
      </c>
      <c r="G28" s="937">
        <f>LP!G28</f>
        <v>100</v>
      </c>
      <c r="H28" s="937"/>
      <c r="I28" s="588">
        <f ca="1">LP!I28</f>
        <v>99.996552763819096</v>
      </c>
      <c r="J28" s="589">
        <f ca="1">LP!J28</f>
        <v>3.029393540977848E-3</v>
      </c>
      <c r="K28" s="589">
        <f ca="1">LP!K28</f>
        <v>5.7996826623317635E-2</v>
      </c>
      <c r="M28" s="610"/>
    </row>
    <row r="29" spans="1:18" ht="15" customHeight="1" x14ac:dyDescent="0.35">
      <c r="E29" s="107">
        <v>3</v>
      </c>
      <c r="F29" s="608">
        <f>LP!F29</f>
        <v>120</v>
      </c>
      <c r="G29" s="937">
        <f>LP!G29</f>
        <v>120</v>
      </c>
      <c r="H29" s="937"/>
      <c r="I29" s="588">
        <f ca="1">LP!I29</f>
        <v>119.99644109436069</v>
      </c>
      <c r="J29" s="589">
        <f ca="1">LP!J29</f>
        <v>3.0638626115227405E-3</v>
      </c>
      <c r="K29" s="589">
        <f ca="1">LP!K29</f>
        <v>5.8002531550307726E-2</v>
      </c>
      <c r="M29" s="610"/>
    </row>
    <row r="30" spans="1:18" ht="15" customHeight="1" x14ac:dyDescent="0.35">
      <c r="E30" s="608">
        <v>4</v>
      </c>
      <c r="F30" s="608">
        <f>LP!F30</f>
        <v>200</v>
      </c>
      <c r="G30" s="937">
        <f>LP!G30</f>
        <v>200</v>
      </c>
      <c r="H30" s="937"/>
      <c r="I30" s="588">
        <f ca="1">LP!I30</f>
        <v>199.99602122347065</v>
      </c>
      <c r="J30" s="589">
        <f ca="1">LP!J30</f>
        <v>3.1701940843018991E-3</v>
      </c>
      <c r="K30" s="589">
        <f ca="1">LP!K30</f>
        <v>5.8035612801677662E-2</v>
      </c>
      <c r="M30" s="610"/>
    </row>
    <row r="31" spans="1:18" x14ac:dyDescent="0.35">
      <c r="E31" s="608">
        <v>5</v>
      </c>
      <c r="F31" s="608">
        <f>LP!F31</f>
        <v>220</v>
      </c>
      <c r="G31" s="929">
        <f>LP!G31</f>
        <v>220</v>
      </c>
      <c r="H31" s="929"/>
      <c r="I31" s="588">
        <f ca="1">LP!I31</f>
        <v>219.9964456928839</v>
      </c>
      <c r="J31" s="589">
        <f ca="1">LP!J31</f>
        <v>2.573386431744477E-3</v>
      </c>
      <c r="K31" s="589">
        <f ca="1">LP!K31</f>
        <v>5.8060566518166941E-2</v>
      </c>
      <c r="M31" s="610"/>
    </row>
    <row r="32" spans="1:18" ht="15" customHeight="1" x14ac:dyDescent="0.35">
      <c r="E32" s="608">
        <v>6</v>
      </c>
      <c r="F32" s="608">
        <f>LP!F32</f>
        <v>250</v>
      </c>
      <c r="G32" s="929">
        <f>LP!G32</f>
        <v>250</v>
      </c>
      <c r="H32" s="929"/>
      <c r="I32" s="588">
        <f ca="1">LP!I32</f>
        <v>249.99708239700374</v>
      </c>
      <c r="J32" s="589">
        <f ca="1">LP!J32</f>
        <v>1.6781749529367661E-3</v>
      </c>
      <c r="K32" s="589">
        <f ca="1">LP!K32</f>
        <v>5.8106993704470096E-2</v>
      </c>
      <c r="M32" s="610"/>
    </row>
    <row r="33" spans="1:16" x14ac:dyDescent="0.35">
      <c r="E33" s="611"/>
      <c r="F33" s="611"/>
      <c r="G33" s="40"/>
      <c r="H33" s="116"/>
      <c r="I33" s="116"/>
      <c r="J33" s="116"/>
      <c r="K33" s="116"/>
    </row>
    <row r="34" spans="1:16" x14ac:dyDescent="0.2">
      <c r="E34" s="612"/>
      <c r="F34" s="612"/>
      <c r="G34" s="613"/>
      <c r="H34" s="613"/>
      <c r="I34" s="613"/>
      <c r="J34" s="613"/>
      <c r="K34" s="614"/>
    </row>
    <row r="35" spans="1:16" x14ac:dyDescent="0.35">
      <c r="A35" s="601"/>
      <c r="B35" s="601"/>
      <c r="C35" s="93" t="s">
        <v>129</v>
      </c>
      <c r="D35" s="93"/>
      <c r="E35" s="601" t="s">
        <v>180</v>
      </c>
      <c r="F35" s="601"/>
      <c r="G35" s="597"/>
      <c r="H35" s="601"/>
      <c r="I35" s="603"/>
      <c r="J35" s="604"/>
      <c r="K35" s="604"/>
      <c r="M35" s="413"/>
    </row>
    <row r="36" spans="1:16" ht="15" customHeight="1" x14ac:dyDescent="0.35">
      <c r="E36" s="859" t="s">
        <v>30</v>
      </c>
      <c r="F36" s="615" t="s">
        <v>232</v>
      </c>
      <c r="G36" s="825" t="str">
        <f>LK!F35</f>
        <v>Penunjukan Standar</v>
      </c>
      <c r="H36" s="826"/>
      <c r="I36" s="417" t="str">
        <f>ID!F37</f>
        <v>Pembacan Alat</v>
      </c>
      <c r="J36" s="417" t="s">
        <v>233</v>
      </c>
      <c r="K36" s="417" t="s">
        <v>234</v>
      </c>
      <c r="L36" s="610"/>
      <c r="M36" s="413"/>
    </row>
    <row r="37" spans="1:16" ht="15" customHeight="1" x14ac:dyDescent="0.35">
      <c r="E37" s="926"/>
      <c r="F37" s="616"/>
      <c r="G37" s="423"/>
      <c r="H37" s="424"/>
      <c r="I37" s="432"/>
      <c r="J37" s="432"/>
      <c r="K37" s="432" t="s">
        <v>235</v>
      </c>
      <c r="L37" s="610"/>
      <c r="M37" s="413"/>
    </row>
    <row r="38" spans="1:16" ht="15" customHeight="1" thickBot="1" x14ac:dyDescent="0.4">
      <c r="E38" s="927"/>
      <c r="F38" s="418" t="s">
        <v>131</v>
      </c>
      <c r="G38" s="890" t="s">
        <v>131</v>
      </c>
      <c r="H38" s="891"/>
      <c r="I38" s="418" t="s">
        <v>131</v>
      </c>
      <c r="J38" s="418" t="s">
        <v>131</v>
      </c>
      <c r="K38" s="418" t="s">
        <v>131</v>
      </c>
      <c r="M38" s="607"/>
    </row>
    <row r="39" spans="1:16" ht="15" customHeight="1" thickTop="1" x14ac:dyDescent="0.35">
      <c r="E39" s="608">
        <v>1</v>
      </c>
      <c r="F39" s="608">
        <f>LP!F39</f>
        <v>0.01</v>
      </c>
      <c r="G39" s="930">
        <f>LP!G39</f>
        <v>0.01</v>
      </c>
      <c r="H39" s="931"/>
      <c r="I39" s="589">
        <f>LP!I39</f>
        <v>8.0481540204971527E-3</v>
      </c>
      <c r="J39" s="589">
        <f>LP!J39</f>
        <v>1.7964817959245617E-3</v>
      </c>
      <c r="K39" s="589">
        <f>LP!K39</f>
        <v>7.366633848484279E-4</v>
      </c>
      <c r="L39" s="617"/>
      <c r="M39" s="610"/>
      <c r="N39" s="617"/>
      <c r="O39" s="617"/>
      <c r="P39" s="617"/>
    </row>
    <row r="40" spans="1:16" ht="15" customHeight="1" x14ac:dyDescent="0.35">
      <c r="E40" s="107">
        <v>2</v>
      </c>
      <c r="F40" s="608">
        <f>LP!F40</f>
        <v>0.1</v>
      </c>
      <c r="G40" s="932">
        <f>LP!G40</f>
        <v>0.1</v>
      </c>
      <c r="H40" s="933"/>
      <c r="I40" s="589">
        <f>LP!I40</f>
        <v>0.15205148570688345</v>
      </c>
      <c r="J40" s="589">
        <f>LP!J40</f>
        <v>-5.2206854743322463E-2</v>
      </c>
      <c r="K40" s="589">
        <f>LP!K40</f>
        <v>7.3667294461386723E-4</v>
      </c>
      <c r="L40" s="617"/>
      <c r="M40" s="610"/>
      <c r="N40" s="617"/>
      <c r="O40" s="617"/>
      <c r="P40" s="617"/>
    </row>
    <row r="41" spans="1:16" ht="15" customHeight="1" x14ac:dyDescent="0.35">
      <c r="E41" s="107">
        <v>3</v>
      </c>
      <c r="F41" s="608">
        <f>LP!F41</f>
        <v>1</v>
      </c>
      <c r="G41" s="932">
        <f>LP!G41</f>
        <v>1</v>
      </c>
      <c r="H41" s="933"/>
      <c r="I41" s="589">
        <f>LP!I41</f>
        <v>1.0570724244303529</v>
      </c>
      <c r="J41" s="589">
        <f>LP!J41</f>
        <v>-5.7227823965673517E-2</v>
      </c>
      <c r="K41" s="589">
        <f>LP!K41</f>
        <v>7.3668217567997968E-4</v>
      </c>
      <c r="L41" s="617"/>
      <c r="M41" s="610"/>
      <c r="N41" s="617"/>
      <c r="O41" s="617"/>
      <c r="P41" s="617"/>
    </row>
    <row r="42" spans="1:16" x14ac:dyDescent="0.35">
      <c r="E42" s="608">
        <v>4</v>
      </c>
      <c r="F42" s="608">
        <f>LP!F42</f>
        <v>1.5</v>
      </c>
      <c r="G42" s="932">
        <f>LP!G42</f>
        <v>1.5</v>
      </c>
      <c r="H42" s="933"/>
      <c r="I42" s="589">
        <f>LP!I42</f>
        <v>1.5580840159225717</v>
      </c>
      <c r="J42" s="589">
        <f>LP!J42</f>
        <v>-5.8239432341803642E-2</v>
      </c>
      <c r="K42" s="589">
        <f>LP!K42</f>
        <v>7.367662962151296E-4</v>
      </c>
      <c r="L42" s="617"/>
      <c r="M42" s="610"/>
      <c r="N42" s="617"/>
      <c r="O42" s="617"/>
      <c r="P42" s="617"/>
    </row>
    <row r="43" spans="1:16" ht="15" customHeight="1" x14ac:dyDescent="0.35">
      <c r="E43" s="608">
        <v>5</v>
      </c>
      <c r="F43" s="608">
        <f>LP!F43</f>
        <v>2</v>
      </c>
      <c r="G43" s="932">
        <f>LP!G43</f>
        <v>2</v>
      </c>
      <c r="H43" s="933"/>
      <c r="I43" s="589">
        <f>LP!I43</f>
        <v>2.0600956305515017</v>
      </c>
      <c r="J43" s="589">
        <f>LP!J43</f>
        <v>-6.0251063888345287E-2</v>
      </c>
      <c r="K43" s="589">
        <f>LP!K43</f>
        <v>7.3679963147137552E-4</v>
      </c>
      <c r="L43" s="617"/>
      <c r="M43" s="610"/>
      <c r="N43" s="617"/>
      <c r="O43" s="617"/>
      <c r="P43" s="617"/>
    </row>
    <row r="44" spans="1:16" ht="15.75" customHeight="1" x14ac:dyDescent="0.35">
      <c r="E44" s="618"/>
      <c r="F44" s="619"/>
      <c r="G44" s="934" t="s">
        <v>135</v>
      </c>
      <c r="H44" s="934"/>
      <c r="I44" s="934"/>
      <c r="J44" s="935"/>
      <c r="K44" s="620"/>
      <c r="M44" s="610"/>
    </row>
    <row r="45" spans="1:16" ht="15" customHeight="1" x14ac:dyDescent="0.35">
      <c r="E45" s="621">
        <v>1</v>
      </c>
      <c r="F45" s="621">
        <f>LP!F45</f>
        <v>0.01</v>
      </c>
      <c r="G45" s="928">
        <f>LP!G45</f>
        <v>0.01</v>
      </c>
      <c r="H45" s="928"/>
      <c r="I45" s="590">
        <f>LP!I45</f>
        <v>8.9899999999999997E-3</v>
      </c>
      <c r="J45" s="590">
        <f ca="1">LP!J45</f>
        <v>1.2132257967661974E-3</v>
      </c>
      <c r="K45" s="590">
        <f ca="1">LP!K45</f>
        <v>7.3666342356787189E-4</v>
      </c>
      <c r="L45" s="617"/>
      <c r="M45" s="610"/>
      <c r="N45" s="617"/>
      <c r="O45" s="617"/>
      <c r="P45" s="617"/>
    </row>
    <row r="46" spans="1:16" ht="15" customHeight="1" x14ac:dyDescent="0.35">
      <c r="E46" s="549">
        <v>2</v>
      </c>
      <c r="F46" s="621">
        <f>LP!F46</f>
        <v>0.1</v>
      </c>
      <c r="G46" s="928">
        <f>LP!G46</f>
        <v>0.1</v>
      </c>
      <c r="H46" s="928"/>
      <c r="I46" s="590">
        <f>LP!I46</f>
        <v>0.14098999999999998</v>
      </c>
      <c r="J46" s="590">
        <f ca="1">LP!J46</f>
        <v>-4.0954477546126793E-2</v>
      </c>
      <c r="K46" s="590">
        <f ca="1">LP!K46</f>
        <v>7.3667219760906665E-4</v>
      </c>
      <c r="L46" s="617"/>
      <c r="M46" s="610"/>
      <c r="N46" s="617"/>
      <c r="O46" s="617"/>
      <c r="P46" s="617"/>
    </row>
    <row r="47" spans="1:16" ht="15" customHeight="1" x14ac:dyDescent="0.35">
      <c r="E47" s="549">
        <v>3</v>
      </c>
      <c r="F47" s="621">
        <f>LP!F47</f>
        <v>1</v>
      </c>
      <c r="G47" s="928">
        <f>LP!G47</f>
        <v>1</v>
      </c>
      <c r="H47" s="928"/>
      <c r="I47" s="590">
        <f>LP!I47</f>
        <v>1.03999</v>
      </c>
      <c r="J47" s="590">
        <f ca="1">LP!J47</f>
        <v>-4.0157395960053417E-2</v>
      </c>
      <c r="K47" s="590">
        <f ca="1">LP!K47</f>
        <v>7.3673189652442069E-4</v>
      </c>
      <c r="L47" s="617"/>
      <c r="M47" s="610"/>
      <c r="N47" s="617"/>
      <c r="O47" s="617"/>
      <c r="P47" s="617"/>
    </row>
    <row r="48" spans="1:16" x14ac:dyDescent="0.35">
      <c r="E48" s="621">
        <v>4</v>
      </c>
      <c r="F48" s="621">
        <f>LP!F48</f>
        <v>1.5</v>
      </c>
      <c r="G48" s="928">
        <f>LP!G48</f>
        <v>1.5</v>
      </c>
      <c r="H48" s="928"/>
      <c r="I48" s="590">
        <f>LP!I48</f>
        <v>1.53999</v>
      </c>
      <c r="J48" s="590">
        <f ca="1">LP!J48</f>
        <v>-4.0307412814929229E-2</v>
      </c>
      <c r="K48" s="590">
        <f ca="1">LP!K48</f>
        <v>7.3676510551641409E-4</v>
      </c>
      <c r="L48" s="617"/>
      <c r="M48" s="610"/>
      <c r="N48" s="617"/>
      <c r="O48" s="617"/>
      <c r="P48" s="617"/>
    </row>
    <row r="49" spans="1:16" ht="15" customHeight="1" x14ac:dyDescent="0.35">
      <c r="E49" s="621">
        <v>5</v>
      </c>
      <c r="F49" s="621">
        <f>LP!F49</f>
        <v>2</v>
      </c>
      <c r="G49" s="928">
        <f>LP!G49</f>
        <v>2</v>
      </c>
      <c r="H49" s="928"/>
      <c r="I49" s="590">
        <f>LP!I49</f>
        <v>2.0419899999999997</v>
      </c>
      <c r="J49" s="590">
        <f ca="1">LP!J49</f>
        <v>-4.2458029737224678E-2</v>
      </c>
      <c r="K49" s="590">
        <f ca="1">LP!K49</f>
        <v>7.3679844991030399E-4</v>
      </c>
      <c r="L49" s="617"/>
      <c r="M49" s="610"/>
      <c r="N49" s="617"/>
      <c r="O49" s="617"/>
      <c r="P49" s="617"/>
    </row>
    <row r="50" spans="1:16" ht="15" customHeight="1" x14ac:dyDescent="0.35">
      <c r="E50" s="611"/>
      <c r="F50" s="611"/>
      <c r="G50" s="40"/>
      <c r="H50" s="116"/>
      <c r="I50" s="116"/>
      <c r="J50" s="116"/>
      <c r="K50" s="116"/>
    </row>
    <row r="51" spans="1:16" x14ac:dyDescent="0.35">
      <c r="A51" s="601"/>
      <c r="B51" s="601"/>
      <c r="C51" s="93" t="s">
        <v>136</v>
      </c>
      <c r="D51" s="93"/>
      <c r="E51" s="601" t="s">
        <v>137</v>
      </c>
      <c r="F51" s="601"/>
      <c r="G51" s="597"/>
      <c r="H51" s="601"/>
      <c r="I51" s="603"/>
      <c r="J51" s="604"/>
      <c r="K51" s="604"/>
    </row>
    <row r="52" spans="1:16" s="622" customFormat="1" ht="15" customHeight="1" x14ac:dyDescent="0.35">
      <c r="E52" s="859" t="s">
        <v>30</v>
      </c>
      <c r="F52" s="615" t="s">
        <v>232</v>
      </c>
      <c r="G52" s="825" t="str">
        <f>LK!F55</f>
        <v>Penunjukan Standar</v>
      </c>
      <c r="H52" s="826"/>
      <c r="I52" s="417" t="str">
        <f>ID!F57</f>
        <v>Pembacaan Alat</v>
      </c>
      <c r="J52" s="417" t="s">
        <v>233</v>
      </c>
      <c r="K52" s="417" t="s">
        <v>234</v>
      </c>
    </row>
    <row r="53" spans="1:16" s="622" customFormat="1" ht="15" customHeight="1" x14ac:dyDescent="0.35">
      <c r="E53" s="926"/>
      <c r="F53" s="616"/>
      <c r="G53" s="423"/>
      <c r="H53" s="424"/>
      <c r="I53" s="432"/>
      <c r="J53" s="432"/>
      <c r="K53" s="432" t="s">
        <v>235</v>
      </c>
    </row>
    <row r="54" spans="1:16" s="622" customFormat="1" ht="15" customHeight="1" thickBot="1" x14ac:dyDescent="0.4">
      <c r="E54" s="927"/>
      <c r="F54" s="623" t="s">
        <v>237</v>
      </c>
      <c r="G54" s="890" t="s">
        <v>237</v>
      </c>
      <c r="H54" s="891"/>
      <c r="I54" s="418" t="s">
        <v>237</v>
      </c>
      <c r="J54" s="418" t="s">
        <v>237</v>
      </c>
      <c r="K54" s="418" t="s">
        <v>237</v>
      </c>
      <c r="M54" s="607"/>
    </row>
    <row r="55" spans="1:16" ht="15" customHeight="1" thickTop="1" x14ac:dyDescent="0.35">
      <c r="E55" s="608">
        <v>1</v>
      </c>
      <c r="F55" s="608">
        <f>ID!D60</f>
        <v>0</v>
      </c>
      <c r="G55" s="925">
        <f>LP!G55</f>
        <v>0</v>
      </c>
      <c r="H55" s="925"/>
      <c r="I55" s="588">
        <f>LP!I55</f>
        <v>1.7073471655430807E-3</v>
      </c>
      <c r="J55" s="591">
        <f>LP!J55</f>
        <v>-1.8804544602117571E-3</v>
      </c>
      <c r="K55" s="591">
        <f>LP!K55</f>
        <v>5.7985117631630188E-2</v>
      </c>
      <c r="M55" s="610"/>
    </row>
    <row r="56" spans="1:16" ht="15" customHeight="1" x14ac:dyDescent="0.35">
      <c r="E56" s="107">
        <v>2</v>
      </c>
      <c r="F56" s="608">
        <f>ID!D61</f>
        <v>1</v>
      </c>
      <c r="G56" s="923">
        <f>LP!G56</f>
        <v>1</v>
      </c>
      <c r="H56" s="923"/>
      <c r="I56" s="588">
        <f>LP!I56</f>
        <v>1.0617618759544483</v>
      </c>
      <c r="J56" s="591">
        <f>LP!J56</f>
        <v>-6.2447898098112055E-2</v>
      </c>
      <c r="K56" s="591">
        <f>LP!K56</f>
        <v>0.22075500275097593</v>
      </c>
      <c r="M56" s="610"/>
    </row>
    <row r="57" spans="1:16" ht="15" customHeight="1" x14ac:dyDescent="0.35">
      <c r="E57" s="107">
        <v>3</v>
      </c>
      <c r="F57" s="608">
        <f>ID!D62</f>
        <v>50</v>
      </c>
      <c r="G57" s="923">
        <f>LP!G57</f>
        <v>50</v>
      </c>
      <c r="H57" s="923"/>
      <c r="I57" s="588">
        <f>LP!I57</f>
        <v>49.944276373314523</v>
      </c>
      <c r="J57" s="591">
        <f>LP!J57</f>
        <v>3.1385455656076519E-2</v>
      </c>
      <c r="K57" s="591">
        <f>LP!K57</f>
        <v>0.37049630192462707</v>
      </c>
      <c r="M57" s="610"/>
    </row>
    <row r="58" spans="1:16" x14ac:dyDescent="0.35">
      <c r="E58" s="608">
        <v>4</v>
      </c>
      <c r="F58" s="608">
        <f>ID!D63</f>
        <v>100</v>
      </c>
      <c r="G58" s="923">
        <f>LP!G58</f>
        <v>100</v>
      </c>
      <c r="H58" s="923"/>
      <c r="I58" s="588">
        <f>LP!I58</f>
        <v>99.966849514843801</v>
      </c>
      <c r="J58" s="591">
        <f>LP!J58</f>
        <v>-1.5391460162575164E-2</v>
      </c>
      <c r="K58" s="591">
        <f>LP!K58</f>
        <v>0.31374309743646828</v>
      </c>
      <c r="M58" s="610"/>
    </row>
    <row r="59" spans="1:16" ht="15" customHeight="1" x14ac:dyDescent="0.35">
      <c r="E59" s="608">
        <v>5</v>
      </c>
      <c r="F59" s="608">
        <f>ID!D64</f>
        <v>500</v>
      </c>
      <c r="G59" s="923">
        <f>LP!G59</f>
        <v>500</v>
      </c>
      <c r="H59" s="923"/>
      <c r="I59" s="592">
        <f>LP!I59</f>
        <v>499.22738732020463</v>
      </c>
      <c r="J59" s="591">
        <f>LP!J59</f>
        <v>0.53088571153998609</v>
      </c>
      <c r="K59" s="591">
        <f>LP!K59</f>
        <v>1.0414216690190394</v>
      </c>
      <c r="M59" s="610"/>
    </row>
    <row r="60" spans="1:16" ht="15" customHeight="1" x14ac:dyDescent="0.35">
      <c r="E60" s="608">
        <v>6</v>
      </c>
      <c r="F60" s="608">
        <f>ID!D65</f>
        <v>1000</v>
      </c>
      <c r="G60" s="923">
        <f>LP!G60</f>
        <v>1000</v>
      </c>
      <c r="H60" s="923"/>
      <c r="I60" s="592">
        <f>LP!I60</f>
        <v>998.45306729324363</v>
      </c>
      <c r="J60" s="591">
        <f>LP!J60</f>
        <v>1.063651877540261</v>
      </c>
      <c r="K60" s="591">
        <f>LP!K60</f>
        <v>1.7185732586570042</v>
      </c>
      <c r="M60" s="610"/>
    </row>
    <row r="61" spans="1:16" ht="15" customHeight="1" x14ac:dyDescent="0.35">
      <c r="E61" s="611"/>
      <c r="F61" s="611"/>
      <c r="G61" s="40"/>
      <c r="H61" s="116"/>
      <c r="I61" s="116"/>
      <c r="J61" s="116"/>
      <c r="K61" s="116"/>
    </row>
    <row r="62" spans="1:16" x14ac:dyDescent="0.35">
      <c r="A62" s="601"/>
      <c r="B62" s="601"/>
      <c r="C62" s="93" t="s">
        <v>139</v>
      </c>
      <c r="D62" s="93"/>
      <c r="E62" s="601" t="s">
        <v>140</v>
      </c>
      <c r="F62" s="601"/>
      <c r="G62" s="597"/>
      <c r="H62" s="601"/>
      <c r="I62" s="603"/>
      <c r="J62" s="604"/>
      <c r="K62" s="604"/>
    </row>
    <row r="63" spans="1:16" ht="15" customHeight="1" x14ac:dyDescent="0.35">
      <c r="E63" s="859" t="s">
        <v>30</v>
      </c>
      <c r="F63" s="615" t="s">
        <v>232</v>
      </c>
      <c r="G63" s="825" t="str">
        <f>LK!F66</f>
        <v>Penunjukan Standar</v>
      </c>
      <c r="H63" s="826"/>
      <c r="I63" s="417" t="str">
        <f>ID!F68</f>
        <v>Pembacaan Alat</v>
      </c>
      <c r="J63" s="417" t="s">
        <v>233</v>
      </c>
      <c r="K63" s="417" t="s">
        <v>234</v>
      </c>
    </row>
    <row r="64" spans="1:16" ht="15" customHeight="1" x14ac:dyDescent="0.35">
      <c r="E64" s="926"/>
      <c r="F64" s="616"/>
      <c r="G64" s="423"/>
      <c r="H64" s="424"/>
      <c r="I64" s="432"/>
      <c r="J64" s="432"/>
      <c r="K64" s="432" t="s">
        <v>235</v>
      </c>
    </row>
    <row r="65" spans="5:11" ht="15" customHeight="1" thickBot="1" x14ac:dyDescent="0.4">
      <c r="E65" s="927"/>
      <c r="F65" s="623" t="s">
        <v>237</v>
      </c>
      <c r="G65" s="890" t="s">
        <v>237</v>
      </c>
      <c r="H65" s="891"/>
      <c r="I65" s="418" t="s">
        <v>237</v>
      </c>
      <c r="J65" s="418" t="s">
        <v>237</v>
      </c>
      <c r="K65" s="418" t="s">
        <v>237</v>
      </c>
    </row>
    <row r="66" spans="5:11" ht="15" customHeight="1" thickTop="1" x14ac:dyDescent="0.35">
      <c r="E66" s="624"/>
      <c r="F66" s="625"/>
      <c r="G66" s="924" t="s">
        <v>141</v>
      </c>
      <c r="H66" s="869"/>
      <c r="I66" s="869"/>
      <c r="J66" s="869"/>
    </row>
    <row r="67" spans="5:11" ht="15" customHeight="1" x14ac:dyDescent="0.35">
      <c r="E67" s="608">
        <v>1</v>
      </c>
      <c r="F67" s="608">
        <f>ID!D72</f>
        <v>0</v>
      </c>
      <c r="G67" s="925">
        <f>LP!G67</f>
        <v>0</v>
      </c>
      <c r="H67" s="925"/>
      <c r="I67" s="588">
        <f>LP!I67</f>
        <v>1.7073471655430807E-3</v>
      </c>
      <c r="J67" s="591">
        <f>LP!J67</f>
        <v>-1.8804544602117571E-3</v>
      </c>
      <c r="K67" s="591">
        <f>LP!K67</f>
        <v>5.7985117631630188E-2</v>
      </c>
    </row>
    <row r="68" spans="5:11" ht="15" customHeight="1" x14ac:dyDescent="0.35">
      <c r="E68" s="107">
        <v>2</v>
      </c>
      <c r="F68" s="608">
        <f>ID!D73</f>
        <v>1</v>
      </c>
      <c r="G68" s="923">
        <f>LP!G68</f>
        <v>1</v>
      </c>
      <c r="H68" s="923"/>
      <c r="I68" s="588">
        <f>LP!I68</f>
        <v>1.1417659913347431</v>
      </c>
      <c r="J68" s="591">
        <f>LP!J68</f>
        <v>-0.14249072403304802</v>
      </c>
      <c r="K68" s="591">
        <f>LP!K68</f>
        <v>0.23722780049395045</v>
      </c>
    </row>
    <row r="69" spans="5:11" ht="15" customHeight="1" x14ac:dyDescent="0.35">
      <c r="E69" s="107">
        <v>3</v>
      </c>
      <c r="F69" s="608">
        <f>ID!D74</f>
        <v>50</v>
      </c>
      <c r="G69" s="923">
        <f>LP!G69</f>
        <v>50</v>
      </c>
      <c r="H69" s="923"/>
      <c r="I69" s="588">
        <f>LP!I69</f>
        <v>50.124285632920177</v>
      </c>
      <c r="J69" s="591">
        <f>LP!J69</f>
        <v>-0.14871090269752044</v>
      </c>
      <c r="K69" s="591">
        <f>LP!K69</f>
        <v>0.20233605892295528</v>
      </c>
    </row>
    <row r="70" spans="5:11" x14ac:dyDescent="0.35">
      <c r="E70" s="608">
        <v>4</v>
      </c>
      <c r="F70" s="608">
        <f>ID!D75</f>
        <v>100</v>
      </c>
      <c r="G70" s="923">
        <f>LP!G70</f>
        <v>100</v>
      </c>
      <c r="H70" s="923"/>
      <c r="I70" s="588">
        <f>LP!I70</f>
        <v>99.906846428308583</v>
      </c>
      <c r="J70" s="591">
        <f>LP!J70</f>
        <v>4.4640659288623818E-2</v>
      </c>
      <c r="K70" s="591">
        <f>LP!K70</f>
        <v>0.30738845486607386</v>
      </c>
    </row>
    <row r="71" spans="5:11" ht="15" customHeight="1" x14ac:dyDescent="0.35">
      <c r="E71" s="608">
        <v>5</v>
      </c>
      <c r="F71" s="608">
        <f>ID!D76</f>
        <v>500</v>
      </c>
      <c r="G71" s="923">
        <f>LP!G71</f>
        <v>500</v>
      </c>
      <c r="H71" s="923"/>
      <c r="I71" s="592">
        <f>LP!I71</f>
        <v>499.02737703175387</v>
      </c>
      <c r="J71" s="591">
        <f>LP!J71</f>
        <v>0.73099277637734439</v>
      </c>
      <c r="K71" s="591">
        <f>LP!K71</f>
        <v>0.95883791518011396</v>
      </c>
    </row>
    <row r="72" spans="5:11" ht="15" customHeight="1" x14ac:dyDescent="0.35">
      <c r="E72" s="608">
        <v>6</v>
      </c>
      <c r="F72" s="608">
        <f>ID!D77</f>
        <v>1000</v>
      </c>
      <c r="G72" s="923">
        <f>LP!G72</f>
        <v>1000</v>
      </c>
      <c r="H72" s="923"/>
      <c r="I72" s="592">
        <f>LP!I72</f>
        <v>999.05309815859596</v>
      </c>
      <c r="J72" s="591">
        <f>LP!J72</f>
        <v>0.46333068302812913</v>
      </c>
      <c r="K72" s="591">
        <f>LP!K72</f>
        <v>1.6495186620989404</v>
      </c>
    </row>
    <row r="73" spans="5:11" ht="15.75" customHeight="1" x14ac:dyDescent="0.35">
      <c r="E73" s="624"/>
      <c r="F73" s="608"/>
      <c r="G73" s="924" t="s">
        <v>142</v>
      </c>
      <c r="H73" s="869"/>
      <c r="I73" s="869"/>
      <c r="J73" s="869"/>
      <c r="K73" s="610"/>
    </row>
    <row r="74" spans="5:11" ht="15" customHeight="1" x14ac:dyDescent="0.35">
      <c r="E74" s="608">
        <v>1</v>
      </c>
      <c r="F74" s="608">
        <f>ID!D79</f>
        <v>0</v>
      </c>
      <c r="G74" s="925">
        <f>LP!G74</f>
        <v>0</v>
      </c>
      <c r="H74" s="925"/>
      <c r="I74" s="588">
        <f>LP!I74</f>
        <v>1.7073471655430807E-3</v>
      </c>
      <c r="J74" s="591">
        <f>LP!J74</f>
        <v>-1.8804544602117571E-3</v>
      </c>
      <c r="K74" s="591">
        <f>LP!K74</f>
        <v>5.7985117631630188E-2</v>
      </c>
    </row>
    <row r="75" spans="5:11" ht="15" customHeight="1" x14ac:dyDescent="0.35">
      <c r="E75" s="107">
        <v>2</v>
      </c>
      <c r="F75" s="608">
        <f>ID!D80</f>
        <v>1</v>
      </c>
      <c r="G75" s="923">
        <f>LP!G75</f>
        <v>1</v>
      </c>
      <c r="H75" s="923"/>
      <c r="I75" s="588">
        <f>LP!I75</f>
        <v>1.0217598182643008</v>
      </c>
      <c r="J75" s="591">
        <f>LP!J75</f>
        <v>-2.2426485130644064E-2</v>
      </c>
      <c r="K75" s="591">
        <f>LP!K75</f>
        <v>0.40229830722232779</v>
      </c>
    </row>
    <row r="76" spans="5:11" ht="15" customHeight="1" x14ac:dyDescent="0.35">
      <c r="E76" s="107">
        <v>3</v>
      </c>
      <c r="F76" s="608">
        <f>ID!D81</f>
        <v>50</v>
      </c>
      <c r="G76" s="923">
        <f>LP!G76</f>
        <v>50</v>
      </c>
      <c r="H76" s="923"/>
      <c r="I76" s="588">
        <f>LP!I76</f>
        <v>49.92427534446945</v>
      </c>
      <c r="J76" s="591">
        <f>LP!J76</f>
        <v>5.1396162139809506E-2</v>
      </c>
      <c r="K76" s="591">
        <f>LP!K76</f>
        <v>0.35811948282612488</v>
      </c>
    </row>
    <row r="77" spans="5:11" x14ac:dyDescent="0.35">
      <c r="E77" s="608">
        <v>4</v>
      </c>
      <c r="F77" s="608">
        <f>ID!D82</f>
        <v>100</v>
      </c>
      <c r="G77" s="923">
        <f>LP!G77</f>
        <v>100</v>
      </c>
      <c r="H77" s="923"/>
      <c r="I77" s="588">
        <f>LP!I77</f>
        <v>99.906846428308583</v>
      </c>
      <c r="J77" s="591">
        <f>LP!J77</f>
        <v>4.4640659288623818E-2</v>
      </c>
      <c r="K77" s="591">
        <f>LP!K77</f>
        <v>0.30738845486607386</v>
      </c>
    </row>
    <row r="78" spans="5:11" ht="15" customHeight="1" x14ac:dyDescent="0.35">
      <c r="E78" s="608">
        <v>5</v>
      </c>
      <c r="F78" s="608">
        <f>ID!D83</f>
        <v>500</v>
      </c>
      <c r="G78" s="923">
        <f>LP!G78</f>
        <v>500</v>
      </c>
      <c r="H78" s="923"/>
      <c r="I78" s="592">
        <f>LP!I78</f>
        <v>499.02737703175387</v>
      </c>
      <c r="J78" s="591">
        <f>LP!J78</f>
        <v>0.73099277637734439</v>
      </c>
      <c r="K78" s="591">
        <f>LP!K78</f>
        <v>0.95883791518011396</v>
      </c>
    </row>
    <row r="79" spans="5:11" ht="15" customHeight="1" x14ac:dyDescent="0.35">
      <c r="E79" s="608">
        <v>6</v>
      </c>
      <c r="F79" s="608">
        <f>ID!D84</f>
        <v>1000</v>
      </c>
      <c r="G79" s="923">
        <f>LP!G79</f>
        <v>1000</v>
      </c>
      <c r="H79" s="923"/>
      <c r="I79" s="592">
        <f>LP!I79</f>
        <v>999.05309815859596</v>
      </c>
      <c r="J79" s="591">
        <f>LP!J79</f>
        <v>0.46333068302812913</v>
      </c>
      <c r="K79" s="591">
        <f>LP!K79</f>
        <v>1.6495186620989404</v>
      </c>
    </row>
    <row r="80" spans="5:11" ht="15.75" customHeight="1" x14ac:dyDescent="0.35">
      <c r="E80" s="624"/>
      <c r="F80" s="608"/>
      <c r="G80" s="924" t="s">
        <v>143</v>
      </c>
      <c r="H80" s="869"/>
      <c r="I80" s="869"/>
      <c r="J80" s="869"/>
      <c r="K80" s="610"/>
    </row>
    <row r="81" spans="5:11" ht="15" customHeight="1" x14ac:dyDescent="0.35">
      <c r="E81" s="608">
        <v>1</v>
      </c>
      <c r="F81" s="608">
        <f>ID!D86</f>
        <v>0</v>
      </c>
      <c r="G81" s="925">
        <f>LP!G81</f>
        <v>0</v>
      </c>
      <c r="H81" s="925"/>
      <c r="I81" s="588">
        <f>LP!I81</f>
        <v>1.7073471655430807E-3</v>
      </c>
      <c r="J81" s="591">
        <f>LP!J81</f>
        <v>-1.8804544602117571E-3</v>
      </c>
      <c r="K81" s="591">
        <f>LP!K81</f>
        <v>5.7985117631630188E-2</v>
      </c>
    </row>
    <row r="82" spans="5:11" ht="15" customHeight="1" x14ac:dyDescent="0.35">
      <c r="E82" s="107">
        <v>2</v>
      </c>
      <c r="F82" s="608">
        <f>ID!D87</f>
        <v>1</v>
      </c>
      <c r="G82" s="923">
        <f>LP!G82</f>
        <v>1</v>
      </c>
      <c r="H82" s="923"/>
      <c r="I82" s="588">
        <f>LP!I82</f>
        <v>1.0217598182643008</v>
      </c>
      <c r="J82" s="591">
        <f>LP!J82</f>
        <v>-2.2426485130644064E-2</v>
      </c>
      <c r="K82" s="591">
        <f>LP!K82</f>
        <v>0.23402049189438798</v>
      </c>
    </row>
    <row r="83" spans="5:11" ht="15" customHeight="1" x14ac:dyDescent="0.35">
      <c r="E83" s="107">
        <v>3</v>
      </c>
      <c r="F83" s="608">
        <f>ID!D88</f>
        <v>50</v>
      </c>
      <c r="G83" s="923">
        <f>LP!G83</f>
        <v>50</v>
      </c>
      <c r="H83" s="923"/>
      <c r="I83" s="588">
        <f>LP!I83</f>
        <v>50.004279459849748</v>
      </c>
      <c r="J83" s="591">
        <f>LP!J83</f>
        <v>-2.864666379512958E-2</v>
      </c>
      <c r="K83" s="591">
        <f>LP!K83</f>
        <v>0.19550721666383636</v>
      </c>
    </row>
    <row r="84" spans="5:11" x14ac:dyDescent="0.35">
      <c r="E84" s="608">
        <v>4</v>
      </c>
      <c r="F84" s="608">
        <f>ID!D89</f>
        <v>100</v>
      </c>
      <c r="G84" s="923">
        <f>LP!G84</f>
        <v>100</v>
      </c>
      <c r="H84" s="923"/>
      <c r="I84" s="588">
        <f>LP!I84</f>
        <v>100.02685260137902</v>
      </c>
      <c r="J84" s="591">
        <f>LP!J84</f>
        <v>-7.5423579613774161E-2</v>
      </c>
      <c r="K84" s="591">
        <f>LP!K84</f>
        <v>0.38031492716335302</v>
      </c>
    </row>
    <row r="85" spans="5:11" ht="15" customHeight="1" x14ac:dyDescent="0.35">
      <c r="E85" s="107">
        <v>5</v>
      </c>
      <c r="F85" s="608">
        <f>ID!D90</f>
        <v>500</v>
      </c>
      <c r="G85" s="923">
        <f>LP!G85</f>
        <v>500</v>
      </c>
      <c r="H85" s="923"/>
      <c r="I85" s="592">
        <f>LP!I85</f>
        <v>499.42739760865533</v>
      </c>
      <c r="J85" s="591">
        <f>LP!J85</f>
        <v>0.33077864670268453</v>
      </c>
      <c r="K85" s="591">
        <f>LP!K85</f>
        <v>1.0845489705213354</v>
      </c>
    </row>
    <row r="86" spans="5:11" ht="15" customHeight="1" x14ac:dyDescent="0.35">
      <c r="E86" s="107">
        <v>6</v>
      </c>
      <c r="F86" s="608">
        <f>ID!D91</f>
        <v>1000</v>
      </c>
      <c r="G86" s="923">
        <f>LP!G86</f>
        <v>1000</v>
      </c>
      <c r="H86" s="923"/>
      <c r="I86" s="592">
        <f>LP!I86</f>
        <v>999.65312902394817</v>
      </c>
      <c r="J86" s="591">
        <f>LP!J86</f>
        <v>-0.13699051148388919</v>
      </c>
      <c r="K86" s="591">
        <f>LP!K86</f>
        <v>1.7202463989143639</v>
      </c>
    </row>
    <row r="87" spans="5:11" ht="15.75" customHeight="1" x14ac:dyDescent="0.35">
      <c r="E87" s="624"/>
      <c r="F87" s="608"/>
      <c r="G87" s="924" t="s">
        <v>144</v>
      </c>
      <c r="H87" s="869"/>
      <c r="I87" s="869"/>
      <c r="J87" s="869"/>
      <c r="K87" s="610"/>
    </row>
    <row r="88" spans="5:11" ht="15" customHeight="1" x14ac:dyDescent="0.35">
      <c r="E88" s="608">
        <v>1</v>
      </c>
      <c r="F88" s="608">
        <f>ID!D93</f>
        <v>0</v>
      </c>
      <c r="G88" s="925">
        <f>LP!G88</f>
        <v>0</v>
      </c>
      <c r="H88" s="925"/>
      <c r="I88" s="588">
        <f>LP!I88</f>
        <v>1.7073471655430807E-3</v>
      </c>
      <c r="J88" s="591">
        <f>LP!J88</f>
        <v>-1.8804544602117571E-3</v>
      </c>
      <c r="K88" s="591">
        <f>LP!K88</f>
        <v>5.7985117631630188E-2</v>
      </c>
    </row>
    <row r="89" spans="5:11" ht="15" customHeight="1" x14ac:dyDescent="0.35">
      <c r="E89" s="107">
        <v>2</v>
      </c>
      <c r="F89" s="608">
        <f>ID!D94</f>
        <v>1</v>
      </c>
      <c r="G89" s="923">
        <f>LP!G89</f>
        <v>1</v>
      </c>
      <c r="H89" s="923"/>
      <c r="I89" s="588">
        <f>LP!I89</f>
        <v>1.0217598182643008</v>
      </c>
      <c r="J89" s="591">
        <f>LP!J89</f>
        <v>-2.2426485130644064E-2</v>
      </c>
      <c r="K89" s="591">
        <f>LP!K89</f>
        <v>0.23402049189438798</v>
      </c>
    </row>
    <row r="90" spans="5:11" ht="15" customHeight="1" x14ac:dyDescent="0.35">
      <c r="E90" s="107">
        <v>3</v>
      </c>
      <c r="F90" s="608">
        <f>ID!D95</f>
        <v>50</v>
      </c>
      <c r="G90" s="923">
        <f>LP!G90</f>
        <v>50</v>
      </c>
      <c r="H90" s="923"/>
      <c r="I90" s="588">
        <f>LP!I90</f>
        <v>50.004279459849748</v>
      </c>
      <c r="J90" s="591">
        <f>LP!J90</f>
        <v>-2.864666379512958E-2</v>
      </c>
      <c r="K90" s="591">
        <f>LP!K90</f>
        <v>0.19550721666383636</v>
      </c>
    </row>
    <row r="91" spans="5:11" x14ac:dyDescent="0.35">
      <c r="E91" s="608">
        <v>4</v>
      </c>
      <c r="F91" s="608">
        <f>ID!D96</f>
        <v>100</v>
      </c>
      <c r="G91" s="923">
        <f>LP!G91</f>
        <v>100</v>
      </c>
      <c r="H91" s="923"/>
      <c r="I91" s="588">
        <f>LP!I91</f>
        <v>100.02685260137902</v>
      </c>
      <c r="J91" s="591">
        <f>LP!J91</f>
        <v>-7.5423579613774161E-2</v>
      </c>
      <c r="K91" s="591">
        <f>LP!K91</f>
        <v>0.38031492716335302</v>
      </c>
    </row>
    <row r="92" spans="5:11" ht="15" customHeight="1" x14ac:dyDescent="0.35">
      <c r="E92" s="107">
        <v>5</v>
      </c>
      <c r="F92" s="608">
        <f>ID!D97</f>
        <v>500</v>
      </c>
      <c r="G92" s="923">
        <f>LP!G92</f>
        <v>500</v>
      </c>
      <c r="H92" s="923"/>
      <c r="I92" s="592">
        <f>LP!I92</f>
        <v>499.42739760865533</v>
      </c>
      <c r="J92" s="591">
        <f>LP!J92</f>
        <v>0.33077864670268453</v>
      </c>
      <c r="K92" s="591">
        <f>LP!K92</f>
        <v>1.0845489705213354</v>
      </c>
    </row>
    <row r="93" spans="5:11" ht="15" customHeight="1" x14ac:dyDescent="0.35">
      <c r="E93" s="107">
        <v>6</v>
      </c>
      <c r="F93" s="608">
        <f>ID!D98</f>
        <v>1000</v>
      </c>
      <c r="G93" s="923">
        <f>LP!G93</f>
        <v>1000</v>
      </c>
      <c r="H93" s="923"/>
      <c r="I93" s="592">
        <f>LP!I93</f>
        <v>998.65307758169445</v>
      </c>
      <c r="J93" s="591">
        <f>LP!J93</f>
        <v>0.86354481270284589</v>
      </c>
      <c r="K93" s="591">
        <f>LP!K93</f>
        <v>1.7188520862151635</v>
      </c>
    </row>
    <row r="94" spans="5:11" ht="15.75" customHeight="1" x14ac:dyDescent="0.35">
      <c r="E94" s="624"/>
      <c r="F94" s="608"/>
      <c r="G94" s="924" t="s">
        <v>145</v>
      </c>
      <c r="H94" s="869"/>
      <c r="I94" s="869"/>
      <c r="J94" s="869"/>
      <c r="K94" s="610"/>
    </row>
    <row r="95" spans="5:11" ht="15" customHeight="1" x14ac:dyDescent="0.35">
      <c r="E95" s="608">
        <v>1</v>
      </c>
      <c r="F95" s="608">
        <f>ID!D100</f>
        <v>0</v>
      </c>
      <c r="G95" s="925">
        <f>LP!G95</f>
        <v>0</v>
      </c>
      <c r="H95" s="925"/>
      <c r="I95" s="588">
        <f>LP!I95</f>
        <v>1.7073471655430807E-3</v>
      </c>
      <c r="J95" s="591">
        <f>LP!J95</f>
        <v>-1.8804544602117571E-3</v>
      </c>
      <c r="K95" s="591">
        <f>LP!K95</f>
        <v>5.7985117631630188E-2</v>
      </c>
    </row>
    <row r="96" spans="5:11" ht="15" customHeight="1" x14ac:dyDescent="0.35">
      <c r="E96" s="107">
        <v>2</v>
      </c>
      <c r="F96" s="608">
        <f>ID!D101</f>
        <v>1</v>
      </c>
      <c r="G96" s="923">
        <f>LP!G96</f>
        <v>1</v>
      </c>
      <c r="H96" s="923"/>
      <c r="I96" s="588">
        <f>LP!I96</f>
        <v>1.0217598182643008</v>
      </c>
      <c r="J96" s="591">
        <f>LP!J96</f>
        <v>-2.2426485130644064E-2</v>
      </c>
      <c r="K96" s="591">
        <f>LP!K96</f>
        <v>0.23402049189438798</v>
      </c>
    </row>
    <row r="97" spans="1:13" ht="15" customHeight="1" x14ac:dyDescent="0.35">
      <c r="E97" s="107">
        <v>3</v>
      </c>
      <c r="F97" s="608">
        <f>ID!D102</f>
        <v>50</v>
      </c>
      <c r="G97" s="923">
        <f>LP!G97</f>
        <v>50</v>
      </c>
      <c r="H97" s="923"/>
      <c r="I97" s="588">
        <f>LP!I97</f>
        <v>50.004279459849748</v>
      </c>
      <c r="J97" s="591">
        <f>LP!J97</f>
        <v>-2.864666379512958E-2</v>
      </c>
      <c r="K97" s="591">
        <f>LP!K97</f>
        <v>0.19550721666383636</v>
      </c>
    </row>
    <row r="98" spans="1:13" x14ac:dyDescent="0.35">
      <c r="E98" s="608">
        <v>4</v>
      </c>
      <c r="F98" s="608">
        <f>ID!D103</f>
        <v>100</v>
      </c>
      <c r="G98" s="923">
        <f>LP!G98</f>
        <v>100</v>
      </c>
      <c r="H98" s="923"/>
      <c r="I98" s="588">
        <f>LP!I98</f>
        <v>100.02685260137902</v>
      </c>
      <c r="J98" s="591">
        <f>LP!J98</f>
        <v>-7.5423579613774161E-2</v>
      </c>
      <c r="K98" s="591">
        <f>LP!K98</f>
        <v>0.38031492716335302</v>
      </c>
    </row>
    <row r="99" spans="1:13" ht="15" customHeight="1" x14ac:dyDescent="0.35">
      <c r="E99" s="107">
        <v>5</v>
      </c>
      <c r="F99" s="608">
        <f>ID!D104</f>
        <v>500</v>
      </c>
      <c r="G99" s="923">
        <f>LP!G99</f>
        <v>500</v>
      </c>
      <c r="H99" s="923"/>
      <c r="I99" s="592">
        <f>LP!I99</f>
        <v>499.42739760865533</v>
      </c>
      <c r="J99" s="591">
        <f>LP!J99</f>
        <v>0.33077864670268453</v>
      </c>
      <c r="K99" s="591">
        <f>LP!K99</f>
        <v>1.0845489705213354</v>
      </c>
    </row>
    <row r="100" spans="1:13" ht="15" customHeight="1" x14ac:dyDescent="0.35">
      <c r="E100" s="107">
        <v>6</v>
      </c>
      <c r="F100" s="608">
        <f>ID!D105</f>
        <v>1000</v>
      </c>
      <c r="G100" s="923">
        <f>LP!G100</f>
        <v>1000</v>
      </c>
      <c r="H100" s="923"/>
      <c r="I100" s="592">
        <f>LP!I100</f>
        <v>998.85308787014515</v>
      </c>
      <c r="J100" s="591">
        <f>LP!J100</f>
        <v>0.66343774786554444</v>
      </c>
      <c r="K100" s="591">
        <f>LP!K100</f>
        <v>1.6953897609176898</v>
      </c>
    </row>
    <row r="101" spans="1:13" ht="15" customHeight="1" x14ac:dyDescent="0.35">
      <c r="E101" s="116"/>
      <c r="F101" s="116"/>
      <c r="G101" s="116"/>
      <c r="H101" s="116"/>
      <c r="I101" s="116"/>
      <c r="J101" s="116"/>
      <c r="K101" s="116"/>
    </row>
    <row r="102" spans="1:13" x14ac:dyDescent="0.35">
      <c r="A102" s="601"/>
      <c r="B102" s="601"/>
      <c r="C102" s="93" t="s">
        <v>146</v>
      </c>
      <c r="D102" s="93"/>
      <c r="E102" s="601" t="s">
        <v>147</v>
      </c>
      <c r="F102" s="601"/>
      <c r="G102" s="597"/>
      <c r="H102" s="601"/>
      <c r="I102" s="603"/>
      <c r="J102" s="604"/>
      <c r="K102" s="604"/>
    </row>
    <row r="103" spans="1:13" ht="15" customHeight="1" x14ac:dyDescent="0.35">
      <c r="E103" s="859" t="s">
        <v>30</v>
      </c>
      <c r="F103" s="615" t="s">
        <v>232</v>
      </c>
      <c r="G103" s="825" t="str">
        <f>LK!F106</f>
        <v>Penunjukan Standar</v>
      </c>
      <c r="H103" s="826"/>
      <c r="I103" s="417" t="str">
        <f>ID!F108</f>
        <v>Pembacaan Alat</v>
      </c>
      <c r="J103" s="417" t="s">
        <v>233</v>
      </c>
      <c r="K103" s="417" t="s">
        <v>234</v>
      </c>
    </row>
    <row r="104" spans="1:13" ht="15" customHeight="1" x14ac:dyDescent="0.35">
      <c r="E104" s="926"/>
      <c r="F104" s="616"/>
      <c r="G104" s="423"/>
      <c r="H104" s="424"/>
      <c r="I104" s="432"/>
      <c r="J104" s="432"/>
      <c r="K104" s="432" t="s">
        <v>235</v>
      </c>
    </row>
    <row r="105" spans="1:13" ht="15" customHeight="1" thickBot="1" x14ac:dyDescent="0.4">
      <c r="E105" s="927"/>
      <c r="F105" s="623" t="s">
        <v>237</v>
      </c>
      <c r="G105" s="890" t="s">
        <v>237</v>
      </c>
      <c r="H105" s="891"/>
      <c r="I105" s="418" t="s">
        <v>237</v>
      </c>
      <c r="J105" s="418" t="s">
        <v>237</v>
      </c>
      <c r="K105" s="418" t="s">
        <v>237</v>
      </c>
      <c r="M105" s="607"/>
    </row>
    <row r="106" spans="1:13" ht="15" customHeight="1" thickTop="1" x14ac:dyDescent="0.35">
      <c r="E106" s="608">
        <v>1</v>
      </c>
      <c r="F106" s="608">
        <f>ID!D111</f>
        <v>0</v>
      </c>
      <c r="G106" s="925">
        <f>LP!G106</f>
        <v>0</v>
      </c>
      <c r="H106" s="925"/>
      <c r="I106" s="588">
        <f>LP!I106</f>
        <v>1.7073471655430807E-3</v>
      </c>
      <c r="J106" s="591">
        <f>LP!J106</f>
        <v>-1.8804544602117571E-3</v>
      </c>
      <c r="K106" s="591">
        <f>LP!K106</f>
        <v>5.7985117631630188E-2</v>
      </c>
      <c r="M106" s="610"/>
    </row>
    <row r="107" spans="1:13" ht="15" customHeight="1" x14ac:dyDescent="0.35">
      <c r="E107" s="107">
        <v>2</v>
      </c>
      <c r="F107" s="608">
        <f>ID!D112</f>
        <v>1</v>
      </c>
      <c r="G107" s="923">
        <f>LP!G107</f>
        <v>1</v>
      </c>
      <c r="H107" s="923"/>
      <c r="I107" s="588">
        <f>LP!I107</f>
        <v>0.40172792406701674</v>
      </c>
      <c r="J107" s="591">
        <f>LP!J107</f>
        <v>0.59790541586510892</v>
      </c>
      <c r="K107" s="591">
        <f>LP!K107</f>
        <v>5.7993575508391543E-2</v>
      </c>
      <c r="M107" s="610"/>
    </row>
    <row r="108" spans="1:13" ht="15" customHeight="1" x14ac:dyDescent="0.35">
      <c r="E108" s="107">
        <v>3</v>
      </c>
      <c r="F108" s="608">
        <f>ID!D113</f>
        <v>50</v>
      </c>
      <c r="G108" s="923">
        <f>LP!G108</f>
        <v>50</v>
      </c>
      <c r="H108" s="923"/>
      <c r="I108" s="588">
        <f>LP!I108</f>
        <v>48.904222873370692</v>
      </c>
      <c r="J108" s="591">
        <f>LP!J108</f>
        <v>1.0719421928102419</v>
      </c>
      <c r="K108" s="591">
        <f>LP!K108</f>
        <v>9.504321281863555E-2</v>
      </c>
      <c r="M108" s="610"/>
    </row>
    <row r="109" spans="1:13" x14ac:dyDescent="0.35">
      <c r="E109" s="608">
        <v>4</v>
      </c>
      <c r="F109" s="608">
        <f>ID!D114</f>
        <v>100</v>
      </c>
      <c r="G109" s="923">
        <f>LP!G109</f>
        <v>100</v>
      </c>
      <c r="H109" s="923"/>
      <c r="I109" s="588">
        <f>LP!I109</f>
        <v>98.10675383225194</v>
      </c>
      <c r="J109" s="591">
        <f>LP!J109</f>
        <v>1.8456042428246928</v>
      </c>
      <c r="K109" s="591">
        <f>LP!K109</f>
        <v>0.16279564508654629</v>
      </c>
      <c r="M109" s="610"/>
    </row>
    <row r="110" spans="1:13" ht="15" customHeight="1" x14ac:dyDescent="0.35">
      <c r="E110" s="608">
        <v>5</v>
      </c>
      <c r="F110" s="608">
        <f>ID!D115</f>
        <v>500</v>
      </c>
      <c r="G110" s="923">
        <f>LP!G110</f>
        <v>500</v>
      </c>
      <c r="H110" s="923"/>
      <c r="I110" s="592">
        <f>LP!I110</f>
        <v>490.02691405147073</v>
      </c>
      <c r="J110" s="591">
        <f>LP!J110</f>
        <v>9.7358106940576192</v>
      </c>
      <c r="K110" s="591">
        <f>LP!K110</f>
        <v>1.0556505710808988</v>
      </c>
      <c r="M110" s="610"/>
    </row>
    <row r="111" spans="1:13" ht="15" customHeight="1" x14ac:dyDescent="0.35">
      <c r="E111" s="608">
        <v>6</v>
      </c>
      <c r="F111" s="608">
        <f>ID!D116</f>
        <v>1000</v>
      </c>
      <c r="G111" s="923">
        <f>LP!G111</f>
        <v>1000</v>
      </c>
      <c r="H111" s="923"/>
      <c r="I111" s="592">
        <f>LP!I111</f>
        <v>981.05217219802955</v>
      </c>
      <c r="J111" s="591">
        <f>LP!J111</f>
        <v>18.472966518388791</v>
      </c>
      <c r="K111" s="591">
        <f>LP!K111</f>
        <v>1.6232645917485644</v>
      </c>
      <c r="M111" s="610"/>
    </row>
    <row r="112" spans="1:13" ht="15" customHeight="1" x14ac:dyDescent="0.35">
      <c r="E112" s="611"/>
      <c r="F112" s="611"/>
      <c r="G112" s="116"/>
      <c r="H112" s="116"/>
      <c r="I112" s="116"/>
      <c r="J112" s="116"/>
      <c r="K112" s="116"/>
    </row>
    <row r="113" spans="1:13" x14ac:dyDescent="0.35">
      <c r="A113" s="601"/>
      <c r="B113" s="601"/>
      <c r="C113" s="93" t="s">
        <v>149</v>
      </c>
      <c r="D113" s="93"/>
      <c r="E113" s="601" t="s">
        <v>150</v>
      </c>
      <c r="F113" s="601"/>
      <c r="G113" s="597"/>
      <c r="H113" s="601"/>
      <c r="I113" s="603"/>
      <c r="J113" s="604"/>
      <c r="K113" s="604"/>
    </row>
    <row r="114" spans="1:13" ht="15" customHeight="1" x14ac:dyDescent="0.35">
      <c r="E114" s="859" t="s">
        <v>30</v>
      </c>
      <c r="F114" s="615" t="s">
        <v>232</v>
      </c>
      <c r="G114" s="825" t="str">
        <f>LK!F117</f>
        <v>Penunjukan Standar</v>
      </c>
      <c r="H114" s="826"/>
      <c r="I114" s="417" t="str">
        <f>ID!F119</f>
        <v>Pembacaan Alat</v>
      </c>
      <c r="J114" s="417" t="s">
        <v>233</v>
      </c>
      <c r="K114" s="417" t="s">
        <v>234</v>
      </c>
    </row>
    <row r="115" spans="1:13" ht="15" customHeight="1" x14ac:dyDescent="0.35">
      <c r="E115" s="926"/>
      <c r="F115" s="616"/>
      <c r="G115" s="423"/>
      <c r="H115" s="424"/>
      <c r="I115" s="432"/>
      <c r="J115" s="432"/>
      <c r="K115" s="432" t="s">
        <v>235</v>
      </c>
    </row>
    <row r="116" spans="1:13" ht="15" customHeight="1" thickBot="1" x14ac:dyDescent="0.4">
      <c r="E116" s="927"/>
      <c r="F116" s="623" t="s">
        <v>237</v>
      </c>
      <c r="G116" s="890" t="s">
        <v>237</v>
      </c>
      <c r="H116" s="891"/>
      <c r="I116" s="418" t="s">
        <v>237</v>
      </c>
      <c r="J116" s="418" t="s">
        <v>237</v>
      </c>
      <c r="K116" s="418" t="s">
        <v>237</v>
      </c>
    </row>
    <row r="117" spans="1:13" ht="15" customHeight="1" thickTop="1" x14ac:dyDescent="0.35">
      <c r="E117" s="624"/>
      <c r="F117" s="625"/>
      <c r="G117" s="924" t="s">
        <v>151</v>
      </c>
      <c r="H117" s="869"/>
      <c r="I117" s="869"/>
      <c r="J117" s="869"/>
      <c r="M117" s="607"/>
    </row>
    <row r="118" spans="1:13" ht="15" customHeight="1" x14ac:dyDescent="0.35">
      <c r="E118" s="608">
        <v>1</v>
      </c>
      <c r="F118" s="608">
        <f>ID!D123</f>
        <v>0</v>
      </c>
      <c r="G118" s="925">
        <f>LP!G118</f>
        <v>0</v>
      </c>
      <c r="H118" s="925"/>
      <c r="I118" s="588">
        <f>LP!I118</f>
        <v>1.7073471655430807E-3</v>
      </c>
      <c r="J118" s="591">
        <f>LP!J118</f>
        <v>-1.8804544602117571E-3</v>
      </c>
      <c r="K118" s="591">
        <f>LP!K118</f>
        <v>5.7985117631630188E-2</v>
      </c>
      <c r="M118" s="610"/>
    </row>
    <row r="119" spans="1:13" ht="15" customHeight="1" x14ac:dyDescent="0.35">
      <c r="E119" s="107">
        <v>2</v>
      </c>
      <c r="F119" s="608">
        <f>ID!D124</f>
        <v>1</v>
      </c>
      <c r="G119" s="923">
        <f>LP!G119</f>
        <v>1</v>
      </c>
      <c r="H119" s="923"/>
      <c r="I119" s="588">
        <f>LP!I119</f>
        <v>1.0017587894192272</v>
      </c>
      <c r="J119" s="591">
        <f>LP!J119</f>
        <v>-2.4157786469101816E-3</v>
      </c>
      <c r="K119" s="591">
        <f>LP!K119</f>
        <v>0.27294312523216918</v>
      </c>
      <c r="M119" s="610"/>
    </row>
    <row r="120" spans="1:13" ht="15" customHeight="1" x14ac:dyDescent="0.35">
      <c r="E120" s="107">
        <v>3</v>
      </c>
      <c r="F120" s="608">
        <f>ID!D125</f>
        <v>50</v>
      </c>
      <c r="G120" s="923">
        <f>LP!G120</f>
        <v>50</v>
      </c>
      <c r="H120" s="923"/>
      <c r="I120" s="588">
        <f>LP!I120</f>
        <v>49.904274315624377</v>
      </c>
      <c r="J120" s="591">
        <f>LP!J120</f>
        <v>7.1406868623542508E-2</v>
      </c>
      <c r="K120" s="591">
        <f>LP!K120</f>
        <v>0.22798863995662197</v>
      </c>
      <c r="M120" s="610"/>
    </row>
    <row r="121" spans="1:13" x14ac:dyDescent="0.35">
      <c r="E121" s="608">
        <v>4</v>
      </c>
      <c r="F121" s="608">
        <f>ID!D126</f>
        <v>100</v>
      </c>
      <c r="G121" s="923">
        <f>LP!G121</f>
        <v>100</v>
      </c>
      <c r="H121" s="923"/>
      <c r="I121" s="588">
        <f>LP!I121</f>
        <v>99.986850543688874</v>
      </c>
      <c r="J121" s="591">
        <f>LP!J121</f>
        <v>-3.5402166646308159E-2</v>
      </c>
      <c r="K121" s="591">
        <f>LP!K121</f>
        <v>0.27904083129255125</v>
      </c>
      <c r="M121" s="610"/>
    </row>
    <row r="122" spans="1:13" ht="15" customHeight="1" x14ac:dyDescent="0.35">
      <c r="E122" s="608">
        <v>5</v>
      </c>
      <c r="F122" s="608">
        <f>ID!D127</f>
        <v>500</v>
      </c>
      <c r="G122" s="923">
        <f>LP!G122</f>
        <v>500</v>
      </c>
      <c r="H122" s="923"/>
      <c r="I122" s="592">
        <f>LP!I122</f>
        <v>498.62735645485242</v>
      </c>
      <c r="J122" s="591">
        <f>LP!J122</f>
        <v>1.1312069060520042</v>
      </c>
      <c r="K122" s="591">
        <f>LP!K122</f>
        <v>1.0836941732862801</v>
      </c>
      <c r="M122" s="610"/>
    </row>
    <row r="123" spans="1:13" ht="15" customHeight="1" x14ac:dyDescent="0.35">
      <c r="E123" s="608">
        <v>6</v>
      </c>
      <c r="F123" s="608">
        <f>ID!D128</f>
        <v>1000</v>
      </c>
      <c r="G123" s="923">
        <f>LP!G123</f>
        <v>1000</v>
      </c>
      <c r="H123" s="923"/>
      <c r="I123" s="592">
        <f>LP!I123</f>
        <v>998.45306729324363</v>
      </c>
      <c r="J123" s="591">
        <f>LP!J123</f>
        <v>1.063651877540261</v>
      </c>
      <c r="K123" s="591">
        <f>LP!K123</f>
        <v>1.7185732586570042</v>
      </c>
      <c r="M123" s="610"/>
    </row>
    <row r="124" spans="1:13" ht="15.75" customHeight="1" x14ac:dyDescent="0.35">
      <c r="E124" s="624"/>
      <c r="F124" s="608"/>
      <c r="G124" s="924" t="s">
        <v>152</v>
      </c>
      <c r="H124" s="869"/>
      <c r="I124" s="869"/>
      <c r="J124" s="869"/>
      <c r="K124" s="610"/>
      <c r="M124" s="607"/>
    </row>
    <row r="125" spans="1:13" ht="15" customHeight="1" x14ac:dyDescent="0.35">
      <c r="E125" s="608">
        <v>1</v>
      </c>
      <c r="F125" s="608">
        <f>ID!D130</f>
        <v>0</v>
      </c>
      <c r="G125" s="925">
        <f>LP!G125</f>
        <v>0</v>
      </c>
      <c r="H125" s="925"/>
      <c r="I125" s="588">
        <f>LP!I125</f>
        <v>1.7073471655430807E-3</v>
      </c>
      <c r="J125" s="591">
        <f>LP!J125</f>
        <v>-1.8804544602117571E-3</v>
      </c>
      <c r="K125" s="591">
        <f>LP!K125</f>
        <v>5.7985117631630188E-2</v>
      </c>
      <c r="M125" s="610"/>
    </row>
    <row r="126" spans="1:13" ht="15" customHeight="1" x14ac:dyDescent="0.35">
      <c r="E126" s="107">
        <v>2</v>
      </c>
      <c r="F126" s="608">
        <f>ID!D131</f>
        <v>1</v>
      </c>
      <c r="G126" s="923">
        <f>LP!G126</f>
        <v>1</v>
      </c>
      <c r="H126" s="923"/>
      <c r="I126" s="588">
        <f>LP!I126</f>
        <v>1.8017999432221745</v>
      </c>
      <c r="J126" s="591">
        <f>LP!J126</f>
        <v>-0.80284403799626891</v>
      </c>
      <c r="K126" s="591">
        <f>LP!K126</f>
        <v>0.82619986776608612</v>
      </c>
      <c r="M126" s="610"/>
    </row>
    <row r="127" spans="1:13" ht="15" customHeight="1" x14ac:dyDescent="0.35">
      <c r="E127" s="107">
        <v>3</v>
      </c>
      <c r="F127" s="608">
        <f>ID!D132</f>
        <v>50</v>
      </c>
      <c r="G127" s="923">
        <f>LP!G127</f>
        <v>50</v>
      </c>
      <c r="H127" s="923"/>
      <c r="I127" s="588">
        <f>LP!I127</f>
        <v>49.964277402159603</v>
      </c>
      <c r="J127" s="591">
        <f>LP!J127</f>
        <v>1.1374749172336412E-2</v>
      </c>
      <c r="K127" s="591">
        <f>LP!K127</f>
        <v>0.91819858755928851</v>
      </c>
      <c r="M127" s="610"/>
    </row>
    <row r="128" spans="1:13" x14ac:dyDescent="0.35">
      <c r="E128" s="608">
        <v>4</v>
      </c>
      <c r="F128" s="608">
        <f>ID!D133</f>
        <v>100</v>
      </c>
      <c r="G128" s="923">
        <f>LP!G128</f>
        <v>100</v>
      </c>
      <c r="H128" s="923"/>
      <c r="I128" s="588">
        <f>LP!I128</f>
        <v>99.98685054368886</v>
      </c>
      <c r="J128" s="591">
        <f>LP!J128</f>
        <v>-3.5402166646293941E-2</v>
      </c>
      <c r="K128" s="591">
        <f>LP!K128</f>
        <v>0.55827852978117409</v>
      </c>
      <c r="M128" s="610"/>
    </row>
    <row r="129" spans="5:13" ht="15" customHeight="1" x14ac:dyDescent="0.35">
      <c r="E129" s="608">
        <v>5</v>
      </c>
      <c r="F129" s="608">
        <f>ID!D134</f>
        <v>500</v>
      </c>
      <c r="G129" s="923">
        <f>LP!G129</f>
        <v>500</v>
      </c>
      <c r="H129" s="923"/>
      <c r="I129" s="592">
        <f>LP!I129</f>
        <v>499.62740789710614</v>
      </c>
      <c r="J129" s="591">
        <f>LP!J129</f>
        <v>0.13067158186526925</v>
      </c>
      <c r="K129" s="591">
        <f>LP!K129</f>
        <v>1.5077082856257702</v>
      </c>
      <c r="M129" s="610"/>
    </row>
    <row r="130" spans="5:13" ht="15" customHeight="1" x14ac:dyDescent="0.35">
      <c r="E130" s="608">
        <v>6</v>
      </c>
      <c r="F130" s="608">
        <f>ID!D135</f>
        <v>1000</v>
      </c>
      <c r="G130" s="923">
        <f>LP!G130</f>
        <v>1000</v>
      </c>
      <c r="H130" s="923"/>
      <c r="I130" s="592">
        <f>LP!I130</f>
        <v>999.05309815859596</v>
      </c>
      <c r="J130" s="591">
        <f>LP!J130</f>
        <v>0.46333068302812913</v>
      </c>
      <c r="K130" s="591">
        <f>LP!K130</f>
        <v>1.8922829780259207</v>
      </c>
      <c r="M130" s="610"/>
    </row>
    <row r="131" spans="5:13" ht="15.75" customHeight="1" x14ac:dyDescent="0.35">
      <c r="E131" s="624"/>
      <c r="F131" s="608"/>
      <c r="G131" s="924" t="s">
        <v>153</v>
      </c>
      <c r="H131" s="869"/>
      <c r="I131" s="869"/>
      <c r="J131" s="869"/>
      <c r="K131" s="610"/>
      <c r="M131" s="607"/>
    </row>
    <row r="132" spans="5:13" ht="15" customHeight="1" x14ac:dyDescent="0.35">
      <c r="E132" s="608">
        <v>1</v>
      </c>
      <c r="F132" s="608">
        <f>ID!D137</f>
        <v>0</v>
      </c>
      <c r="G132" s="925">
        <f>LP!G132</f>
        <v>0</v>
      </c>
      <c r="H132" s="925"/>
      <c r="I132" s="588">
        <f>LP!I132</f>
        <v>1.7073471655430807E-3</v>
      </c>
      <c r="J132" s="591">
        <f>LP!J132</f>
        <v>-1.8804544602117571E-3</v>
      </c>
      <c r="K132" s="591">
        <f>LP!K132</f>
        <v>5.7985117631630188E-2</v>
      </c>
      <c r="M132" s="610"/>
    </row>
    <row r="133" spans="5:13" ht="15" customHeight="1" x14ac:dyDescent="0.35">
      <c r="E133" s="107">
        <v>2</v>
      </c>
      <c r="F133" s="608">
        <f>ID!D138</f>
        <v>1</v>
      </c>
      <c r="G133" s="923">
        <f>LP!G133</f>
        <v>1</v>
      </c>
      <c r="H133" s="923"/>
      <c r="I133" s="588">
        <f>LP!I133</f>
        <v>1.0617618759544483</v>
      </c>
      <c r="J133" s="591">
        <f>LP!J133</f>
        <v>-6.2447898098112055E-2</v>
      </c>
      <c r="K133" s="591">
        <f>LP!K133</f>
        <v>0.25269215123518701</v>
      </c>
      <c r="M133" s="610"/>
    </row>
    <row r="134" spans="5:13" ht="15" customHeight="1" x14ac:dyDescent="0.35">
      <c r="E134" s="107">
        <v>3</v>
      </c>
      <c r="F134" s="608">
        <f>ID!D139</f>
        <v>50</v>
      </c>
      <c r="G134" s="923">
        <f>LP!G134</f>
        <v>50</v>
      </c>
      <c r="H134" s="923"/>
      <c r="I134" s="588">
        <f>LP!I134</f>
        <v>50.044281517539893</v>
      </c>
      <c r="J134" s="591">
        <f>LP!J134</f>
        <v>-6.8668076762595565E-2</v>
      </c>
      <c r="K134" s="591">
        <f>LP!K134</f>
        <v>0.2056527384083707</v>
      </c>
      <c r="M134" s="610"/>
    </row>
    <row r="135" spans="5:13" x14ac:dyDescent="0.35">
      <c r="E135" s="608">
        <v>4</v>
      </c>
      <c r="F135" s="608">
        <f>ID!D140</f>
        <v>100</v>
      </c>
      <c r="G135" s="923">
        <f>LP!G135</f>
        <v>100</v>
      </c>
      <c r="H135" s="923"/>
      <c r="I135" s="588">
        <f>LP!I135</f>
        <v>99.986850543688874</v>
      </c>
      <c r="J135" s="591">
        <f>LP!J135</f>
        <v>-3.5402166646308159E-2</v>
      </c>
      <c r="K135" s="591">
        <f>LP!K135</f>
        <v>0.32206249452312996</v>
      </c>
      <c r="M135" s="610"/>
    </row>
    <row r="136" spans="5:13" ht="15" customHeight="1" x14ac:dyDescent="0.35">
      <c r="E136" s="107">
        <v>5</v>
      </c>
      <c r="F136" s="608">
        <f>ID!D141</f>
        <v>500</v>
      </c>
      <c r="G136" s="923">
        <f>LP!G136</f>
        <v>500</v>
      </c>
      <c r="H136" s="923"/>
      <c r="I136" s="592">
        <f>LP!I136</f>
        <v>498.62735645485242</v>
      </c>
      <c r="J136" s="591">
        <f>LP!J136</f>
        <v>1.1312069060520042</v>
      </c>
      <c r="K136" s="591">
        <f>LP!K136</f>
        <v>1.0836941732862801</v>
      </c>
      <c r="M136" s="610"/>
    </row>
    <row r="137" spans="5:13" ht="15" customHeight="1" x14ac:dyDescent="0.35">
      <c r="E137" s="107">
        <v>6</v>
      </c>
      <c r="F137" s="608">
        <f>ID!D142</f>
        <v>1000</v>
      </c>
      <c r="G137" s="923">
        <f>LP!G137</f>
        <v>1000</v>
      </c>
      <c r="H137" s="923"/>
      <c r="I137" s="592">
        <f>LP!I137</f>
        <v>998.85308787014515</v>
      </c>
      <c r="J137" s="591">
        <f>LP!J137</f>
        <v>0.66343774786554444</v>
      </c>
      <c r="K137" s="591">
        <f>LP!K137</f>
        <v>1.6953897609176898</v>
      </c>
      <c r="M137" s="610"/>
    </row>
    <row r="138" spans="5:13" ht="15.75" customHeight="1" x14ac:dyDescent="0.35">
      <c r="E138" s="624"/>
      <c r="F138" s="608"/>
      <c r="G138" s="924" t="s">
        <v>154</v>
      </c>
      <c r="H138" s="869"/>
      <c r="I138" s="869"/>
      <c r="J138" s="869"/>
      <c r="K138" s="610"/>
      <c r="M138" s="607"/>
    </row>
    <row r="139" spans="5:13" ht="15" customHeight="1" x14ac:dyDescent="0.35">
      <c r="E139" s="608">
        <v>1</v>
      </c>
      <c r="F139" s="608">
        <f>ID!D144</f>
        <v>0</v>
      </c>
      <c r="G139" s="925">
        <f>LP!G139</f>
        <v>0</v>
      </c>
      <c r="H139" s="925"/>
      <c r="I139" s="588">
        <f>LP!I139</f>
        <v>1.7073471655430807E-3</v>
      </c>
      <c r="J139" s="591">
        <f>LP!J139</f>
        <v>-1.8804544602117571E-3</v>
      </c>
      <c r="K139" s="591">
        <f>LP!K139</f>
        <v>5.7985117631630188E-2</v>
      </c>
      <c r="M139" s="610"/>
    </row>
    <row r="140" spans="5:13" ht="15" customHeight="1" x14ac:dyDescent="0.35">
      <c r="E140" s="107">
        <v>2</v>
      </c>
      <c r="F140" s="608">
        <f>ID!D145</f>
        <v>1</v>
      </c>
      <c r="G140" s="923">
        <f>LP!G140</f>
        <v>1</v>
      </c>
      <c r="H140" s="923"/>
      <c r="I140" s="588">
        <f>LP!I140</f>
        <v>0.98175776057415354</v>
      </c>
      <c r="J140" s="591">
        <f>LP!J140</f>
        <v>1.7594927836823811E-2</v>
      </c>
      <c r="K140" s="591">
        <f>LP!K140</f>
        <v>0.29184590384673953</v>
      </c>
      <c r="M140" s="610"/>
    </row>
    <row r="141" spans="5:13" ht="15" customHeight="1" x14ac:dyDescent="0.35">
      <c r="E141" s="107">
        <v>3</v>
      </c>
      <c r="F141" s="608">
        <f>ID!D146</f>
        <v>50</v>
      </c>
      <c r="G141" s="923">
        <f>LP!G141</f>
        <v>50</v>
      </c>
      <c r="H141" s="923"/>
      <c r="I141" s="588">
        <f>LP!I141</f>
        <v>50.024280488694814</v>
      </c>
      <c r="J141" s="591">
        <f>LP!J141</f>
        <v>-4.8657370278855465E-2</v>
      </c>
      <c r="K141" s="591">
        <f>LP!K141</f>
        <v>0.33656059601510491</v>
      </c>
      <c r="M141" s="610"/>
    </row>
    <row r="142" spans="5:13" x14ac:dyDescent="0.35">
      <c r="E142" s="608">
        <v>4</v>
      </c>
      <c r="F142" s="608">
        <f>ID!D147</f>
        <v>100</v>
      </c>
      <c r="G142" s="923">
        <f>LP!G142</f>
        <v>100</v>
      </c>
      <c r="H142" s="923"/>
      <c r="I142" s="588">
        <f>LP!I142</f>
        <v>99.986850543688874</v>
      </c>
      <c r="J142" s="591">
        <f>LP!J142</f>
        <v>-3.5402166646308159E-2</v>
      </c>
      <c r="K142" s="591">
        <f>LP!K142</f>
        <v>0.32206249452312996</v>
      </c>
      <c r="M142" s="610"/>
    </row>
    <row r="143" spans="5:13" ht="15" customHeight="1" x14ac:dyDescent="0.35">
      <c r="E143" s="107">
        <v>5</v>
      </c>
      <c r="F143" s="608">
        <f>ID!D148</f>
        <v>500</v>
      </c>
      <c r="G143" s="923">
        <f>LP!G143</f>
        <v>500</v>
      </c>
      <c r="H143" s="923"/>
      <c r="I143" s="592">
        <f>LP!I143</f>
        <v>499.02737703175387</v>
      </c>
      <c r="J143" s="591">
        <f>LP!J143</f>
        <v>0.73099277637734439</v>
      </c>
      <c r="K143" s="591">
        <f>LP!K143</f>
        <v>0.95883791518011396</v>
      </c>
      <c r="M143" s="610"/>
    </row>
    <row r="144" spans="5:13" ht="15" customHeight="1" x14ac:dyDescent="0.35">
      <c r="E144" s="107">
        <v>6</v>
      </c>
      <c r="F144" s="608">
        <f>ID!D149</f>
        <v>1000</v>
      </c>
      <c r="G144" s="923">
        <f>LP!G144</f>
        <v>1000</v>
      </c>
      <c r="H144" s="923"/>
      <c r="I144" s="592">
        <f>LP!I144</f>
        <v>998.65307758169445</v>
      </c>
      <c r="J144" s="591">
        <f>LP!J144</f>
        <v>0.86354481270284589</v>
      </c>
      <c r="K144" s="591">
        <f>LP!K144</f>
        <v>1.7188520862151635</v>
      </c>
      <c r="M144" s="610"/>
    </row>
    <row r="145" spans="1:13" ht="15.75" customHeight="1" x14ac:dyDescent="0.35">
      <c r="E145" s="624"/>
      <c r="F145" s="608"/>
      <c r="G145" s="924" t="s">
        <v>155</v>
      </c>
      <c r="H145" s="869"/>
      <c r="I145" s="869"/>
      <c r="J145" s="869"/>
      <c r="K145" s="610"/>
      <c r="M145" s="607"/>
    </row>
    <row r="146" spans="1:13" ht="15" customHeight="1" x14ac:dyDescent="0.35">
      <c r="E146" s="608">
        <v>1</v>
      </c>
      <c r="F146" s="608">
        <f>ID!D151</f>
        <v>0</v>
      </c>
      <c r="G146" s="925">
        <f>LP!G146</f>
        <v>0</v>
      </c>
      <c r="H146" s="925"/>
      <c r="I146" s="588">
        <f>LP!I146</f>
        <v>1.7073471655430807E-3</v>
      </c>
      <c r="J146" s="591">
        <f>LP!J146</f>
        <v>-1.8804544602117571E-3</v>
      </c>
      <c r="K146" s="591">
        <f>LP!K146</f>
        <v>5.7985117631630188E-2</v>
      </c>
      <c r="M146" s="610"/>
    </row>
    <row r="147" spans="1:13" ht="15" customHeight="1" x14ac:dyDescent="0.35">
      <c r="E147" s="107">
        <v>2</v>
      </c>
      <c r="F147" s="608">
        <f>ID!D152</f>
        <v>1</v>
      </c>
      <c r="G147" s="923">
        <f>LP!G147</f>
        <v>1</v>
      </c>
      <c r="H147" s="923"/>
      <c r="I147" s="588">
        <f>LP!I147</f>
        <v>1.0817629047995219</v>
      </c>
      <c r="J147" s="591">
        <f>LP!J147</f>
        <v>-8.2458604581845937E-2</v>
      </c>
      <c r="K147" s="591">
        <f>LP!K147</f>
        <v>0.23402017465581879</v>
      </c>
      <c r="M147" s="610"/>
    </row>
    <row r="148" spans="1:13" ht="15" customHeight="1" x14ac:dyDescent="0.35">
      <c r="E148" s="107">
        <v>3</v>
      </c>
      <c r="F148" s="608">
        <f>ID!D153</f>
        <v>50</v>
      </c>
      <c r="G148" s="923">
        <f>LP!G148</f>
        <v>50</v>
      </c>
      <c r="H148" s="923"/>
      <c r="I148" s="588">
        <f>LP!I148</f>
        <v>50.044281517539893</v>
      </c>
      <c r="J148" s="591">
        <f>LP!J148</f>
        <v>-6.8668076762595565E-2</v>
      </c>
      <c r="K148" s="591">
        <f>LP!K148</f>
        <v>0.27893493262667279</v>
      </c>
      <c r="M148" s="610"/>
    </row>
    <row r="149" spans="1:13" x14ac:dyDescent="0.35">
      <c r="E149" s="608">
        <v>4</v>
      </c>
      <c r="F149" s="608">
        <f>ID!D154</f>
        <v>100</v>
      </c>
      <c r="G149" s="923">
        <f>LP!G149</f>
        <v>100</v>
      </c>
      <c r="H149" s="923"/>
      <c r="I149" s="588">
        <f>LP!I149</f>
        <v>100.02685260137903</v>
      </c>
      <c r="J149" s="591">
        <f>LP!J149</f>
        <v>-7.5423579613788372E-2</v>
      </c>
      <c r="K149" s="591">
        <f>LP!K149</f>
        <v>0.30103704967644784</v>
      </c>
      <c r="M149" s="610"/>
    </row>
    <row r="150" spans="1:13" ht="15" customHeight="1" x14ac:dyDescent="0.35">
      <c r="E150" s="107">
        <v>5</v>
      </c>
      <c r="F150" s="608">
        <f>ID!D155</f>
        <v>500</v>
      </c>
      <c r="G150" s="923">
        <f>LP!G150</f>
        <v>500</v>
      </c>
      <c r="H150" s="923"/>
      <c r="I150" s="592">
        <f>LP!I150</f>
        <v>499.02737703175387</v>
      </c>
      <c r="J150" s="591">
        <f>LP!J150</f>
        <v>0.73099277637734439</v>
      </c>
      <c r="K150" s="591">
        <f>LP!K150</f>
        <v>0.95883791518011396</v>
      </c>
      <c r="M150" s="610"/>
    </row>
    <row r="151" spans="1:13" ht="15" customHeight="1" x14ac:dyDescent="0.35">
      <c r="E151" s="107">
        <v>6</v>
      </c>
      <c r="F151" s="608">
        <f>ID!D156</f>
        <v>1000</v>
      </c>
      <c r="G151" s="923">
        <f>LP!G151</f>
        <v>1000</v>
      </c>
      <c r="H151" s="923"/>
      <c r="I151" s="592">
        <f>LP!I151</f>
        <v>998.85308787014515</v>
      </c>
      <c r="J151" s="591">
        <f>LP!J151</f>
        <v>0.66343774786554444</v>
      </c>
      <c r="K151" s="591">
        <f>LP!K151</f>
        <v>1.6953897609176898</v>
      </c>
      <c r="M151" s="610"/>
    </row>
    <row r="153" spans="1:13" x14ac:dyDescent="0.35">
      <c r="A153" s="596" t="s">
        <v>156</v>
      </c>
      <c r="B153" s="596"/>
      <c r="C153" s="596" t="s">
        <v>157</v>
      </c>
      <c r="D153" s="596"/>
      <c r="E153" s="596"/>
      <c r="F153" s="596"/>
      <c r="G153" s="597"/>
    </row>
    <row r="154" spans="1:13" x14ac:dyDescent="0.35">
      <c r="A154" s="596"/>
      <c r="B154" s="596"/>
      <c r="C154" s="638" t="str">
        <f>LP!C154</f>
        <v>Ketidakpastian Kalibrasi Dual Lead Voltage dilaporkan pada tingkat kepercayaan 95 %</v>
      </c>
      <c r="D154" s="601"/>
      <c r="E154" s="596"/>
      <c r="F154" s="596"/>
      <c r="G154" s="597"/>
    </row>
    <row r="155" spans="1:13" x14ac:dyDescent="0.35">
      <c r="A155" s="596"/>
      <c r="B155" s="596"/>
      <c r="C155" s="638" t="str">
        <f>LP!C155</f>
        <v>dengan faktor cakupan k = 2</v>
      </c>
      <c r="D155" s="601"/>
      <c r="E155" s="596"/>
      <c r="F155" s="596"/>
      <c r="G155" s="597"/>
    </row>
    <row r="156" spans="1:13" x14ac:dyDescent="0.35">
      <c r="A156" s="596"/>
      <c r="B156" s="596"/>
      <c r="C156" s="638" t="str">
        <f>LP!C156</f>
        <v>Ketidakpastian Kalibrasi Earth Resistance dilaporkan pada tingkat kepercayaan 95 % dengan faktor cakupan k = 2</v>
      </c>
      <c r="D156" s="601"/>
      <c r="E156" s="596"/>
      <c r="F156" s="596"/>
      <c r="G156" s="597"/>
    </row>
    <row r="157" spans="1:13" x14ac:dyDescent="0.35">
      <c r="A157" s="596"/>
      <c r="B157" s="596"/>
      <c r="C157" s="638" t="str">
        <f>LP!C157</f>
        <v>Ketidakpastian Kalibrasi Enclosure (Chassis) Leakage Current, Patient / Electroda Leakage Current, Dual Lead, Leakage</v>
      </c>
      <c r="D157" s="601"/>
      <c r="E157" s="596"/>
      <c r="F157" s="596"/>
      <c r="G157" s="597"/>
    </row>
    <row r="158" spans="1:13" x14ac:dyDescent="0.35">
      <c r="A158" s="596"/>
      <c r="B158" s="596"/>
      <c r="C158" s="638" t="str">
        <f>LP!C158</f>
        <v>Current, Patient Auxillary Leakage Current dilaporkan pada tingkat kepercayaan 95 % dengan faktor cakupan k = 2</v>
      </c>
      <c r="D158" s="601"/>
      <c r="E158" s="596"/>
      <c r="F158" s="596"/>
      <c r="G158" s="597"/>
    </row>
    <row r="159" spans="1:13" x14ac:dyDescent="0.35">
      <c r="A159" s="596"/>
      <c r="B159" s="596"/>
      <c r="C159" s="638" t="str">
        <f>LP!C159</f>
        <v>Hasil Kalibrasi Dual Lead Voltage tertelusur ke Satuan Internasional ( SI ) melalui UKAS</v>
      </c>
      <c r="D159" s="601"/>
      <c r="E159" s="596"/>
      <c r="F159" s="596"/>
      <c r="G159" s="597"/>
    </row>
    <row r="160" spans="1:13" x14ac:dyDescent="0.35">
      <c r="A160" s="596"/>
      <c r="B160" s="596"/>
      <c r="C160" s="638" t="str">
        <f>LP!C160</f>
        <v>Hasil Kalibrasi Earth Resistance tertelusur ke Satuan Internasional ( SI ) melalui UKAS</v>
      </c>
      <c r="D160" s="601"/>
      <c r="E160" s="596"/>
      <c r="F160" s="596"/>
      <c r="G160" s="597"/>
    </row>
    <row r="161" spans="1:14" x14ac:dyDescent="0.35">
      <c r="A161" s="601"/>
      <c r="B161" s="601"/>
      <c r="C161" s="638" t="str">
        <f>LP!C161</f>
        <v>Hasil Kalibrasi Enclosure (Chassis) Leakage Current, Patient / Electroda Leakage Current, Dual Lead</v>
      </c>
      <c r="D161" s="601"/>
      <c r="E161" s="626"/>
      <c r="F161" s="626"/>
      <c r="G161" s="597"/>
    </row>
    <row r="162" spans="1:14" x14ac:dyDescent="0.35">
      <c r="A162" s="601"/>
      <c r="B162" s="601"/>
      <c r="C162" s="638" t="str">
        <f>LP!C162</f>
        <v>Leakage Current, Patient Auxillary Leakage Current tertelusur ke Satuan Internasional ( SI ) melalui UKAS</v>
      </c>
      <c r="D162" s="601"/>
      <c r="E162" s="626"/>
      <c r="F162" s="626"/>
      <c r="G162" s="597"/>
    </row>
    <row r="163" spans="1:14" x14ac:dyDescent="0.35">
      <c r="A163" s="601"/>
      <c r="B163" s="601"/>
      <c r="C163" s="638" t="str">
        <f>LP!C163</f>
        <v>Metode Kalibrasi yang digunakan mengacu pada Keputusan Direktur Jenderal Pelayanan Kesehatan</v>
      </c>
      <c r="D163" s="601"/>
      <c r="E163" s="626"/>
      <c r="F163" s="626"/>
      <c r="G163" s="597"/>
    </row>
    <row r="164" spans="1:14" x14ac:dyDescent="0.35">
      <c r="A164" s="601"/>
      <c r="B164" s="601"/>
      <c r="C164" s="638" t="str">
        <f>LP!C164</f>
        <v>Nomor : HK.02.02/V/0412/2020 Nomor MK : 093-19</v>
      </c>
      <c r="D164" s="92"/>
      <c r="E164" s="626"/>
      <c r="F164" s="626"/>
      <c r="G164" s="597"/>
    </row>
    <row r="165" spans="1:14" x14ac:dyDescent="0.35">
      <c r="C165" s="92"/>
      <c r="D165" s="92"/>
      <c r="E165" s="92"/>
      <c r="F165" s="92"/>
      <c r="N165" s="626"/>
    </row>
    <row r="166" spans="1:14" x14ac:dyDescent="0.35">
      <c r="A166" s="596" t="s">
        <v>158</v>
      </c>
      <c r="B166" s="596"/>
      <c r="C166" s="596" t="s">
        <v>159</v>
      </c>
      <c r="D166" s="596"/>
      <c r="E166" s="596"/>
      <c r="F166" s="596"/>
      <c r="N166" s="627"/>
    </row>
    <row r="167" spans="1:14" x14ac:dyDescent="0.35">
      <c r="C167" s="548" t="s">
        <v>160</v>
      </c>
      <c r="D167" s="92"/>
      <c r="E167" s="92"/>
      <c r="F167" s="92"/>
      <c r="N167" s="92"/>
    </row>
    <row r="168" spans="1:14" hidden="1" x14ac:dyDescent="0.35">
      <c r="C168" s="92" t="str">
        <f>LP!C168</f>
        <v>F</v>
      </c>
      <c r="D168" s="92"/>
      <c r="E168" s="92"/>
      <c r="F168" s="92"/>
      <c r="N168" s="92"/>
    </row>
    <row r="169" spans="1:14" x14ac:dyDescent="0.35">
      <c r="C169" s="548" t="str">
        <f>ID!B174</f>
        <v>Precision resistance Box, Merek : Time Electronics, Model : 1067, SN : 2258J20</v>
      </c>
      <c r="D169" s="92"/>
      <c r="E169" s="92"/>
      <c r="F169" s="92"/>
      <c r="G169" s="92"/>
      <c r="H169" s="92"/>
      <c r="I169" s="92"/>
      <c r="J169" s="92"/>
      <c r="N169" s="92"/>
    </row>
    <row r="170" spans="1:14" hidden="1" x14ac:dyDescent="0.35">
      <c r="C170" s="921" t="s">
        <v>45</v>
      </c>
      <c r="D170" s="921"/>
      <c r="E170" s="921"/>
      <c r="F170" s="921"/>
      <c r="G170" s="921"/>
      <c r="H170" s="921"/>
      <c r="I170" s="921"/>
      <c r="J170" s="921"/>
    </row>
    <row r="171" spans="1:14" x14ac:dyDescent="0.35">
      <c r="C171" s="92"/>
      <c r="D171" s="92"/>
      <c r="E171" s="92"/>
      <c r="F171" s="92"/>
    </row>
    <row r="172" spans="1:14" x14ac:dyDescent="0.35">
      <c r="A172" s="628" t="s">
        <v>167</v>
      </c>
      <c r="B172" s="628"/>
      <c r="C172" s="628" t="s">
        <v>168</v>
      </c>
      <c r="D172" s="628"/>
      <c r="E172" s="628"/>
      <c r="F172" s="628"/>
    </row>
    <row r="173" spans="1:14" x14ac:dyDescent="0.35">
      <c r="C173" s="921" t="s">
        <v>238</v>
      </c>
      <c r="D173" s="921"/>
      <c r="E173" s="921"/>
      <c r="F173" s="921"/>
      <c r="G173" s="921"/>
      <c r="H173" s="921"/>
      <c r="I173" s="921"/>
    </row>
    <row r="174" spans="1:14" x14ac:dyDescent="0.35">
      <c r="C174" s="92"/>
      <c r="D174" s="92"/>
      <c r="E174" s="92"/>
      <c r="F174" s="92"/>
    </row>
    <row r="175" spans="1:14" x14ac:dyDescent="0.35">
      <c r="A175" s="628"/>
      <c r="B175" s="628"/>
      <c r="C175" s="629"/>
      <c r="D175" s="629"/>
      <c r="E175" s="630"/>
      <c r="F175" s="922"/>
      <c r="G175" s="922"/>
      <c r="H175" s="922"/>
      <c r="I175" s="922"/>
      <c r="J175" s="604" t="s">
        <v>244</v>
      </c>
      <c r="K175" s="458"/>
    </row>
    <row r="176" spans="1:14" x14ac:dyDescent="0.35">
      <c r="D176" s="453"/>
      <c r="E176" s="453"/>
      <c r="F176" s="453"/>
      <c r="G176" s="459"/>
      <c r="H176" s="459"/>
      <c r="I176" s="577" t="str">
        <f>IF(J182=A192,"a.n","")</f>
        <v/>
      </c>
      <c r="J176" s="604" t="s">
        <v>245</v>
      </c>
      <c r="K176" s="460"/>
    </row>
    <row r="177" spans="1:10" x14ac:dyDescent="0.35">
      <c r="D177" s="631"/>
      <c r="E177" s="631"/>
      <c r="F177" s="631"/>
      <c r="J177" s="604" t="s">
        <v>246</v>
      </c>
    </row>
    <row r="178" spans="1:10" x14ac:dyDescent="0.35">
      <c r="J178" s="604"/>
    </row>
    <row r="179" spans="1:10" x14ac:dyDescent="0.35">
      <c r="J179" s="604"/>
    </row>
    <row r="180" spans="1:10" x14ac:dyDescent="0.35">
      <c r="J180" s="604"/>
    </row>
    <row r="181" spans="1:10" x14ac:dyDescent="0.35">
      <c r="J181" s="612"/>
    </row>
    <row r="182" spans="1:10" x14ac:dyDescent="0.35">
      <c r="J182" s="632" t="s">
        <v>247</v>
      </c>
    </row>
    <row r="183" spans="1:10" x14ac:dyDescent="0.35">
      <c r="J183" s="633" t="str">
        <f>VLOOKUP(J182,A192:C193,2,0)</f>
        <v>NIP 198008062010121001</v>
      </c>
    </row>
    <row r="192" spans="1:10" ht="15.5" x14ac:dyDescent="0.35">
      <c r="A192" s="576" t="s">
        <v>248</v>
      </c>
      <c r="B192" s="634" t="s">
        <v>249</v>
      </c>
    </row>
    <row r="193" spans="1:2" x14ac:dyDescent="0.35">
      <c r="A193" s="632" t="s">
        <v>247</v>
      </c>
      <c r="B193" s="633" t="s">
        <v>250</v>
      </c>
    </row>
  </sheetData>
  <mergeCells count="134">
    <mergeCell ref="R8:T8"/>
    <mergeCell ref="A9:F9"/>
    <mergeCell ref="A10:F10"/>
    <mergeCell ref="A11:F11"/>
    <mergeCell ref="A12:F12"/>
    <mergeCell ref="C15:E15"/>
    <mergeCell ref="A1:K1"/>
    <mergeCell ref="A2:K2"/>
    <mergeCell ref="A5:F5"/>
    <mergeCell ref="A6:F6"/>
    <mergeCell ref="A7:F7"/>
    <mergeCell ref="A8:F8"/>
    <mergeCell ref="C19:E19"/>
    <mergeCell ref="C20:E20"/>
    <mergeCell ref="E24:E26"/>
    <mergeCell ref="G24:H24"/>
    <mergeCell ref="G26:H26"/>
    <mergeCell ref="G27:H27"/>
    <mergeCell ref="G28:H28"/>
    <mergeCell ref="G29:H29"/>
    <mergeCell ref="G30:H30"/>
    <mergeCell ref="G31:H31"/>
    <mergeCell ref="G32:H32"/>
    <mergeCell ref="E36:E38"/>
    <mergeCell ref="G36:H36"/>
    <mergeCell ref="G38:H38"/>
    <mergeCell ref="G39:H39"/>
    <mergeCell ref="G40:H40"/>
    <mergeCell ref="E52:E54"/>
    <mergeCell ref="G52:H52"/>
    <mergeCell ref="G54:H54"/>
    <mergeCell ref="G41:H41"/>
    <mergeCell ref="G42:H42"/>
    <mergeCell ref="G43:H43"/>
    <mergeCell ref="G44:J44"/>
    <mergeCell ref="G45:H45"/>
    <mergeCell ref="G46:H46"/>
    <mergeCell ref="G55:H55"/>
    <mergeCell ref="G56:H56"/>
    <mergeCell ref="G57:H57"/>
    <mergeCell ref="G58:H58"/>
    <mergeCell ref="G59:H59"/>
    <mergeCell ref="G60:H60"/>
    <mergeCell ref="G47:H47"/>
    <mergeCell ref="G48:H48"/>
    <mergeCell ref="G49:H49"/>
    <mergeCell ref="G69:H69"/>
    <mergeCell ref="G70:H70"/>
    <mergeCell ref="G71:H71"/>
    <mergeCell ref="G72:H72"/>
    <mergeCell ref="G73:J73"/>
    <mergeCell ref="G74:H74"/>
    <mergeCell ref="E63:E65"/>
    <mergeCell ref="G63:H63"/>
    <mergeCell ref="G65:H65"/>
    <mergeCell ref="G66:J66"/>
    <mergeCell ref="G67:H67"/>
    <mergeCell ref="G68:H68"/>
    <mergeCell ref="G81:H81"/>
    <mergeCell ref="G82:H82"/>
    <mergeCell ref="G83:H83"/>
    <mergeCell ref="G84:H84"/>
    <mergeCell ref="G85:H85"/>
    <mergeCell ref="G86:H86"/>
    <mergeCell ref="G75:H75"/>
    <mergeCell ref="G76:H76"/>
    <mergeCell ref="G77:H77"/>
    <mergeCell ref="G78:H78"/>
    <mergeCell ref="G79:H79"/>
    <mergeCell ref="G80:J80"/>
    <mergeCell ref="G93:H93"/>
    <mergeCell ref="G94:J94"/>
    <mergeCell ref="G95:H95"/>
    <mergeCell ref="G96:H96"/>
    <mergeCell ref="G97:H97"/>
    <mergeCell ref="G98:H98"/>
    <mergeCell ref="G87:J87"/>
    <mergeCell ref="G88:H88"/>
    <mergeCell ref="G89:H89"/>
    <mergeCell ref="G90:H90"/>
    <mergeCell ref="G91:H91"/>
    <mergeCell ref="G92:H92"/>
    <mergeCell ref="G107:H107"/>
    <mergeCell ref="G108:H108"/>
    <mergeCell ref="G109:H109"/>
    <mergeCell ref="G110:H110"/>
    <mergeCell ref="G111:H111"/>
    <mergeCell ref="E114:E116"/>
    <mergeCell ref="G114:H114"/>
    <mergeCell ref="G116:H116"/>
    <mergeCell ref="G99:H99"/>
    <mergeCell ref="G100:H100"/>
    <mergeCell ref="E103:E105"/>
    <mergeCell ref="G103:H103"/>
    <mergeCell ref="G105:H105"/>
    <mergeCell ref="G106:H106"/>
    <mergeCell ref="G123:H123"/>
    <mergeCell ref="G124:J124"/>
    <mergeCell ref="G125:H125"/>
    <mergeCell ref="G126:H126"/>
    <mergeCell ref="G127:H127"/>
    <mergeCell ref="G128:H128"/>
    <mergeCell ref="G117:J117"/>
    <mergeCell ref="G118:H118"/>
    <mergeCell ref="G119:H119"/>
    <mergeCell ref="G120:H120"/>
    <mergeCell ref="G121:H121"/>
    <mergeCell ref="G122:H122"/>
    <mergeCell ref="G135:H135"/>
    <mergeCell ref="G136:H136"/>
    <mergeCell ref="G137:H137"/>
    <mergeCell ref="G138:J138"/>
    <mergeCell ref="G139:H139"/>
    <mergeCell ref="G140:H140"/>
    <mergeCell ref="G129:H129"/>
    <mergeCell ref="G130:H130"/>
    <mergeCell ref="G131:J131"/>
    <mergeCell ref="G132:H132"/>
    <mergeCell ref="G133:H133"/>
    <mergeCell ref="G134:H134"/>
    <mergeCell ref="C170:J170"/>
    <mergeCell ref="C173:I173"/>
    <mergeCell ref="F175:I175"/>
    <mergeCell ref="G147:H147"/>
    <mergeCell ref="G148:H148"/>
    <mergeCell ref="G149:H149"/>
    <mergeCell ref="G150:H150"/>
    <mergeCell ref="G151:H151"/>
    <mergeCell ref="G141:H141"/>
    <mergeCell ref="G142:H142"/>
    <mergeCell ref="G143:H143"/>
    <mergeCell ref="G144:H144"/>
    <mergeCell ref="G145:J145"/>
    <mergeCell ref="G146:H146"/>
  </mergeCells>
  <dataValidations count="2">
    <dataValidation type="list" allowBlank="1" showInputMessage="1" showErrorMessage="1" sqref="J62:K62 J102:K102 J51:K51 J21:K23 J35:K35 J113:K113" xr:uid="{05B36F16-AC1D-4B3A-A6B5-E778C006704B}">
      <formula1>$O$239:$O$240</formula1>
    </dataValidation>
    <dataValidation type="list" allowBlank="1" showInputMessage="1" showErrorMessage="1" sqref="J182" xr:uid="{032BBEE1-4BE7-4623-8B62-01FF0D40C671}">
      <formula1>$A$192:$A$193</formula1>
    </dataValidation>
  </dataValidations>
  <printOptions horizontalCentered="1"/>
  <pageMargins left="0.45" right="0.39" top="0.5" bottom="0.48" header="0.3" footer="0.2"/>
  <pageSetup paperSize="9" scale="84" orientation="portrait" r:id="rId1"/>
  <headerFooter>
    <oddHeader>&amp;R&amp;8ID.MK.093-19/Rev.0</oddHeader>
    <oddFooter>&amp;C&amp;8Dilarang keras mengutip / memperbanyak dan atau mempublikasikan sebagian isi sertifikat ini tanpa seijin LPFK Banjarbaru
Sertifikat ini sah apabila dibubuhi cap LPFK Banjarbaru dan ditandatangani oleh pejabat yang berwenang</oddFooter>
  </headerFooter>
  <rowBreaks count="3" manualBreakCount="3">
    <brk id="49" max="10" man="1"/>
    <brk id="100" max="10" man="1"/>
    <brk id="152" max="10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BAFBDDA-0E55-4C35-9777-3CD7CA802317}">
          <x14:formula1>
            <xm:f>'Sert Resistor'!$B$62:$B$67</xm:f>
          </x14:formula1>
          <xm:sqref>K169</xm:sqref>
        </x14:dataValidation>
        <x14:dataValidation type="list" allowBlank="1" showInputMessage="1" showErrorMessage="1" xr:uid="{CCBE8DC5-56AA-42B8-B06C-C8C7DE3F877E}">
          <x14:formula1>
            <xm:f>'Sert Thermohygro'!$A$393:$A$412</xm:f>
          </x14:formula1>
          <xm:sqref>C170:K170</xm:sqref>
        </x14:dataValidation>
        <x14:dataValidation type="list" allowBlank="1" showInputMessage="1" showErrorMessage="1" xr:uid="{DC347E8D-114B-4A31-9FB8-9B6C56960CD3}">
          <x14:formula1>
            <xm:f>'Kata-kata'!$B$14:$B$36</xm:f>
          </x14:formula1>
          <xm:sqref>C173:D173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2E87D-0820-41A4-A652-3DD2584C0C58}">
  <dimension ref="A1:AB218"/>
  <sheetViews>
    <sheetView topLeftCell="M162" zoomScale="77" zoomScaleNormal="77" workbookViewId="0">
      <selection activeCell="AB170" sqref="AB170"/>
    </sheetView>
  </sheetViews>
  <sheetFormatPr defaultRowHeight="14.5" x14ac:dyDescent="0.35"/>
  <cols>
    <col min="2" max="2" width="9.1796875" customWidth="1"/>
    <col min="3" max="5" width="13.1796875" customWidth="1"/>
    <col min="6" max="7" width="13.26953125" customWidth="1"/>
    <col min="8" max="14" width="13.54296875" customWidth="1"/>
    <col min="15" max="15" width="10.7265625" customWidth="1"/>
    <col min="16" max="16" width="13.54296875" customWidth="1"/>
    <col min="17" max="28" width="13.1796875" customWidth="1"/>
    <col min="34" max="34" width="10.26953125" customWidth="1"/>
  </cols>
  <sheetData>
    <row r="1" spans="2:24" x14ac:dyDescent="0.35">
      <c r="M1" s="404" t="s">
        <v>71</v>
      </c>
      <c r="N1" s="405">
        <v>1</v>
      </c>
    </row>
    <row r="2" spans="2:24" x14ac:dyDescent="0.35">
      <c r="M2" s="332">
        <v>1</v>
      </c>
      <c r="N2" s="332" t="s">
        <v>82</v>
      </c>
    </row>
    <row r="4" spans="2:24" ht="30" customHeight="1" x14ac:dyDescent="0.35">
      <c r="B4" s="477">
        <v>1</v>
      </c>
      <c r="C4" s="940" t="s">
        <v>160</v>
      </c>
      <c r="D4" s="941"/>
      <c r="E4" s="941"/>
      <c r="F4" s="941"/>
      <c r="G4" s="941"/>
      <c r="H4" s="942"/>
    </row>
    <row r="5" spans="2:24" x14ac:dyDescent="0.35">
      <c r="B5" s="478"/>
      <c r="C5" s="485" t="s">
        <v>251</v>
      </c>
      <c r="D5" s="474"/>
      <c r="E5" s="474"/>
      <c r="F5" s="474"/>
      <c r="G5" s="475" t="s">
        <v>252</v>
      </c>
      <c r="H5" s="475" t="s">
        <v>12</v>
      </c>
      <c r="I5" s="485" t="s">
        <v>251</v>
      </c>
      <c r="J5" s="474"/>
      <c r="K5" s="474"/>
      <c r="L5" s="474"/>
      <c r="M5" s="475" t="s">
        <v>252</v>
      </c>
      <c r="N5" s="475" t="s">
        <v>12</v>
      </c>
      <c r="P5" s="569"/>
      <c r="Q5" s="570" t="s">
        <v>253</v>
      </c>
      <c r="R5" s="570"/>
      <c r="S5" s="570"/>
      <c r="T5" s="570"/>
      <c r="U5" s="570"/>
      <c r="V5" s="570"/>
      <c r="W5" s="570"/>
      <c r="X5" s="570"/>
    </row>
    <row r="6" spans="2:24" x14ac:dyDescent="0.35">
      <c r="B6" s="478"/>
      <c r="C6" s="475" t="s">
        <v>254</v>
      </c>
      <c r="D6" s="475"/>
      <c r="E6" s="475"/>
      <c r="F6" s="475"/>
      <c r="G6" s="475"/>
      <c r="H6" s="475"/>
      <c r="I6" s="502" t="s">
        <v>254</v>
      </c>
      <c r="J6" s="475"/>
      <c r="K6" s="475"/>
      <c r="L6" s="475"/>
      <c r="M6" s="475"/>
      <c r="N6" s="475"/>
      <c r="P6" s="569"/>
      <c r="Q6" s="570" t="s">
        <v>255</v>
      </c>
      <c r="R6" s="570" t="s">
        <v>256</v>
      </c>
      <c r="S6" s="570" t="s">
        <v>257</v>
      </c>
      <c r="T6" s="570" t="s">
        <v>258</v>
      </c>
      <c r="U6" s="570"/>
      <c r="V6" s="570"/>
      <c r="W6" s="570" t="s">
        <v>259</v>
      </c>
      <c r="X6" s="570"/>
    </row>
    <row r="7" spans="2:24" x14ac:dyDescent="0.35">
      <c r="B7" s="478"/>
      <c r="C7" s="480" t="s">
        <v>260</v>
      </c>
      <c r="D7" s="475">
        <v>2019</v>
      </c>
      <c r="E7" s="475">
        <v>2020</v>
      </c>
      <c r="F7" s="475">
        <v>2021</v>
      </c>
      <c r="G7" s="475"/>
      <c r="H7" s="475"/>
      <c r="I7" s="480" t="s">
        <v>128</v>
      </c>
      <c r="J7" s="475">
        <v>2019</v>
      </c>
      <c r="K7" s="475">
        <v>2020</v>
      </c>
      <c r="L7" s="475">
        <v>2021</v>
      </c>
      <c r="M7" s="475"/>
      <c r="N7" s="475"/>
      <c r="P7" s="569"/>
      <c r="Q7" s="570"/>
      <c r="R7" s="570"/>
      <c r="S7" s="570"/>
      <c r="T7" s="570"/>
      <c r="U7" s="570"/>
      <c r="V7" s="570"/>
      <c r="W7" s="570"/>
      <c r="X7" s="570"/>
    </row>
    <row r="8" spans="2:24" x14ac:dyDescent="0.35">
      <c r="B8" s="478"/>
      <c r="C8" s="6">
        <v>0</v>
      </c>
      <c r="D8" s="2" t="s">
        <v>10</v>
      </c>
      <c r="E8" s="2" t="s">
        <v>10</v>
      </c>
      <c r="F8" s="3">
        <v>0</v>
      </c>
      <c r="G8" s="4">
        <f>IF($N$1=1,H8/3,0.5*(MAX(D8:F8)-MIN(D8:F8)))</f>
        <v>0</v>
      </c>
      <c r="H8" s="5">
        <v>0</v>
      </c>
      <c r="I8" s="6">
        <f t="shared" ref="I8:N8" si="0">C8</f>
        <v>0</v>
      </c>
      <c r="J8" s="6" t="str">
        <f t="shared" si="0"/>
        <v>-</v>
      </c>
      <c r="K8" s="6" t="str">
        <f t="shared" si="0"/>
        <v>-</v>
      </c>
      <c r="L8" s="6">
        <f t="shared" si="0"/>
        <v>0</v>
      </c>
      <c r="M8" s="6">
        <f t="shared" si="0"/>
        <v>0</v>
      </c>
      <c r="N8" s="6">
        <f t="shared" si="0"/>
        <v>0</v>
      </c>
      <c r="P8" s="571"/>
      <c r="Q8" s="570"/>
      <c r="R8" s="570"/>
      <c r="S8" s="570"/>
      <c r="T8" s="572"/>
      <c r="U8" s="570"/>
      <c r="V8" s="570"/>
      <c r="W8" s="570"/>
      <c r="X8" s="570"/>
    </row>
    <row r="9" spans="2:24" x14ac:dyDescent="0.35">
      <c r="B9" s="478"/>
      <c r="C9" s="6">
        <v>20</v>
      </c>
      <c r="D9" s="2" t="s">
        <v>10</v>
      </c>
      <c r="E9" s="2" t="s">
        <v>10</v>
      </c>
      <c r="F9" s="9">
        <v>-2.2000000000000001E-3</v>
      </c>
      <c r="G9" s="4">
        <f>IF($N$1=1,H9/3,0.5*(MAX(D9:F9)-MIN(D9:F9)))</f>
        <v>1.5766666666666665E-3</v>
      </c>
      <c r="H9" s="47">
        <v>4.7299999999999998E-3</v>
      </c>
      <c r="I9" s="7">
        <f t="shared" ref="I9:N12" si="1">C14</f>
        <v>1.99</v>
      </c>
      <c r="J9" s="7" t="str">
        <f t="shared" si="1"/>
        <v>-</v>
      </c>
      <c r="K9" s="7" t="str">
        <f t="shared" si="1"/>
        <v>-</v>
      </c>
      <c r="L9" s="504">
        <f t="shared" si="1"/>
        <v>-1.9000000000000001E-4</v>
      </c>
      <c r="M9" s="504">
        <f t="shared" si="1"/>
        <v>3.9666666666666671E-5</v>
      </c>
      <c r="N9" s="505">
        <f t="shared" si="1"/>
        <v>1.1900000000000001E-4</v>
      </c>
      <c r="P9" s="573" t="s">
        <v>127</v>
      </c>
      <c r="Q9" s="570">
        <v>1.99</v>
      </c>
      <c r="R9" s="570">
        <v>1.9898100000000001</v>
      </c>
      <c r="S9" s="570">
        <f t="shared" ref="S9:S12" si="2">R9-Q9</f>
        <v>-1.8999999999991246E-4</v>
      </c>
      <c r="T9" s="572">
        <f>(0.0096/100)+W9</f>
        <v>1.1899999999999999E-4</v>
      </c>
      <c r="U9" s="570">
        <v>23</v>
      </c>
      <c r="V9" s="570" t="s">
        <v>261</v>
      </c>
      <c r="W9" s="570">
        <f>U9/1000000</f>
        <v>2.3E-5</v>
      </c>
      <c r="X9" s="570" t="s">
        <v>127</v>
      </c>
    </row>
    <row r="10" spans="2:24" x14ac:dyDescent="0.35">
      <c r="B10" s="478"/>
      <c r="C10" s="6">
        <v>199</v>
      </c>
      <c r="D10" s="2" t="s">
        <v>10</v>
      </c>
      <c r="E10" s="2" t="s">
        <v>10</v>
      </c>
      <c r="F10" s="9">
        <v>-6.7999999999999996E-3</v>
      </c>
      <c r="G10" s="4">
        <f t="shared" ref="G10" si="3">IF($N$1=1,H10/3,0.5*(MAX(D10:F10)-MIN(D10:F10)))</f>
        <v>1.5766666666666665E-3</v>
      </c>
      <c r="H10" s="49">
        <v>4.7299999999999998E-3</v>
      </c>
      <c r="I10" s="7">
        <f t="shared" si="1"/>
        <v>19.899999999999999</v>
      </c>
      <c r="J10" s="7" t="str">
        <f t="shared" si="1"/>
        <v>-</v>
      </c>
      <c r="K10" s="7" t="str">
        <f t="shared" si="1"/>
        <v>-</v>
      </c>
      <c r="L10" s="503">
        <f t="shared" si="1"/>
        <v>-3.0000000000000001E-3</v>
      </c>
      <c r="M10" s="504">
        <f t="shared" si="1"/>
        <v>1.0866666666666667E-4</v>
      </c>
      <c r="N10" s="505">
        <f t="shared" si="1"/>
        <v>3.2600000000000001E-4</v>
      </c>
      <c r="P10" s="571" t="s">
        <v>127</v>
      </c>
      <c r="Q10" s="570">
        <v>19.899999999999999</v>
      </c>
      <c r="R10" s="570">
        <v>19.896999999999998</v>
      </c>
      <c r="S10" s="570">
        <f t="shared" si="2"/>
        <v>-3.0000000000001137E-3</v>
      </c>
      <c r="T10" s="572">
        <f>(0.0096/100)+W10</f>
        <v>3.2600000000000001E-4</v>
      </c>
      <c r="U10" s="570">
        <v>230</v>
      </c>
      <c r="V10" s="570" t="s">
        <v>261</v>
      </c>
      <c r="W10" s="570">
        <f>U10/1000000</f>
        <v>2.3000000000000001E-4</v>
      </c>
      <c r="X10" s="570" t="s">
        <v>127</v>
      </c>
    </row>
    <row r="11" spans="2:24" x14ac:dyDescent="0.35">
      <c r="B11" s="478"/>
      <c r="C11" s="6"/>
      <c r="D11" s="2"/>
      <c r="E11" s="2"/>
      <c r="F11" s="9"/>
      <c r="G11" s="4"/>
      <c r="H11" s="49"/>
      <c r="I11" s="7">
        <f t="shared" si="1"/>
        <v>199</v>
      </c>
      <c r="J11" s="7" t="str">
        <f t="shared" si="1"/>
        <v>-</v>
      </c>
      <c r="K11" s="7" t="str">
        <f t="shared" si="1"/>
        <v>-</v>
      </c>
      <c r="L11" s="503">
        <f t="shared" si="1"/>
        <v>-4.0000000000000001E-3</v>
      </c>
      <c r="M11" s="504">
        <f t="shared" si="1"/>
        <v>7.9999999999999993E-4</v>
      </c>
      <c r="N11" s="12">
        <f t="shared" si="1"/>
        <v>2.3999999999999998E-3</v>
      </c>
      <c r="P11" s="571" t="s">
        <v>127</v>
      </c>
      <c r="Q11" s="570">
        <v>199</v>
      </c>
      <c r="R11" s="570">
        <v>198.99600000000001</v>
      </c>
      <c r="S11" s="574">
        <f t="shared" si="2"/>
        <v>-3.9999999999906777E-3</v>
      </c>
      <c r="T11" s="575">
        <f>(0.01/100)+W11</f>
        <v>2.3999999999999998E-3</v>
      </c>
      <c r="U11" s="570">
        <v>2.2999999999999998</v>
      </c>
      <c r="V11" s="570" t="s">
        <v>262</v>
      </c>
      <c r="W11" s="570">
        <f>U11/1000</f>
        <v>2.3E-3</v>
      </c>
      <c r="X11" s="570" t="s">
        <v>127</v>
      </c>
    </row>
    <row r="12" spans="2:24" x14ac:dyDescent="0.35">
      <c r="B12" s="478"/>
      <c r="C12" s="6"/>
      <c r="D12" s="2"/>
      <c r="E12" s="2"/>
      <c r="F12" s="8"/>
      <c r="G12" s="4"/>
      <c r="H12" s="5"/>
      <c r="I12" s="7">
        <f t="shared" si="1"/>
        <v>1000</v>
      </c>
      <c r="J12" s="7" t="str">
        <f t="shared" si="1"/>
        <v>-</v>
      </c>
      <c r="K12" s="7" t="str">
        <f t="shared" si="1"/>
        <v>-</v>
      </c>
      <c r="L12" s="503">
        <f t="shared" si="1"/>
        <v>1.2999999999999999E-2</v>
      </c>
      <c r="M12" s="504">
        <f t="shared" si="1"/>
        <v>7.7020000000000005E-3</v>
      </c>
      <c r="N12" s="505">
        <f t="shared" si="1"/>
        <v>2.3106000000000002E-2</v>
      </c>
      <c r="P12" s="570"/>
      <c r="Q12" s="570">
        <v>1000</v>
      </c>
      <c r="R12" s="570">
        <v>1000.013</v>
      </c>
      <c r="S12" s="574">
        <f t="shared" si="2"/>
        <v>1.3000000000033651E-2</v>
      </c>
      <c r="T12" s="572">
        <f>(0.0106/100)+W12</f>
        <v>2.3105999999999998E-2</v>
      </c>
      <c r="U12" s="570">
        <v>23</v>
      </c>
      <c r="V12" s="570" t="s">
        <v>262</v>
      </c>
      <c r="W12" s="570">
        <f>U12/1000</f>
        <v>2.3E-2</v>
      </c>
      <c r="X12" s="570"/>
    </row>
    <row r="13" spans="2:24" x14ac:dyDescent="0.35">
      <c r="B13" s="478"/>
      <c r="C13" s="480" t="s">
        <v>128</v>
      </c>
      <c r="D13" s="475">
        <v>2019</v>
      </c>
      <c r="E13" s="475">
        <v>2020</v>
      </c>
      <c r="F13" s="475">
        <v>2021</v>
      </c>
      <c r="G13" s="4"/>
      <c r="H13" s="5"/>
    </row>
    <row r="14" spans="2:24" x14ac:dyDescent="0.35">
      <c r="B14" s="478"/>
      <c r="C14" s="7">
        <v>1.99</v>
      </c>
      <c r="D14" s="2" t="s">
        <v>10</v>
      </c>
      <c r="E14" s="2" t="s">
        <v>10</v>
      </c>
      <c r="F14" s="10">
        <v>-1.9000000000000001E-4</v>
      </c>
      <c r="G14" s="4">
        <f t="shared" ref="G14:G17" si="4">IF($N$1=1,H14/3,0.5*(MAX(D14:F14)-MIN(D14:F14)))</f>
        <v>3.9666666666666671E-5</v>
      </c>
      <c r="H14" s="5">
        <v>1.1900000000000001E-4</v>
      </c>
      <c r="J14" s="78">
        <f>0.0096/100</f>
        <v>9.5999999999999989E-5</v>
      </c>
      <c r="K14" s="78">
        <v>2.3E-5</v>
      </c>
      <c r="L14" s="78">
        <f>J14+K14</f>
        <v>1.1899999999999999E-4</v>
      </c>
      <c r="M14" s="78"/>
    </row>
    <row r="15" spans="2:24" x14ac:dyDescent="0.35">
      <c r="B15" s="478"/>
      <c r="C15" s="1">
        <v>19.899999999999999</v>
      </c>
      <c r="D15" s="2" t="s">
        <v>10</v>
      </c>
      <c r="E15" s="2" t="s">
        <v>10</v>
      </c>
      <c r="F15" s="8">
        <v>-3.0000000000000001E-3</v>
      </c>
      <c r="G15" s="4">
        <f t="shared" si="4"/>
        <v>1.0866666666666667E-4</v>
      </c>
      <c r="H15" s="5">
        <v>3.2600000000000001E-4</v>
      </c>
      <c r="J15" s="78"/>
      <c r="K15" s="78">
        <v>2.3000000000000001E-4</v>
      </c>
      <c r="L15" s="78">
        <f>J14+K15</f>
        <v>3.2600000000000001E-4</v>
      </c>
      <c r="M15" s="78"/>
    </row>
    <row r="16" spans="2:24" x14ac:dyDescent="0.35">
      <c r="B16" s="478"/>
      <c r="C16" s="6">
        <v>199</v>
      </c>
      <c r="D16" s="2" t="s">
        <v>10</v>
      </c>
      <c r="E16" s="2" t="s">
        <v>10</v>
      </c>
      <c r="F16" s="8">
        <v>-4.0000000000000001E-3</v>
      </c>
      <c r="G16" s="4">
        <f t="shared" si="4"/>
        <v>7.9999999999999993E-4</v>
      </c>
      <c r="H16" s="50">
        <v>2.3999999999999998E-3</v>
      </c>
      <c r="J16" s="78">
        <f>0.01/100</f>
        <v>1E-4</v>
      </c>
      <c r="K16" s="78">
        <v>2.3E-3</v>
      </c>
      <c r="L16" s="78">
        <f>J16+K16</f>
        <v>2.3999999999999998E-3</v>
      </c>
      <c r="M16" s="78"/>
    </row>
    <row r="17" spans="2:22" x14ac:dyDescent="0.35">
      <c r="B17" s="478"/>
      <c r="C17" s="6">
        <v>1000</v>
      </c>
      <c r="D17" s="2" t="s">
        <v>10</v>
      </c>
      <c r="E17" s="2" t="s">
        <v>10</v>
      </c>
      <c r="F17" s="8">
        <v>1.2999999999999999E-2</v>
      </c>
      <c r="G17" s="4">
        <f t="shared" si="4"/>
        <v>7.7020000000000005E-3</v>
      </c>
      <c r="H17" s="5">
        <v>2.3106000000000002E-2</v>
      </c>
      <c r="J17" s="78">
        <f>0.0106/100</f>
        <v>1.06E-4</v>
      </c>
      <c r="K17" s="78">
        <v>2.3E-2</v>
      </c>
      <c r="L17" s="78">
        <f>J17+K17</f>
        <v>2.3105999999999998E-2</v>
      </c>
      <c r="M17" s="78"/>
    </row>
    <row r="18" spans="2:22" x14ac:dyDescent="0.35">
      <c r="B18" s="478"/>
      <c r="C18" s="6"/>
      <c r="D18" s="2"/>
      <c r="E18" s="2"/>
      <c r="F18" s="8"/>
      <c r="G18" s="4"/>
      <c r="H18" s="5"/>
      <c r="J18" s="78"/>
      <c r="K18" s="78"/>
      <c r="L18" s="78"/>
      <c r="M18" s="78"/>
    </row>
    <row r="19" spans="2:22" x14ac:dyDescent="0.35">
      <c r="B19" s="478"/>
      <c r="C19" s="485" t="s">
        <v>263</v>
      </c>
      <c r="D19" s="474"/>
      <c r="E19" s="474"/>
      <c r="F19" s="474"/>
      <c r="G19" s="475" t="s">
        <v>252</v>
      </c>
      <c r="H19" s="475" t="s">
        <v>12</v>
      </c>
      <c r="J19" s="78"/>
      <c r="K19" s="78"/>
      <c r="L19" s="78"/>
      <c r="M19" s="78"/>
    </row>
    <row r="20" spans="2:22" x14ac:dyDescent="0.35">
      <c r="B20" s="478"/>
      <c r="C20" s="475" t="s">
        <v>264</v>
      </c>
      <c r="D20" s="475"/>
      <c r="E20" s="475"/>
      <c r="F20" s="475"/>
      <c r="G20" s="475"/>
      <c r="H20" s="475"/>
      <c r="J20" s="78"/>
      <c r="K20" s="78"/>
      <c r="L20" s="78"/>
      <c r="M20" s="78"/>
    </row>
    <row r="21" spans="2:22" x14ac:dyDescent="0.35">
      <c r="B21" s="478"/>
      <c r="C21" s="480" t="s">
        <v>260</v>
      </c>
      <c r="D21" s="475">
        <v>2019</v>
      </c>
      <c r="E21" s="475">
        <v>2020</v>
      </c>
      <c r="F21" s="475">
        <v>2021</v>
      </c>
      <c r="G21" s="475"/>
      <c r="H21" s="475"/>
      <c r="J21" s="78"/>
      <c r="K21" s="78"/>
      <c r="L21" s="78"/>
      <c r="M21" s="78"/>
    </row>
    <row r="22" spans="2:22" x14ac:dyDescent="0.35">
      <c r="B22" s="478"/>
      <c r="C22" s="51"/>
      <c r="D22" s="52"/>
      <c r="E22" s="52"/>
      <c r="F22" s="52"/>
      <c r="G22" s="52"/>
      <c r="H22" s="52"/>
      <c r="J22" s="78"/>
      <c r="K22" s="78"/>
      <c r="L22" s="78"/>
      <c r="M22" s="78"/>
    </row>
    <row r="23" spans="2:22" x14ac:dyDescent="0.35">
      <c r="B23" s="478"/>
      <c r="C23" s="51">
        <v>-19000</v>
      </c>
      <c r="D23" s="2" t="s">
        <v>10</v>
      </c>
      <c r="E23" s="2" t="s">
        <v>10</v>
      </c>
      <c r="F23" s="52">
        <v>-6.9999999999999994E-5</v>
      </c>
      <c r="G23" s="4">
        <f t="shared" ref="G23:G35" si="5">IF($N$1=1,H23/3,0.5*(MAX(D23:F23)-MIN(D23:F23)))</f>
        <v>2.9666666666666665E-6</v>
      </c>
      <c r="H23" s="52">
        <v>8.8999999999999995E-6</v>
      </c>
      <c r="J23" s="78"/>
      <c r="K23" s="78"/>
      <c r="L23" s="78"/>
      <c r="M23" s="78">
        <f>-19.00007--19</f>
        <v>-7.0000000000902673E-5</v>
      </c>
    </row>
    <row r="24" spans="2:22" x14ac:dyDescent="0.35">
      <c r="B24" s="478"/>
      <c r="C24" s="51">
        <v>-2210</v>
      </c>
      <c r="D24" s="2" t="s">
        <v>10</v>
      </c>
      <c r="E24" s="2" t="s">
        <v>10</v>
      </c>
      <c r="F24" s="52">
        <v>-9.9999999999999995E-7</v>
      </c>
      <c r="G24" s="4">
        <f t="shared" si="5"/>
        <v>2.9666666666666665E-6</v>
      </c>
      <c r="H24" s="52">
        <v>8.8999999999999995E-6</v>
      </c>
      <c r="J24" s="78"/>
      <c r="K24" s="78">
        <v>4.7999999999999998E-6</v>
      </c>
      <c r="L24" s="78">
        <f>J25+K24</f>
        <v>8.8999999999999995E-6</v>
      </c>
      <c r="M24" s="357">
        <f>2.209999-2.21</f>
        <v>-1.000000000139778E-6</v>
      </c>
    </row>
    <row r="25" spans="2:22" x14ac:dyDescent="0.35">
      <c r="B25" s="478"/>
      <c r="C25" s="6">
        <v>-221</v>
      </c>
      <c r="D25" s="2" t="s">
        <v>10</v>
      </c>
      <c r="E25" s="2" t="s">
        <v>10</v>
      </c>
      <c r="F25" s="9">
        <v>2.2000000000000001E-3</v>
      </c>
      <c r="G25" s="4">
        <f t="shared" si="5"/>
        <v>4.0133333333333335E-4</v>
      </c>
      <c r="H25" s="5">
        <v>1.204E-3</v>
      </c>
      <c r="J25" s="78">
        <f>4.1/1000000</f>
        <v>4.0999999999999997E-6</v>
      </c>
      <c r="K25" s="78">
        <v>1.1999999999999999E-3</v>
      </c>
      <c r="L25" s="78">
        <f>J25+K25</f>
        <v>1.2040999999999998E-3</v>
      </c>
      <c r="M25" s="78">
        <f>(-220.9978)-(-221)</f>
        <v>2.1999999999877673E-3</v>
      </c>
      <c r="R25" s="21"/>
      <c r="S25" s="21"/>
    </row>
    <row r="26" spans="2:22" x14ac:dyDescent="0.35">
      <c r="B26" s="478"/>
      <c r="C26" s="6">
        <v>-199</v>
      </c>
      <c r="D26" s="2" t="s">
        <v>10</v>
      </c>
      <c r="E26" s="2" t="s">
        <v>10</v>
      </c>
      <c r="F26" s="9">
        <v>-5.3E-3</v>
      </c>
      <c r="G26" s="4">
        <f t="shared" si="5"/>
        <v>5.353333333333333E-4</v>
      </c>
      <c r="H26" s="5">
        <v>1.606E-3</v>
      </c>
      <c r="J26" s="78">
        <v>5.8000000000000004E-6</v>
      </c>
      <c r="K26" s="78">
        <f>1.6/1000</f>
        <v>1.6000000000000001E-3</v>
      </c>
      <c r="L26" s="78">
        <f>J26+K26</f>
        <v>1.6058000000000001E-3</v>
      </c>
      <c r="M26" s="78">
        <f>-199.0053-(-199)</f>
        <v>-5.3000000000054115E-3</v>
      </c>
      <c r="R26" s="21"/>
      <c r="S26" s="21"/>
    </row>
    <row r="27" spans="2:22" x14ac:dyDescent="0.35">
      <c r="B27" s="478"/>
      <c r="C27" s="1">
        <v>-22.1</v>
      </c>
      <c r="D27" s="2" t="s">
        <v>10</v>
      </c>
      <c r="E27" s="2" t="s">
        <v>10</v>
      </c>
      <c r="F27" s="9">
        <v>-5.9999999999999995E-4</v>
      </c>
      <c r="G27" s="4">
        <f t="shared" si="5"/>
        <v>5.353333333333333E-4</v>
      </c>
      <c r="H27" s="47">
        <v>1.606E-3</v>
      </c>
      <c r="J27" s="78"/>
      <c r="K27" s="78"/>
      <c r="L27" s="78"/>
      <c r="M27" s="78">
        <f>-22.1006--22.1</f>
        <v>-5.9999999999860165E-4</v>
      </c>
    </row>
    <row r="28" spans="2:22" x14ac:dyDescent="0.35">
      <c r="B28" s="478"/>
      <c r="C28" s="6">
        <v>-20</v>
      </c>
      <c r="D28" s="2" t="s">
        <v>10</v>
      </c>
      <c r="E28" s="2" t="s">
        <v>10</v>
      </c>
      <c r="F28" s="10">
        <v>-6.0999999999999997E-4</v>
      </c>
      <c r="G28" s="4">
        <f t="shared" si="5"/>
        <v>5.353333333333333E-4</v>
      </c>
      <c r="H28" s="5">
        <v>1.606E-3</v>
      </c>
      <c r="J28" s="78"/>
      <c r="K28" s="78"/>
      <c r="L28" s="78"/>
      <c r="M28" s="78">
        <f>-20.00061--20</f>
        <v>-6.1000000000177579E-4</v>
      </c>
    </row>
    <row r="29" spans="2:22" x14ac:dyDescent="0.35">
      <c r="B29" s="478"/>
      <c r="C29" s="6">
        <v>-2</v>
      </c>
      <c r="D29" s="2" t="s">
        <v>10</v>
      </c>
      <c r="E29" s="2" t="s">
        <v>10</v>
      </c>
      <c r="F29" s="10">
        <v>-1.2999999999999999E-4</v>
      </c>
      <c r="G29" s="4">
        <f t="shared" si="5"/>
        <v>5.353333333333333E-4</v>
      </c>
      <c r="H29" s="5">
        <v>1.606E-3</v>
      </c>
      <c r="J29" s="78"/>
      <c r="K29" s="78"/>
      <c r="L29" s="78"/>
      <c r="M29" s="78">
        <f>-2.00013--2</f>
        <v>-1.2999999999996348E-4</v>
      </c>
      <c r="Q29" s="402"/>
      <c r="R29" s="402"/>
      <c r="S29" s="402"/>
      <c r="T29" s="402"/>
      <c r="U29" s="402"/>
      <c r="V29" s="402"/>
    </row>
    <row r="30" spans="2:22" x14ac:dyDescent="0.35">
      <c r="B30" s="478"/>
      <c r="C30" s="6">
        <v>0</v>
      </c>
      <c r="D30" s="2" t="s">
        <v>10</v>
      </c>
      <c r="E30" s="2" t="s">
        <v>10</v>
      </c>
      <c r="F30" s="10">
        <v>-1.6000000000000001E-4</v>
      </c>
      <c r="G30" s="4">
        <f t="shared" si="5"/>
        <v>5.353333333333333E-4</v>
      </c>
      <c r="H30" s="5">
        <v>1.606E-3</v>
      </c>
      <c r="J30" s="78"/>
      <c r="K30" s="78"/>
      <c r="L30" s="78"/>
      <c r="M30" s="78">
        <f>-0.16-0</f>
        <v>-0.16</v>
      </c>
      <c r="Q30" s="494"/>
      <c r="R30" s="495"/>
      <c r="S30" s="495"/>
      <c r="T30" s="496"/>
      <c r="U30" s="497"/>
      <c r="V30" s="498"/>
    </row>
    <row r="31" spans="2:22" x14ac:dyDescent="0.35">
      <c r="B31" s="478"/>
      <c r="C31" s="6">
        <v>2</v>
      </c>
      <c r="D31" s="2"/>
      <c r="E31" s="2"/>
      <c r="F31" s="9">
        <v>-6.9999999999999994E-5</v>
      </c>
      <c r="G31" s="4">
        <f t="shared" si="5"/>
        <v>5.353333333333333E-4</v>
      </c>
      <c r="H31" s="5">
        <v>1.606E-3</v>
      </c>
      <c r="J31" s="78"/>
      <c r="K31" s="78"/>
      <c r="L31" s="78"/>
      <c r="M31" s="78">
        <f>1.99993-2</f>
        <v>-7.0000000000014495E-5</v>
      </c>
      <c r="Q31" s="499"/>
      <c r="R31" s="495"/>
      <c r="S31" s="495"/>
      <c r="T31" s="500"/>
      <c r="U31" s="497"/>
      <c r="V31" s="501"/>
    </row>
    <row r="32" spans="2:22" x14ac:dyDescent="0.35">
      <c r="B32" s="478"/>
      <c r="C32" s="6">
        <v>20</v>
      </c>
      <c r="D32" s="2"/>
      <c r="E32" s="2"/>
      <c r="F32" s="10">
        <v>6.8000000000000005E-4</v>
      </c>
      <c r="G32" s="4">
        <f t="shared" si="5"/>
        <v>5.353333333333333E-4</v>
      </c>
      <c r="H32" s="5">
        <v>1.606E-3</v>
      </c>
      <c r="J32" s="78"/>
      <c r="K32" s="78"/>
      <c r="L32" s="78">
        <f>20.00068-20</f>
        <v>6.7999999999912575E-4</v>
      </c>
      <c r="M32" s="78"/>
      <c r="Q32" s="494"/>
      <c r="R32" s="495"/>
      <c r="S32" s="495"/>
      <c r="T32" s="496"/>
      <c r="U32" s="497"/>
      <c r="V32" s="501"/>
    </row>
    <row r="33" spans="2:22" x14ac:dyDescent="0.35">
      <c r="B33" s="478"/>
      <c r="C33" s="1">
        <v>22.1</v>
      </c>
      <c r="D33" s="2"/>
      <c r="E33" s="2"/>
      <c r="F33" s="10">
        <v>9.5E-4</v>
      </c>
      <c r="G33" s="4">
        <f t="shared" si="5"/>
        <v>5.353333333333333E-4</v>
      </c>
      <c r="H33" s="5">
        <v>1.606E-3</v>
      </c>
      <c r="J33" s="78"/>
      <c r="K33" s="78"/>
      <c r="L33" s="78">
        <f>22.10095-22.1</f>
        <v>9.4999999999956231E-4</v>
      </c>
      <c r="M33" s="78"/>
      <c r="Q33" s="402"/>
      <c r="R33" s="402"/>
      <c r="S33" s="402"/>
      <c r="T33" s="402"/>
      <c r="U33" s="402"/>
      <c r="V33" s="402"/>
    </row>
    <row r="34" spans="2:22" x14ac:dyDescent="0.35">
      <c r="B34" s="478"/>
      <c r="C34" s="6">
        <v>199</v>
      </c>
      <c r="D34" s="2"/>
      <c r="E34" s="2"/>
      <c r="F34" s="9">
        <v>7.6E-3</v>
      </c>
      <c r="G34" s="4">
        <f t="shared" si="5"/>
        <v>5.353333333333333E-4</v>
      </c>
      <c r="H34" s="5">
        <v>1.606E-3</v>
      </c>
      <c r="J34" s="78"/>
      <c r="K34" s="78"/>
      <c r="L34" s="78">
        <f>199.0076-199</f>
        <v>7.5999999999964984E-3</v>
      </c>
      <c r="M34" s="78"/>
    </row>
    <row r="35" spans="2:22" x14ac:dyDescent="0.35">
      <c r="B35" s="478"/>
      <c r="C35" s="6">
        <v>221</v>
      </c>
      <c r="D35" s="2"/>
      <c r="E35" s="2"/>
      <c r="F35" s="9">
        <v>4.7000000000000002E-3</v>
      </c>
      <c r="G35" s="4">
        <f t="shared" si="5"/>
        <v>4.0133333333333335E-4</v>
      </c>
      <c r="H35" s="5">
        <v>1.204E-3</v>
      </c>
      <c r="J35" s="78"/>
      <c r="K35" s="78"/>
      <c r="L35" s="78">
        <f>221.0047-221</f>
        <v>4.7000000000139153E-3</v>
      </c>
      <c r="M35" s="78"/>
    </row>
    <row r="36" spans="2:22" x14ac:dyDescent="0.35">
      <c r="B36" s="478"/>
      <c r="C36" s="6"/>
      <c r="D36" s="2"/>
      <c r="E36" s="2"/>
      <c r="F36" s="9"/>
      <c r="G36" s="4"/>
      <c r="H36" s="49"/>
      <c r="J36" s="78"/>
      <c r="K36" s="78"/>
      <c r="L36" s="78"/>
      <c r="M36" s="78"/>
    </row>
    <row r="37" spans="2:22" x14ac:dyDescent="0.35">
      <c r="B37" s="478"/>
      <c r="C37" s="6"/>
      <c r="D37" s="2"/>
      <c r="E37" s="2"/>
      <c r="F37" s="9"/>
      <c r="G37" s="4"/>
      <c r="H37" s="49"/>
      <c r="J37" s="78"/>
      <c r="K37" s="78"/>
      <c r="L37" s="78"/>
      <c r="M37" s="78"/>
    </row>
    <row r="38" spans="2:22" x14ac:dyDescent="0.35">
      <c r="B38" s="478"/>
      <c r="C38" s="480" t="s">
        <v>128</v>
      </c>
      <c r="D38" s="475">
        <v>2019</v>
      </c>
      <c r="E38" s="475">
        <v>2020</v>
      </c>
      <c r="F38" s="475">
        <v>2021</v>
      </c>
      <c r="G38" s="4"/>
      <c r="H38" s="5"/>
      <c r="J38" s="78"/>
      <c r="K38" s="78"/>
      <c r="L38" s="78"/>
      <c r="M38" s="78"/>
    </row>
    <row r="39" spans="2:22" x14ac:dyDescent="0.35">
      <c r="B39" s="478"/>
      <c r="C39" s="7">
        <v>1.99</v>
      </c>
      <c r="D39" s="2" t="s">
        <v>10</v>
      </c>
      <c r="E39" s="2" t="s">
        <v>10</v>
      </c>
      <c r="F39" s="13">
        <v>1.7E-5</v>
      </c>
      <c r="G39" s="4">
        <f t="shared" ref="G39:G44" si="6">IF($N$1=1,H39/3,0.5*(MAX(D39:F39)-MIN(D39:F39)))</f>
        <v>1.7666666666666668E-6</v>
      </c>
      <c r="H39" s="48">
        <v>5.3000000000000001E-6</v>
      </c>
      <c r="J39" s="78">
        <f>4.1/1000000</f>
        <v>4.0999999999999997E-6</v>
      </c>
      <c r="K39" s="78">
        <v>1.1999999999999999E-6</v>
      </c>
      <c r="L39" s="78">
        <f t="shared" ref="L39:L44" si="7">J39+K39</f>
        <v>5.3000000000000001E-6</v>
      </c>
      <c r="M39" s="78"/>
    </row>
    <row r="40" spans="2:22" x14ac:dyDescent="0.35">
      <c r="B40" s="478"/>
      <c r="C40" s="6">
        <v>19</v>
      </c>
      <c r="D40" s="2" t="s">
        <v>10</v>
      </c>
      <c r="E40" s="2" t="s">
        <v>10</v>
      </c>
      <c r="F40" s="10">
        <v>8.0000000000000007E-5</v>
      </c>
      <c r="G40" s="4">
        <f>IF($N$1=1,H40/3,0.5*(MAX(D40:F40)-MIN(D40:F40)))</f>
        <v>2.9666666666666665E-6</v>
      </c>
      <c r="H40" s="48">
        <v>8.8999999999999995E-6</v>
      </c>
      <c r="J40" s="78">
        <f t="shared" ref="J40:J44" si="8">4.1/1000000</f>
        <v>4.0999999999999997E-6</v>
      </c>
      <c r="K40" s="78">
        <v>4.7999999999999998E-6</v>
      </c>
      <c r="L40" s="78">
        <f t="shared" si="7"/>
        <v>8.8999999999999995E-6</v>
      </c>
      <c r="M40" s="78"/>
    </row>
    <row r="41" spans="2:22" x14ac:dyDescent="0.35">
      <c r="B41" s="478"/>
      <c r="C41" s="1">
        <v>22.1</v>
      </c>
      <c r="D41" s="2" t="s">
        <v>10</v>
      </c>
      <c r="E41" s="2" t="s">
        <v>10</v>
      </c>
      <c r="F41" s="10">
        <v>6.8000000000000005E-4</v>
      </c>
      <c r="G41" s="4">
        <f t="shared" si="6"/>
        <v>1.7333333333333332E-5</v>
      </c>
      <c r="H41" s="5">
        <v>5.1999999999999997E-5</v>
      </c>
      <c r="J41" s="78">
        <f>5.8/1000000</f>
        <v>5.7999999999999995E-6</v>
      </c>
      <c r="K41" s="78">
        <v>4.6199999999999998E-5</v>
      </c>
      <c r="L41" s="78">
        <f t="shared" si="7"/>
        <v>5.1999999999999997E-5</v>
      </c>
      <c r="M41" s="78"/>
    </row>
    <row r="42" spans="2:22" x14ac:dyDescent="0.35">
      <c r="B42" s="478"/>
      <c r="C42" s="6">
        <v>199</v>
      </c>
      <c r="D42" s="2" t="s">
        <v>10</v>
      </c>
      <c r="E42" s="2" t="s">
        <v>10</v>
      </c>
      <c r="F42" s="9">
        <v>-1.1000000000000001E-3</v>
      </c>
      <c r="G42" s="4">
        <f t="shared" si="6"/>
        <v>1.7333333333333332E-5</v>
      </c>
      <c r="H42" s="5">
        <v>5.1999999999999997E-5</v>
      </c>
      <c r="J42" s="78">
        <f>5.8/1000000</f>
        <v>5.7999999999999995E-6</v>
      </c>
      <c r="K42" s="78">
        <v>4.6199999999999998E-5</v>
      </c>
      <c r="L42" s="78">
        <f t="shared" si="7"/>
        <v>5.1999999999999997E-5</v>
      </c>
      <c r="M42" s="78"/>
    </row>
    <row r="43" spans="2:22" x14ac:dyDescent="0.35">
      <c r="B43" s="478"/>
      <c r="C43" s="6">
        <v>221</v>
      </c>
      <c r="D43" s="2" t="s">
        <v>10</v>
      </c>
      <c r="E43" s="2" t="s">
        <v>10</v>
      </c>
      <c r="F43" s="9">
        <v>-1.2999999999999999E-3</v>
      </c>
      <c r="G43" s="4">
        <f t="shared" si="6"/>
        <v>4.6600000000000003E-6</v>
      </c>
      <c r="H43" s="53">
        <v>1.398E-5</v>
      </c>
      <c r="J43" s="78">
        <f>13.4/1000000</f>
        <v>1.34E-5</v>
      </c>
      <c r="K43" s="78">
        <v>5.7999999999999995E-7</v>
      </c>
      <c r="L43" s="78">
        <f t="shared" si="7"/>
        <v>1.398E-5</v>
      </c>
      <c r="M43" s="78"/>
    </row>
    <row r="44" spans="2:22" x14ac:dyDescent="0.35">
      <c r="B44" s="478"/>
      <c r="C44" s="6">
        <v>1000</v>
      </c>
      <c r="D44" s="2" t="s">
        <v>10</v>
      </c>
      <c r="E44" s="2" t="s">
        <v>10</v>
      </c>
      <c r="F44" s="9">
        <v>-2.1600000000000001E-2</v>
      </c>
      <c r="G44" s="4">
        <f t="shared" si="6"/>
        <v>4.6600000000000003E-6</v>
      </c>
      <c r="H44" s="53">
        <v>1.398E-5</v>
      </c>
      <c r="J44" s="78">
        <f t="shared" si="8"/>
        <v>4.0999999999999997E-6</v>
      </c>
      <c r="K44" s="78">
        <v>1.1999999999999999E-6</v>
      </c>
      <c r="L44" s="78">
        <f t="shared" si="7"/>
        <v>5.3000000000000001E-6</v>
      </c>
      <c r="M44" s="78"/>
    </row>
    <row r="45" spans="2:22" x14ac:dyDescent="0.35">
      <c r="B45" s="478"/>
      <c r="C45" s="6"/>
      <c r="D45" s="2"/>
      <c r="E45" s="2"/>
      <c r="F45" s="8"/>
      <c r="G45" s="4"/>
      <c r="H45" s="5"/>
      <c r="J45" s="78"/>
      <c r="K45" s="78"/>
      <c r="L45" s="78"/>
      <c r="M45" s="78"/>
    </row>
    <row r="46" spans="2:22" x14ac:dyDescent="0.35">
      <c r="B46" s="478"/>
      <c r="C46" s="7"/>
      <c r="D46" s="2"/>
      <c r="E46" s="2"/>
      <c r="F46" s="3"/>
      <c r="G46" s="4"/>
      <c r="H46" s="5"/>
      <c r="J46" s="78"/>
      <c r="K46" s="78"/>
      <c r="L46" s="78"/>
      <c r="M46" s="78"/>
    </row>
    <row r="47" spans="2:22" x14ac:dyDescent="0.35">
      <c r="B47" s="478"/>
      <c r="C47" s="486" t="s">
        <v>265</v>
      </c>
      <c r="D47" s="480"/>
      <c r="E47" s="480"/>
      <c r="F47" s="480"/>
      <c r="G47" s="475" t="s">
        <v>252</v>
      </c>
      <c r="H47" s="475" t="s">
        <v>12</v>
      </c>
      <c r="J47" s="78"/>
      <c r="K47" s="78"/>
      <c r="L47" s="78"/>
      <c r="M47" s="78"/>
    </row>
    <row r="48" spans="2:22" ht="15" customHeight="1" x14ac:dyDescent="0.35">
      <c r="B48" s="478"/>
      <c r="C48" s="475" t="s">
        <v>68</v>
      </c>
      <c r="D48" s="475"/>
      <c r="E48" s="475"/>
      <c r="F48" s="475"/>
      <c r="G48" s="475"/>
      <c r="H48" s="475"/>
      <c r="J48" s="78"/>
      <c r="K48" s="78"/>
      <c r="L48" s="78"/>
      <c r="M48" s="78"/>
    </row>
    <row r="49" spans="2:13" x14ac:dyDescent="0.35">
      <c r="B49" s="478"/>
      <c r="C49" s="480" t="s">
        <v>266</v>
      </c>
      <c r="D49" s="475">
        <v>2019</v>
      </c>
      <c r="E49" s="475">
        <v>2020</v>
      </c>
      <c r="F49" s="475">
        <v>2021</v>
      </c>
      <c r="G49" s="475"/>
      <c r="H49" s="475"/>
      <c r="J49" s="78"/>
      <c r="K49" s="78"/>
      <c r="L49" s="78"/>
      <c r="M49" s="78"/>
    </row>
    <row r="50" spans="2:13" x14ac:dyDescent="0.35">
      <c r="B50" s="478"/>
      <c r="C50" s="347">
        <v>0</v>
      </c>
      <c r="D50" s="348">
        <v>0</v>
      </c>
      <c r="E50" s="348">
        <v>0</v>
      </c>
      <c r="F50" s="348">
        <v>0</v>
      </c>
      <c r="G50" s="4">
        <f t="shared" ref="G50:G59" si="9">IF($N$1=1,H50/3,0.5*(MAX(D50:F50)-MIN(D50:F50)))</f>
        <v>0</v>
      </c>
      <c r="H50" s="348">
        <v>0</v>
      </c>
      <c r="J50" s="78"/>
      <c r="K50" s="78"/>
      <c r="L50" s="78"/>
      <c r="M50" s="78"/>
    </row>
    <row r="51" spans="2:13" x14ac:dyDescent="0.35">
      <c r="B51" s="478"/>
      <c r="C51" s="12">
        <v>1</v>
      </c>
      <c r="D51" s="2" t="s">
        <v>10</v>
      </c>
      <c r="E51" s="2" t="s">
        <v>10</v>
      </c>
      <c r="F51" s="9">
        <v>2.2000000000000001E-3</v>
      </c>
      <c r="G51" s="4">
        <f t="shared" si="9"/>
        <v>5.8666666666666667E-6</v>
      </c>
      <c r="H51" s="5">
        <v>1.7600000000000001E-5</v>
      </c>
      <c r="J51" s="78"/>
      <c r="K51" s="78">
        <f>13/1000000</f>
        <v>1.2999999999999999E-5</v>
      </c>
      <c r="L51" s="78">
        <f>0.0046/1000</f>
        <v>4.6E-6</v>
      </c>
      <c r="M51" s="78">
        <f>K51+L51</f>
        <v>1.7600000000000001E-5</v>
      </c>
    </row>
    <row r="52" spans="2:13" x14ac:dyDescent="0.35">
      <c r="B52" s="478"/>
      <c r="C52" s="12">
        <v>10</v>
      </c>
      <c r="D52" s="2" t="s">
        <v>10</v>
      </c>
      <c r="E52" s="2" t="s">
        <v>10</v>
      </c>
      <c r="F52" s="9">
        <v>4.1999999999999997E-3</v>
      </c>
      <c r="G52" s="4">
        <f t="shared" si="9"/>
        <v>8.6666666666666661E-6</v>
      </c>
      <c r="H52" s="5">
        <v>2.5999999999999998E-5</v>
      </c>
      <c r="J52" s="78"/>
      <c r="K52" s="78">
        <f>9/1000000</f>
        <v>9.0000000000000002E-6</v>
      </c>
      <c r="L52" s="78">
        <f>0.017/1000</f>
        <v>1.7E-5</v>
      </c>
      <c r="M52" s="78">
        <f>K52+L52</f>
        <v>2.6000000000000002E-5</v>
      </c>
    </row>
    <row r="53" spans="2:13" x14ac:dyDescent="0.35">
      <c r="B53" s="478"/>
      <c r="C53" s="12">
        <v>19</v>
      </c>
      <c r="D53" s="2" t="s">
        <v>10</v>
      </c>
      <c r="E53" s="2" t="s">
        <v>10</v>
      </c>
      <c r="F53" s="9">
        <v>2.3E-3</v>
      </c>
      <c r="G53" s="4">
        <f t="shared" si="9"/>
        <v>8.6666666666666661E-6</v>
      </c>
      <c r="H53" s="5">
        <v>2.5999999999999998E-5</v>
      </c>
      <c r="J53" s="78"/>
      <c r="K53" s="78"/>
      <c r="L53" s="78"/>
      <c r="M53" s="78"/>
    </row>
    <row r="54" spans="2:13" x14ac:dyDescent="0.35">
      <c r="B54" s="478"/>
      <c r="C54" s="12">
        <v>20</v>
      </c>
      <c r="D54" s="2" t="s">
        <v>10</v>
      </c>
      <c r="E54" s="2" t="s">
        <v>10</v>
      </c>
      <c r="F54" s="9">
        <v>3.7000000000000002E-3</v>
      </c>
      <c r="G54" s="4">
        <f t="shared" si="9"/>
        <v>2.3666666666666668E-5</v>
      </c>
      <c r="H54" s="5">
        <v>7.1000000000000005E-5</v>
      </c>
      <c r="J54" s="78"/>
      <c r="K54" s="78">
        <f>9/1000000</f>
        <v>9.0000000000000002E-6</v>
      </c>
      <c r="L54" s="78">
        <f>0.062/1000</f>
        <v>6.2000000000000003E-5</v>
      </c>
      <c r="M54" s="78">
        <f>K54+L54</f>
        <v>7.1000000000000005E-5</v>
      </c>
    </row>
    <row r="55" spans="2:13" x14ac:dyDescent="0.35">
      <c r="B55" s="478"/>
      <c r="C55" s="12">
        <v>50</v>
      </c>
      <c r="D55" s="2" t="s">
        <v>10</v>
      </c>
      <c r="E55" s="2" t="s">
        <v>10</v>
      </c>
      <c r="F55" s="9">
        <v>2.3999999999999998E-3</v>
      </c>
      <c r="G55" s="4">
        <f t="shared" si="9"/>
        <v>2.3666666666666668E-5</v>
      </c>
      <c r="H55" s="5">
        <v>7.1000000000000005E-5</v>
      </c>
      <c r="J55" s="78"/>
      <c r="K55" s="78"/>
      <c r="L55" s="78"/>
      <c r="M55" s="78"/>
    </row>
    <row r="56" spans="2:13" x14ac:dyDescent="0.35">
      <c r="B56" s="478"/>
      <c r="C56" s="12">
        <v>90</v>
      </c>
      <c r="D56" s="2" t="s">
        <v>10</v>
      </c>
      <c r="E56" s="2" t="s">
        <v>10</v>
      </c>
      <c r="F56" s="9">
        <v>8.9999999999999998E-4</v>
      </c>
      <c r="G56" s="4">
        <f t="shared" si="9"/>
        <v>2.3666666666666668E-5</v>
      </c>
      <c r="H56" s="5">
        <v>7.1000000000000005E-5</v>
      </c>
      <c r="J56" s="78"/>
      <c r="K56" s="78"/>
      <c r="L56" s="78"/>
      <c r="M56" s="78"/>
    </row>
    <row r="57" spans="2:13" x14ac:dyDescent="0.35">
      <c r="B57" s="478"/>
      <c r="C57" s="12">
        <v>110</v>
      </c>
      <c r="D57" s="2" t="s">
        <v>10</v>
      </c>
      <c r="E57" s="2" t="s">
        <v>10</v>
      </c>
      <c r="F57" s="9">
        <v>2.3999999999999998E-3</v>
      </c>
      <c r="G57" s="4">
        <f t="shared" si="9"/>
        <v>2.3666666666666668E-5</v>
      </c>
      <c r="H57" s="5">
        <v>7.1000000000000005E-5</v>
      </c>
      <c r="J57" s="78"/>
      <c r="K57" s="78"/>
      <c r="L57" s="78"/>
      <c r="M57" s="78"/>
    </row>
    <row r="58" spans="2:13" x14ac:dyDescent="0.35">
      <c r="B58" s="478"/>
      <c r="C58" s="12">
        <v>500</v>
      </c>
      <c r="D58" s="2" t="s">
        <v>10</v>
      </c>
      <c r="E58" s="2" t="s">
        <v>10</v>
      </c>
      <c r="F58" s="8">
        <v>-1.0999999999999999E-2</v>
      </c>
      <c r="G58" s="4">
        <f t="shared" si="9"/>
        <v>2.0966666666666668E-4</v>
      </c>
      <c r="H58" s="5">
        <v>6.29E-4</v>
      </c>
      <c r="J58" s="78"/>
      <c r="K58" s="78">
        <f>9/1000000</f>
        <v>9.0000000000000002E-6</v>
      </c>
      <c r="L58" s="78">
        <f>0.62/1000</f>
        <v>6.2E-4</v>
      </c>
      <c r="M58" s="78">
        <f>K58+L58</f>
        <v>6.29E-4</v>
      </c>
    </row>
    <row r="59" spans="2:13" x14ac:dyDescent="0.35">
      <c r="B59" s="478"/>
      <c r="C59" s="12">
        <v>900</v>
      </c>
      <c r="D59" s="2" t="s">
        <v>10</v>
      </c>
      <c r="E59" s="2" t="s">
        <v>10</v>
      </c>
      <c r="F59" s="8">
        <v>-4.7E-2</v>
      </c>
      <c r="G59" s="4">
        <f t="shared" si="9"/>
        <v>2.0966666666666668E-4</v>
      </c>
      <c r="H59" s="5">
        <v>6.29E-4</v>
      </c>
      <c r="J59" s="78"/>
      <c r="K59" s="78"/>
      <c r="L59" s="78"/>
      <c r="M59" s="78"/>
    </row>
    <row r="60" spans="2:13" x14ac:dyDescent="0.35">
      <c r="B60" s="478"/>
      <c r="C60" s="12"/>
      <c r="D60" s="2"/>
      <c r="E60" s="2"/>
      <c r="F60" s="8"/>
      <c r="G60" s="4"/>
      <c r="H60" s="5"/>
      <c r="J60" s="78"/>
      <c r="K60" s="78"/>
      <c r="L60" s="78"/>
      <c r="M60" s="78"/>
    </row>
    <row r="61" spans="2:13" x14ac:dyDescent="0.35">
      <c r="B61" s="478"/>
      <c r="C61" s="480" t="s">
        <v>267</v>
      </c>
      <c r="D61" s="475">
        <v>2019</v>
      </c>
      <c r="E61" s="475">
        <v>2020</v>
      </c>
      <c r="F61" s="475">
        <v>2021</v>
      </c>
      <c r="G61" s="4"/>
      <c r="H61" s="11"/>
      <c r="J61" s="78"/>
      <c r="K61" s="78"/>
      <c r="L61" s="78"/>
      <c r="M61" s="78"/>
    </row>
    <row r="62" spans="2:13" x14ac:dyDescent="0.35">
      <c r="B62" s="478"/>
      <c r="C62" s="51">
        <v>1.1000000000000001</v>
      </c>
      <c r="D62" s="2" t="s">
        <v>10</v>
      </c>
      <c r="E62" s="2" t="s">
        <v>10</v>
      </c>
      <c r="F62" s="52">
        <v>1.2E-4</v>
      </c>
      <c r="G62" s="4">
        <f t="shared" ref="G62:G70" si="10">IF($N$1=1,H62/3,0.5*(MAX(D62:F62)-MIN(D62:F62)))</f>
        <v>3.2066666666666663E-6</v>
      </c>
      <c r="H62" s="53">
        <v>9.6199999999999994E-6</v>
      </c>
      <c r="J62" s="78">
        <f>1.10012-1.1</f>
        <v>1.1999999999989797E-4</v>
      </c>
      <c r="K62" s="78">
        <f>9/1000000</f>
        <v>9.0000000000000002E-6</v>
      </c>
      <c r="L62" s="78">
        <f>0.62/1000000</f>
        <v>6.1999999999999999E-7</v>
      </c>
      <c r="M62" s="78">
        <f>K62+L62</f>
        <v>9.6199999999999994E-6</v>
      </c>
    </row>
    <row r="63" spans="2:13" x14ac:dyDescent="0.35">
      <c r="B63" s="478"/>
      <c r="C63" s="51">
        <v>5</v>
      </c>
      <c r="D63" s="2" t="s">
        <v>10</v>
      </c>
      <c r="E63" s="2" t="s">
        <v>10</v>
      </c>
      <c r="F63" s="52">
        <v>-2.1000000000000001E-4</v>
      </c>
      <c r="G63" s="4">
        <f t="shared" si="10"/>
        <v>5.0666666666666667E-6</v>
      </c>
      <c r="H63" s="48">
        <v>1.52E-5</v>
      </c>
      <c r="J63" s="78">
        <f>4.99979-5</f>
        <v>-2.1000000000004349E-4</v>
      </c>
      <c r="K63" s="78">
        <f>9/1000000</f>
        <v>9.0000000000000002E-6</v>
      </c>
      <c r="L63" s="78">
        <f>6.2/1000000</f>
        <v>6.1999999999999999E-6</v>
      </c>
      <c r="M63" s="78">
        <f>K63+L63</f>
        <v>1.52E-5</v>
      </c>
    </row>
    <row r="64" spans="2:13" x14ac:dyDescent="0.35">
      <c r="B64" s="478"/>
      <c r="C64" s="51">
        <v>9</v>
      </c>
      <c r="D64" s="2" t="s">
        <v>10</v>
      </c>
      <c r="E64" s="2" t="s">
        <v>10</v>
      </c>
      <c r="F64" s="52">
        <v>-5.5999999999999995E-4</v>
      </c>
      <c r="G64" s="4">
        <f t="shared" si="10"/>
        <v>5.0666666666666667E-6</v>
      </c>
      <c r="H64" s="48">
        <v>1.52E-5</v>
      </c>
      <c r="J64" s="78">
        <f>8.99944-9</f>
        <v>-5.6000000000011596E-4</v>
      </c>
      <c r="K64" s="78"/>
      <c r="L64" s="78"/>
      <c r="M64" s="78"/>
    </row>
    <row r="65" spans="2:13" x14ac:dyDescent="0.35">
      <c r="B65" s="478"/>
      <c r="C65" s="51">
        <v>10.1</v>
      </c>
      <c r="D65" s="2" t="s">
        <v>10</v>
      </c>
      <c r="E65" s="2" t="s">
        <v>10</v>
      </c>
      <c r="F65" s="56">
        <v>1.3999999999999999E-4</v>
      </c>
      <c r="G65" s="4">
        <f t="shared" si="10"/>
        <v>7.6666666666666672E-6</v>
      </c>
      <c r="H65" s="5">
        <v>2.3E-5</v>
      </c>
      <c r="J65" s="358"/>
      <c r="K65" s="78">
        <f>8/1000000</f>
        <v>7.9999999999999996E-6</v>
      </c>
      <c r="L65" s="78">
        <f>15/1000000</f>
        <v>1.5E-5</v>
      </c>
      <c r="M65" s="78">
        <f>K65+L65</f>
        <v>2.3E-5</v>
      </c>
    </row>
    <row r="66" spans="2:13" x14ac:dyDescent="0.35">
      <c r="B66" s="478"/>
      <c r="C66" s="51">
        <v>50</v>
      </c>
      <c r="D66" s="2" t="s">
        <v>10</v>
      </c>
      <c r="E66" s="2" t="s">
        <v>10</v>
      </c>
      <c r="F66" s="52">
        <v>8.9999999999999998E-4</v>
      </c>
      <c r="G66" s="4">
        <f t="shared" si="10"/>
        <v>5.2666666666666662E-5</v>
      </c>
      <c r="H66" s="5">
        <v>1.5799999999999999E-4</v>
      </c>
      <c r="J66" s="78"/>
      <c r="K66" s="78">
        <f>8/1000000</f>
        <v>7.9999999999999996E-6</v>
      </c>
      <c r="L66" s="78">
        <f>150/1000000</f>
        <v>1.4999999999999999E-4</v>
      </c>
      <c r="M66" s="78">
        <f>K66+L66</f>
        <v>1.5799999999999999E-4</v>
      </c>
    </row>
    <row r="67" spans="2:13" x14ac:dyDescent="0.35">
      <c r="B67" s="478"/>
      <c r="C67" s="51">
        <v>90</v>
      </c>
      <c r="D67" s="2" t="s">
        <v>10</v>
      </c>
      <c r="E67" s="2" t="s">
        <v>10</v>
      </c>
      <c r="F67" s="52">
        <v>8.9999999999999998E-4</v>
      </c>
      <c r="G67" s="4">
        <f t="shared" si="10"/>
        <v>5.2666666666666662E-5</v>
      </c>
      <c r="H67" s="5">
        <v>1.5799999999999999E-4</v>
      </c>
      <c r="J67" s="78"/>
      <c r="K67" s="78"/>
      <c r="L67" s="78"/>
      <c r="M67" s="78"/>
    </row>
    <row r="68" spans="2:13" x14ac:dyDescent="0.35">
      <c r="B68" s="478"/>
      <c r="C68" s="51">
        <v>110</v>
      </c>
      <c r="D68" s="2" t="s">
        <v>10</v>
      </c>
      <c r="E68" s="2" t="s">
        <v>10</v>
      </c>
      <c r="F68" s="52">
        <v>1.1999999999999999E-3</v>
      </c>
      <c r="G68" s="4">
        <f t="shared" si="10"/>
        <v>5.2666666666666662E-5</v>
      </c>
      <c r="H68" s="5">
        <v>1.5799999999999999E-4</v>
      </c>
      <c r="J68" s="78"/>
      <c r="K68" s="78"/>
      <c r="L68" s="78"/>
      <c r="M68" s="78"/>
    </row>
    <row r="69" spans="2:13" x14ac:dyDescent="0.35">
      <c r="B69" s="478"/>
      <c r="C69" s="51">
        <v>500</v>
      </c>
      <c r="D69" s="2" t="s">
        <v>10</v>
      </c>
      <c r="E69" s="2" t="s">
        <v>10</v>
      </c>
      <c r="F69" s="52">
        <v>4.0000000000000001E-3</v>
      </c>
      <c r="G69" s="4">
        <f t="shared" si="10"/>
        <v>3.6666666666666666E-6</v>
      </c>
      <c r="H69" s="5">
        <v>1.1E-5</v>
      </c>
      <c r="J69" s="78"/>
      <c r="K69" s="78">
        <f>9/1000000</f>
        <v>9.0000000000000002E-6</v>
      </c>
      <c r="L69" s="78">
        <f>2/1000000</f>
        <v>1.9999999999999999E-6</v>
      </c>
      <c r="M69" s="78">
        <f>K69+L69</f>
        <v>1.1E-5</v>
      </c>
    </row>
    <row r="70" spans="2:13" x14ac:dyDescent="0.35">
      <c r="B70" s="478"/>
      <c r="C70" s="6">
        <v>900</v>
      </c>
      <c r="D70" s="2" t="s">
        <v>10</v>
      </c>
      <c r="E70" s="2" t="s">
        <v>10</v>
      </c>
      <c r="F70" s="55">
        <v>8.0000000000000002E-3</v>
      </c>
      <c r="G70" s="4">
        <f t="shared" si="10"/>
        <v>3.6666666666666666E-6</v>
      </c>
      <c r="H70" s="5">
        <v>1.1E-5</v>
      </c>
      <c r="J70" s="78"/>
      <c r="K70" s="78"/>
      <c r="L70" s="78"/>
      <c r="M70" s="78"/>
    </row>
    <row r="71" spans="2:13" x14ac:dyDescent="0.35">
      <c r="B71" s="478"/>
      <c r="C71" s="6"/>
      <c r="D71" s="2"/>
      <c r="E71" s="2"/>
      <c r="F71" s="55"/>
      <c r="G71" s="4"/>
      <c r="H71" s="5"/>
      <c r="J71" s="78"/>
      <c r="K71" s="78"/>
      <c r="L71" s="78"/>
      <c r="M71" s="78"/>
    </row>
    <row r="72" spans="2:13" x14ac:dyDescent="0.35">
      <c r="B72" s="478"/>
      <c r="C72" s="480" t="s">
        <v>268</v>
      </c>
      <c r="D72" s="475">
        <v>2019</v>
      </c>
      <c r="E72" s="475">
        <v>2020</v>
      </c>
      <c r="F72" s="475">
        <v>2021</v>
      </c>
      <c r="G72" s="4"/>
      <c r="H72" s="11"/>
      <c r="J72" s="78"/>
      <c r="K72" s="78"/>
      <c r="L72" s="78"/>
      <c r="M72" s="78"/>
    </row>
    <row r="73" spans="2:13" x14ac:dyDescent="0.35">
      <c r="B73" s="478"/>
      <c r="C73" s="51">
        <v>1.1000000000000001</v>
      </c>
      <c r="D73" s="2" t="s">
        <v>10</v>
      </c>
      <c r="E73" s="2" t="s">
        <v>10</v>
      </c>
      <c r="F73" s="52">
        <v>-2.0000000000000002E-5</v>
      </c>
      <c r="G73" s="4">
        <f t="shared" ref="G73:G79" si="11">IF($N$1=1,H73/3,0.5*(MAX(D73:F73)-MIN(D73:F73)))</f>
        <v>3.6666666666666666E-6</v>
      </c>
      <c r="H73" s="5">
        <v>1.1E-5</v>
      </c>
      <c r="J73" s="78"/>
      <c r="K73" s="78"/>
      <c r="L73" s="78"/>
      <c r="M73" s="78"/>
    </row>
    <row r="74" spans="2:13" x14ac:dyDescent="0.35">
      <c r="B74" s="478"/>
      <c r="C74" s="51">
        <v>5</v>
      </c>
      <c r="D74" s="2" t="s">
        <v>10</v>
      </c>
      <c r="E74" s="2" t="s">
        <v>10</v>
      </c>
      <c r="F74" s="52">
        <v>-1E-4</v>
      </c>
      <c r="G74" s="4">
        <f t="shared" si="11"/>
        <v>7.6666666666666669E-5</v>
      </c>
      <c r="H74" s="49">
        <v>2.3000000000000001E-4</v>
      </c>
      <c r="J74" s="78"/>
      <c r="K74" s="78">
        <f>120/1000000</f>
        <v>1.2E-4</v>
      </c>
      <c r="L74" s="78">
        <f>110/1000000</f>
        <v>1.1E-4</v>
      </c>
      <c r="M74" s="78">
        <f>K74+L74</f>
        <v>2.3000000000000001E-4</v>
      </c>
    </row>
    <row r="75" spans="2:13" x14ac:dyDescent="0.35">
      <c r="B75" s="478"/>
      <c r="C75" s="51">
        <v>9</v>
      </c>
      <c r="D75" s="2" t="s">
        <v>10</v>
      </c>
      <c r="E75" s="2" t="s">
        <v>10</v>
      </c>
      <c r="F75" s="52">
        <v>-4.0000000000000002E-4</v>
      </c>
      <c r="G75" s="4">
        <f t="shared" si="11"/>
        <v>7.6666666666666669E-5</v>
      </c>
      <c r="H75" s="49">
        <v>2.3000000000000001E-4</v>
      </c>
      <c r="J75" s="78"/>
      <c r="K75" s="78"/>
      <c r="L75" s="78"/>
      <c r="M75" s="78"/>
    </row>
    <row r="76" spans="2:13" x14ac:dyDescent="0.35">
      <c r="B76" s="478"/>
      <c r="C76" s="51">
        <v>10</v>
      </c>
      <c r="D76" s="2" t="s">
        <v>10</v>
      </c>
      <c r="E76" s="2" t="s">
        <v>10</v>
      </c>
      <c r="F76" s="52">
        <v>-4.0000000000000002E-4</v>
      </c>
      <c r="G76" s="4">
        <f t="shared" si="11"/>
        <v>7.6666666666666669E-5</v>
      </c>
      <c r="H76" s="49">
        <v>2.3000000000000001E-4</v>
      </c>
      <c r="J76" s="78"/>
      <c r="K76" s="78"/>
      <c r="L76" s="78"/>
      <c r="M76" s="78"/>
    </row>
    <row r="77" spans="2:13" x14ac:dyDescent="0.35">
      <c r="B77" s="478"/>
      <c r="C77" s="51">
        <v>50</v>
      </c>
      <c r="D77" s="2" t="s">
        <v>10</v>
      </c>
      <c r="E77" s="2" t="s">
        <v>10</v>
      </c>
      <c r="F77" s="52">
        <v>-2.8999999999999998E-3</v>
      </c>
      <c r="G77" s="4">
        <f t="shared" si="11"/>
        <v>3.4066666666666668E-3</v>
      </c>
      <c r="H77" s="49">
        <v>1.022E-2</v>
      </c>
      <c r="J77" s="78"/>
      <c r="K77" s="78">
        <f>120/1000000</f>
        <v>1.2E-4</v>
      </c>
      <c r="L77" s="78">
        <f>10.1/1000</f>
        <v>1.01E-2</v>
      </c>
      <c r="M77" s="78">
        <f>K77+L77</f>
        <v>1.022E-2</v>
      </c>
    </row>
    <row r="78" spans="2:13" x14ac:dyDescent="0.35">
      <c r="B78" s="478"/>
      <c r="C78" s="51">
        <v>90</v>
      </c>
      <c r="D78" s="2" t="s">
        <v>10</v>
      </c>
      <c r="E78" s="2" t="s">
        <v>10</v>
      </c>
      <c r="F78" s="52">
        <v>-8.9999999999999993E-3</v>
      </c>
      <c r="G78" s="4">
        <f t="shared" si="11"/>
        <v>3.4066666666666668E-3</v>
      </c>
      <c r="H78" s="49">
        <v>1.022E-2</v>
      </c>
      <c r="J78" s="78"/>
      <c r="K78" s="78"/>
      <c r="L78" s="78"/>
      <c r="M78" s="78"/>
    </row>
    <row r="79" spans="2:13" x14ac:dyDescent="0.35">
      <c r="B79" s="478"/>
      <c r="C79" s="51">
        <v>120</v>
      </c>
      <c r="D79" s="2" t="s">
        <v>10</v>
      </c>
      <c r="E79" s="2" t="s">
        <v>10</v>
      </c>
      <c r="F79" s="52">
        <v>-1.06E-2</v>
      </c>
      <c r="G79" s="4">
        <f t="shared" si="11"/>
        <v>3.4066666666666668E-3</v>
      </c>
      <c r="H79" s="49">
        <v>1.022E-2</v>
      </c>
      <c r="J79" s="78"/>
      <c r="K79" s="78"/>
      <c r="L79" s="78"/>
      <c r="M79" s="78"/>
    </row>
    <row r="80" spans="2:13" x14ac:dyDescent="0.35">
      <c r="B80" s="478"/>
      <c r="C80" s="12"/>
      <c r="D80" s="54"/>
      <c r="E80" s="54"/>
      <c r="F80" s="55"/>
      <c r="G80" s="4"/>
      <c r="H80" s="11"/>
      <c r="J80" s="78"/>
      <c r="K80" s="78"/>
      <c r="L80" s="78"/>
      <c r="M80" s="78"/>
    </row>
    <row r="81" spans="2:13" x14ac:dyDescent="0.35">
      <c r="B81" s="478"/>
      <c r="C81" s="485" t="s">
        <v>269</v>
      </c>
      <c r="D81" s="474"/>
      <c r="E81" s="474"/>
      <c r="F81" s="474"/>
      <c r="G81" s="475" t="s">
        <v>252</v>
      </c>
      <c r="H81" s="475" t="s">
        <v>12</v>
      </c>
      <c r="J81" s="78"/>
      <c r="K81" s="78"/>
      <c r="L81" s="78"/>
      <c r="M81" s="78"/>
    </row>
    <row r="82" spans="2:13" x14ac:dyDescent="0.35">
      <c r="B82" s="478"/>
      <c r="C82" s="475" t="s">
        <v>270</v>
      </c>
      <c r="D82" s="475"/>
      <c r="E82" s="475"/>
      <c r="F82" s="475"/>
      <c r="G82" s="475"/>
      <c r="H82" s="475"/>
      <c r="J82" s="78"/>
      <c r="K82" s="78"/>
      <c r="L82" s="78"/>
      <c r="M82" s="78"/>
    </row>
    <row r="83" spans="2:13" x14ac:dyDescent="0.35">
      <c r="B83" s="478"/>
      <c r="C83" s="480" t="s">
        <v>237</v>
      </c>
      <c r="D83" s="475">
        <v>2019</v>
      </c>
      <c r="E83" s="475">
        <v>2020</v>
      </c>
      <c r="F83" s="475">
        <v>2021</v>
      </c>
      <c r="G83" s="475"/>
      <c r="H83" s="475"/>
      <c r="J83" s="78"/>
      <c r="K83" s="78"/>
      <c r="L83" s="78"/>
      <c r="M83" s="78"/>
    </row>
    <row r="84" spans="2:13" x14ac:dyDescent="0.35">
      <c r="B84" s="478"/>
      <c r="C84" s="58">
        <v>0</v>
      </c>
      <c r="D84" s="59" t="s">
        <v>10</v>
      </c>
      <c r="E84" s="59" t="s">
        <v>10</v>
      </c>
      <c r="F84" s="60">
        <v>-1.97E-3</v>
      </c>
      <c r="G84" s="4">
        <f t="shared" ref="G84:G86" si="12">IF($N$1=1,H84/3,0.5*(MAX(D84:F84)-MIN(D84:F84)))</f>
        <v>0</v>
      </c>
      <c r="H84" s="61">
        <v>0</v>
      </c>
      <c r="J84" s="78"/>
      <c r="K84" s="78"/>
      <c r="L84" s="78"/>
      <c r="M84" s="78"/>
    </row>
    <row r="85" spans="2:13" x14ac:dyDescent="0.35">
      <c r="B85" s="478"/>
      <c r="C85" s="6">
        <v>20</v>
      </c>
      <c r="D85" s="2" t="s">
        <v>10</v>
      </c>
      <c r="E85" s="2" t="s">
        <v>10</v>
      </c>
      <c r="F85" s="10">
        <v>-2.0600000000000002E-3</v>
      </c>
      <c r="G85" s="4">
        <f t="shared" si="12"/>
        <v>1.6666666666666667E-5</v>
      </c>
      <c r="H85" s="49">
        <v>5.0000000000000002E-5</v>
      </c>
      <c r="J85" s="78"/>
      <c r="K85" s="78"/>
      <c r="L85" s="78"/>
      <c r="M85" s="78"/>
    </row>
    <row r="86" spans="2:13" x14ac:dyDescent="0.35">
      <c r="B86" s="478"/>
      <c r="C86" s="6">
        <v>199</v>
      </c>
      <c r="D86" s="2" t="s">
        <v>10</v>
      </c>
      <c r="E86" s="2" t="s">
        <v>10</v>
      </c>
      <c r="F86" s="10">
        <v>-2.0600000000000002E-3</v>
      </c>
      <c r="G86" s="4">
        <f t="shared" si="12"/>
        <v>1.6666666666666667E-5</v>
      </c>
      <c r="H86" s="49">
        <v>5.0000000000000002E-5</v>
      </c>
      <c r="J86" s="78">
        <f>189.996-190</f>
        <v>-3.9999999999906777E-3</v>
      </c>
      <c r="K86" s="78"/>
      <c r="L86" s="78"/>
      <c r="M86" s="78"/>
    </row>
    <row r="87" spans="2:13" x14ac:dyDescent="0.35">
      <c r="B87" s="478"/>
      <c r="C87" s="6"/>
      <c r="D87" s="2"/>
      <c r="E87" s="2"/>
      <c r="F87" s="10"/>
      <c r="G87" s="4"/>
      <c r="H87" s="49"/>
      <c r="J87" s="78"/>
      <c r="K87" s="78"/>
      <c r="L87" s="78"/>
      <c r="M87" s="78"/>
    </row>
    <row r="88" spans="2:13" x14ac:dyDescent="0.35">
      <c r="B88" s="478"/>
      <c r="C88" s="480" t="s">
        <v>271</v>
      </c>
      <c r="D88" s="475">
        <v>2019</v>
      </c>
      <c r="E88" s="475">
        <v>2020</v>
      </c>
      <c r="F88" s="475">
        <v>2021</v>
      </c>
      <c r="G88" s="4"/>
      <c r="H88" s="5"/>
      <c r="J88" s="78"/>
      <c r="K88" s="78"/>
      <c r="L88" s="78"/>
      <c r="M88" s="78"/>
    </row>
    <row r="89" spans="2:13" x14ac:dyDescent="0.35">
      <c r="B89" s="478"/>
      <c r="C89" s="7">
        <v>0.221</v>
      </c>
      <c r="D89" s="2" t="s">
        <v>10</v>
      </c>
      <c r="E89" s="2" t="s">
        <v>10</v>
      </c>
      <c r="F89" s="57">
        <v>-1.43E-5</v>
      </c>
      <c r="G89" s="4">
        <f t="shared" ref="G89:G93" si="13">IF($N$1=1,H89/3,0.5*(MAX(D89:F89)-MIN(D89:F89)))</f>
        <v>1.6666666666666667E-5</v>
      </c>
      <c r="H89" s="49">
        <v>5.0000000000000002E-5</v>
      </c>
      <c r="J89" s="78"/>
      <c r="K89" s="78"/>
      <c r="L89" s="78"/>
      <c r="M89" s="78"/>
    </row>
    <row r="90" spans="2:13" x14ac:dyDescent="0.35">
      <c r="B90" s="478"/>
      <c r="C90" s="7">
        <v>1.99</v>
      </c>
      <c r="D90" s="2" t="s">
        <v>10</v>
      </c>
      <c r="E90" s="2" t="s">
        <v>10</v>
      </c>
      <c r="F90" s="13">
        <v>-1.4E-5</v>
      </c>
      <c r="G90" s="4">
        <f t="shared" si="13"/>
        <v>1.6666666666666667E-5</v>
      </c>
      <c r="H90" s="49">
        <v>5.0000000000000002E-5</v>
      </c>
      <c r="J90" s="78">
        <f>1.99002-1.99</f>
        <v>1.9999999999908979E-5</v>
      </c>
      <c r="K90" s="78"/>
      <c r="L90" s="78"/>
      <c r="M90" s="78"/>
    </row>
    <row r="91" spans="2:13" x14ac:dyDescent="0.35">
      <c r="B91" s="478"/>
      <c r="C91" s="7">
        <v>2.21</v>
      </c>
      <c r="D91" s="2" t="s">
        <v>10</v>
      </c>
      <c r="E91" s="2" t="s">
        <v>10</v>
      </c>
      <c r="F91" s="13">
        <v>-2.03E-4</v>
      </c>
      <c r="G91" s="4">
        <f t="shared" si="13"/>
        <v>1.6666666666666667E-5</v>
      </c>
      <c r="H91" s="49">
        <v>5.0000000000000002E-5</v>
      </c>
      <c r="J91" s="78"/>
      <c r="K91" s="78"/>
      <c r="L91" s="78"/>
      <c r="M91" s="78"/>
    </row>
    <row r="92" spans="2:13" x14ac:dyDescent="0.35">
      <c r="B92" s="478"/>
      <c r="C92" s="1">
        <v>19.899999999999999</v>
      </c>
      <c r="D92" s="2" t="s">
        <v>10</v>
      </c>
      <c r="E92" s="2" t="s">
        <v>10</v>
      </c>
      <c r="F92" s="9">
        <v>-2.0000000000000001E-4</v>
      </c>
      <c r="G92" s="4">
        <f t="shared" si="13"/>
        <v>1.6666666666666667E-5</v>
      </c>
      <c r="H92" s="49">
        <v>5.0000000000000002E-5</v>
      </c>
      <c r="J92" s="78"/>
      <c r="K92" s="78"/>
      <c r="L92" s="78"/>
      <c r="M92" s="78"/>
    </row>
    <row r="93" spans="2:13" x14ac:dyDescent="0.35">
      <c r="B93" s="478"/>
      <c r="C93" s="6">
        <v>199</v>
      </c>
      <c r="D93" s="2" t="s">
        <v>10</v>
      </c>
      <c r="E93" s="2" t="s">
        <v>10</v>
      </c>
      <c r="F93" s="9">
        <v>-3.8999999999999998E-3</v>
      </c>
      <c r="G93" s="4">
        <f t="shared" si="13"/>
        <v>1.6666666666666667E-5</v>
      </c>
      <c r="H93" s="49">
        <v>5.0000000000000002E-5</v>
      </c>
      <c r="J93" s="78">
        <f>198.9929-199</f>
        <v>-7.1000000000083219E-3</v>
      </c>
      <c r="K93" s="78"/>
      <c r="L93" s="78"/>
      <c r="M93" s="78"/>
    </row>
    <row r="94" spans="2:13" x14ac:dyDescent="0.35">
      <c r="B94" s="478"/>
      <c r="C94" s="6"/>
      <c r="D94" s="2"/>
      <c r="E94" s="2"/>
      <c r="F94" s="9"/>
      <c r="G94" s="4"/>
      <c r="H94" s="5"/>
      <c r="J94" s="78"/>
      <c r="K94" s="78"/>
      <c r="L94" s="78"/>
      <c r="M94" s="78"/>
    </row>
    <row r="95" spans="2:13" x14ac:dyDescent="0.35">
      <c r="B95" s="478"/>
      <c r="C95" s="480" t="s">
        <v>272</v>
      </c>
      <c r="D95" s="475">
        <v>2019</v>
      </c>
      <c r="E95" s="475">
        <v>2020</v>
      </c>
      <c r="F95" s="475">
        <v>2021</v>
      </c>
      <c r="G95" s="4"/>
      <c r="H95" s="5"/>
      <c r="J95" s="78"/>
      <c r="K95" s="78"/>
      <c r="L95" s="78"/>
      <c r="M95" s="78"/>
    </row>
    <row r="96" spans="2:13" x14ac:dyDescent="0.35">
      <c r="B96" s="478"/>
      <c r="C96" s="6">
        <v>221</v>
      </c>
      <c r="D96" s="2" t="s">
        <v>10</v>
      </c>
      <c r="E96" s="2" t="s">
        <v>10</v>
      </c>
      <c r="F96" s="57">
        <v>1.9700000000000001E-5</v>
      </c>
      <c r="G96" s="4">
        <f t="shared" ref="G96:G99" si="14">IF($N$1=1,H96/3,0.5*(MAX(D96:F96)-MIN(D96:F96)))</f>
        <v>3.3333333333333335E-5</v>
      </c>
      <c r="H96" s="50">
        <v>1E-4</v>
      </c>
      <c r="J96" s="78">
        <f>0.220957-0.221</f>
        <v>-4.3000000000015248E-5</v>
      </c>
      <c r="K96" s="78"/>
      <c r="L96" s="78"/>
      <c r="M96" s="78"/>
    </row>
    <row r="97" spans="2:21" x14ac:dyDescent="0.35">
      <c r="B97" s="478"/>
      <c r="C97" s="7">
        <v>1.99</v>
      </c>
      <c r="D97" s="2" t="s">
        <v>10</v>
      </c>
      <c r="E97" s="2" t="s">
        <v>10</v>
      </c>
      <c r="F97" s="13">
        <v>5.1E-5</v>
      </c>
      <c r="G97" s="4">
        <f t="shared" si="14"/>
        <v>3.3333333333333335E-5</v>
      </c>
      <c r="H97" s="50">
        <v>1E-4</v>
      </c>
      <c r="J97" s="78">
        <f>1.98957-1.99</f>
        <v>-4.2999999999993044E-4</v>
      </c>
      <c r="K97" s="78"/>
      <c r="L97" s="78"/>
      <c r="M97" s="78"/>
    </row>
    <row r="98" spans="2:21" x14ac:dyDescent="0.35">
      <c r="B98" s="478"/>
      <c r="C98" s="7">
        <v>2.21</v>
      </c>
      <c r="D98" s="2" t="s">
        <v>10</v>
      </c>
      <c r="E98" s="2" t="s">
        <v>10</v>
      </c>
      <c r="F98" s="13">
        <v>1.4E-5</v>
      </c>
      <c r="G98" s="4">
        <f t="shared" si="14"/>
        <v>3.3333333333333335E-5</v>
      </c>
      <c r="H98" s="50">
        <v>1E-4</v>
      </c>
      <c r="J98" s="78">
        <f>2.21063-2.21</f>
        <v>6.3000000000013046E-4</v>
      </c>
      <c r="K98" s="78"/>
      <c r="L98" s="78"/>
      <c r="M98" s="78"/>
    </row>
    <row r="99" spans="2:21" x14ac:dyDescent="0.35">
      <c r="B99" s="478"/>
      <c r="C99" s="1">
        <v>19.899999999999999</v>
      </c>
      <c r="D99" s="2" t="s">
        <v>10</v>
      </c>
      <c r="E99" s="2" t="s">
        <v>10</v>
      </c>
      <c r="F99" s="9">
        <v>3.3999999999999998E-3</v>
      </c>
      <c r="G99" s="4">
        <f t="shared" si="14"/>
        <v>3.3333333333333335E-5</v>
      </c>
      <c r="H99" s="50">
        <v>1E-4</v>
      </c>
      <c r="J99" s="78">
        <f>19.8895-19.9</f>
        <v>-1.0499999999996845E-2</v>
      </c>
      <c r="K99" s="78"/>
      <c r="L99" s="78"/>
      <c r="M99" s="78"/>
    </row>
    <row r="100" spans="2:21" x14ac:dyDescent="0.35">
      <c r="B100" s="478"/>
      <c r="C100" s="1"/>
      <c r="D100" s="2"/>
      <c r="E100" s="2"/>
      <c r="F100" s="9"/>
      <c r="G100" s="4"/>
      <c r="H100" s="50"/>
      <c r="J100" s="78"/>
      <c r="K100" s="78"/>
      <c r="L100" s="78"/>
      <c r="M100" s="78"/>
    </row>
    <row r="101" spans="2:21" x14ac:dyDescent="0.35">
      <c r="B101" s="478"/>
      <c r="C101" s="485" t="s">
        <v>273</v>
      </c>
      <c r="D101" s="474"/>
      <c r="E101" s="474"/>
      <c r="F101" s="474"/>
      <c r="G101" s="475" t="s">
        <v>252</v>
      </c>
      <c r="H101" s="475" t="s">
        <v>12</v>
      </c>
      <c r="J101" s="78"/>
      <c r="K101" s="78"/>
      <c r="L101" s="78"/>
      <c r="M101" s="78"/>
    </row>
    <row r="102" spans="2:21" x14ac:dyDescent="0.35">
      <c r="B102" s="478"/>
      <c r="C102" s="475" t="s">
        <v>274</v>
      </c>
      <c r="D102" s="475"/>
      <c r="E102" s="475"/>
      <c r="F102" s="475"/>
      <c r="G102" s="475"/>
      <c r="H102" s="475"/>
      <c r="J102" s="78"/>
      <c r="K102" s="78"/>
      <c r="L102" s="78"/>
      <c r="M102" s="569"/>
      <c r="N102" s="570" t="s">
        <v>253</v>
      </c>
      <c r="O102" s="570"/>
      <c r="P102" s="570"/>
      <c r="Q102" s="570"/>
      <c r="R102" s="570"/>
      <c r="S102" s="570"/>
      <c r="T102" s="570"/>
      <c r="U102" s="570"/>
    </row>
    <row r="103" spans="2:21" x14ac:dyDescent="0.35">
      <c r="B103" s="478"/>
      <c r="C103" s="480" t="s">
        <v>237</v>
      </c>
      <c r="D103" s="475">
        <v>2019</v>
      </c>
      <c r="E103" s="475">
        <v>2020</v>
      </c>
      <c r="F103" s="475">
        <v>2021</v>
      </c>
      <c r="G103" s="475"/>
      <c r="H103" s="475"/>
      <c r="J103" s="78"/>
      <c r="K103" s="78"/>
      <c r="L103" s="78"/>
      <c r="M103" s="569"/>
      <c r="N103" s="570" t="s">
        <v>255</v>
      </c>
      <c r="O103" s="570" t="s">
        <v>256</v>
      </c>
      <c r="P103" s="570" t="s">
        <v>257</v>
      </c>
      <c r="Q103" s="570" t="s">
        <v>258</v>
      </c>
      <c r="R103" s="570"/>
      <c r="S103" s="570"/>
      <c r="T103" s="570" t="s">
        <v>259</v>
      </c>
      <c r="U103" s="570"/>
    </row>
    <row r="104" spans="2:21" x14ac:dyDescent="0.35">
      <c r="B104" s="478"/>
      <c r="C104" s="58">
        <v>0</v>
      </c>
      <c r="D104" s="59" t="s">
        <v>10</v>
      </c>
      <c r="E104" s="59" t="s">
        <v>10</v>
      </c>
      <c r="F104" s="430">
        <v>9.9999999999999995E-7</v>
      </c>
      <c r="G104" s="4">
        <f t="shared" ref="G104:G112" si="15">IF($N$1=1,H104/3,0.5*(MAX(D104:F104)-MIN(D104:F104)))</f>
        <v>2.6666666666666668E-4</v>
      </c>
      <c r="H104" s="61">
        <v>8.0000000000000004E-4</v>
      </c>
      <c r="J104" s="78">
        <f>0.03/100</f>
        <v>2.9999999999999997E-4</v>
      </c>
      <c r="K104" s="78">
        <v>2.3E-3</v>
      </c>
      <c r="L104" s="78">
        <f>J104+K104</f>
        <v>2.5999999999999999E-3</v>
      </c>
      <c r="M104" s="569"/>
      <c r="N104" s="570"/>
      <c r="O104" s="570"/>
      <c r="P104" s="570"/>
      <c r="Q104" s="570"/>
      <c r="R104" s="570"/>
      <c r="S104" s="570"/>
      <c r="T104" s="570"/>
      <c r="U104" s="570"/>
    </row>
    <row r="105" spans="2:21" x14ac:dyDescent="0.35">
      <c r="B105" s="478"/>
      <c r="C105" s="6">
        <v>20</v>
      </c>
      <c r="D105" s="2" t="s">
        <v>10</v>
      </c>
      <c r="E105" s="2" t="s">
        <v>10</v>
      </c>
      <c r="F105" s="8">
        <v>7.0000000000000001E-3</v>
      </c>
      <c r="G105" s="4">
        <f t="shared" si="15"/>
        <v>8.5666666666666669E-3</v>
      </c>
      <c r="H105" s="50">
        <v>2.5700000000000001E-2</v>
      </c>
      <c r="J105" s="78"/>
      <c r="K105" s="78"/>
      <c r="L105" s="78"/>
      <c r="M105" s="571" t="s">
        <v>259</v>
      </c>
      <c r="N105" s="570">
        <v>20</v>
      </c>
      <c r="O105" s="570">
        <v>20.007000000000001</v>
      </c>
      <c r="P105" s="570">
        <f>O105-N105</f>
        <v>7.0000000000014495E-3</v>
      </c>
      <c r="Q105" s="572">
        <f>(0.07/100)+T105</f>
        <v>2.5700000000000001E-2</v>
      </c>
      <c r="R105" s="570">
        <v>25</v>
      </c>
      <c r="S105" s="570" t="s">
        <v>275</v>
      </c>
      <c r="T105" s="570">
        <f>R105/1000</f>
        <v>2.5000000000000001E-2</v>
      </c>
      <c r="U105" s="570" t="s">
        <v>259</v>
      </c>
    </row>
    <row r="106" spans="2:21" x14ac:dyDescent="0.35">
      <c r="B106" s="478"/>
      <c r="C106" s="6">
        <v>190</v>
      </c>
      <c r="D106" s="2" t="s">
        <v>10</v>
      </c>
      <c r="E106" s="2" t="s">
        <v>10</v>
      </c>
      <c r="F106" s="8">
        <v>-4.0000000000000001E-3</v>
      </c>
      <c r="G106" s="4">
        <f t="shared" ref="G106" si="16">IF($N$1=1,H106/3,0.5*(MAX(D106:F106)-MIN(D106:F106)))</f>
        <v>0.10023333333333334</v>
      </c>
      <c r="H106" s="50">
        <v>0.30070000000000002</v>
      </c>
      <c r="M106" s="573" t="s">
        <v>259</v>
      </c>
      <c r="N106" s="570">
        <v>190</v>
      </c>
      <c r="O106" s="570">
        <v>189.99600000000001</v>
      </c>
      <c r="P106" s="570">
        <f t="shared" ref="P106:P112" si="17">O106-N106</f>
        <v>-3.9999999999906777E-3</v>
      </c>
      <c r="Q106" s="572">
        <f>(0.07/100)+T106</f>
        <v>0.30069999999999997</v>
      </c>
      <c r="R106" s="570">
        <v>0.3</v>
      </c>
      <c r="S106" s="570" t="s">
        <v>259</v>
      </c>
      <c r="T106" s="570">
        <f>R106</f>
        <v>0.3</v>
      </c>
      <c r="U106" s="570" t="s">
        <v>259</v>
      </c>
    </row>
    <row r="107" spans="2:21" x14ac:dyDescent="0.35">
      <c r="B107" s="478"/>
      <c r="C107" s="6">
        <v>221</v>
      </c>
      <c r="D107" s="2" t="s">
        <v>10</v>
      </c>
      <c r="E107" s="2" t="s">
        <v>10</v>
      </c>
      <c r="F107" s="8">
        <v>2.5999999999999999E-2</v>
      </c>
      <c r="G107" s="4">
        <f>IF($N$1=1,H107/3,0.5*(MAX(D107:F107)-MIN(D107:F107)))</f>
        <v>0.10023333333333334</v>
      </c>
      <c r="H107" s="50">
        <v>0.30070000000000002</v>
      </c>
      <c r="J107" s="78"/>
      <c r="K107" s="78"/>
      <c r="L107" s="78"/>
      <c r="M107" s="571" t="s">
        <v>259</v>
      </c>
      <c r="N107" s="570">
        <v>221</v>
      </c>
      <c r="O107" s="570">
        <v>221.02600000000001</v>
      </c>
      <c r="P107" s="570">
        <f t="shared" si="17"/>
        <v>2.6000000000010459E-2</v>
      </c>
      <c r="Q107" s="572">
        <f>(0.07/100)+T107</f>
        <v>0.30069999999999997</v>
      </c>
      <c r="R107" s="570">
        <v>0.3</v>
      </c>
      <c r="S107" s="570" t="s">
        <v>259</v>
      </c>
      <c r="T107" s="570">
        <f>R107</f>
        <v>0.3</v>
      </c>
      <c r="U107" s="570" t="s">
        <v>259</v>
      </c>
    </row>
    <row r="108" spans="2:21" x14ac:dyDescent="0.35">
      <c r="B108" s="478"/>
      <c r="C108" s="7">
        <v>1.99</v>
      </c>
      <c r="D108" s="2" t="s">
        <v>10</v>
      </c>
      <c r="E108" s="2" t="s">
        <v>10</v>
      </c>
      <c r="F108" s="10">
        <v>2.0000000000000002E-5</v>
      </c>
      <c r="G108" s="4">
        <f t="shared" si="15"/>
        <v>1.0666666666666667E-3</v>
      </c>
      <c r="H108" s="50">
        <v>3.2000000000000002E-3</v>
      </c>
      <c r="I108" s="476" t="s">
        <v>276</v>
      </c>
      <c r="J108" s="78">
        <f>1.99*1000</f>
        <v>1990</v>
      </c>
      <c r="K108" s="484"/>
      <c r="L108" s="78"/>
      <c r="M108" s="571" t="s">
        <v>277</v>
      </c>
      <c r="N108" s="570">
        <v>1.99</v>
      </c>
      <c r="O108" s="570">
        <v>1.9900199999999999</v>
      </c>
      <c r="P108" s="578">
        <f t="shared" si="17"/>
        <v>1.9999999999908979E-5</v>
      </c>
      <c r="Q108" s="572">
        <f>(0.07/100)+T108</f>
        <v>3.2000000000000002E-3</v>
      </c>
      <c r="R108" s="570">
        <v>2.5</v>
      </c>
      <c r="S108" s="570" t="s">
        <v>259</v>
      </c>
      <c r="T108" s="570">
        <f>R108/1000</f>
        <v>2.5000000000000001E-3</v>
      </c>
      <c r="U108" s="570" t="s">
        <v>277</v>
      </c>
    </row>
    <row r="109" spans="2:21" x14ac:dyDescent="0.35">
      <c r="B109" s="478"/>
      <c r="C109" s="7">
        <v>2.21</v>
      </c>
      <c r="D109" s="2" t="s">
        <v>10</v>
      </c>
      <c r="E109" s="2" t="s">
        <v>10</v>
      </c>
      <c r="F109" s="10">
        <v>3.6999999999999999E-4</v>
      </c>
      <c r="G109" s="4">
        <f t="shared" si="15"/>
        <v>1.0666666666666667E-3</v>
      </c>
      <c r="H109" s="50">
        <v>3.2000000000000002E-3</v>
      </c>
      <c r="I109" s="476"/>
      <c r="J109" s="78"/>
      <c r="K109" s="78"/>
      <c r="L109" s="78"/>
      <c r="M109" s="569"/>
      <c r="N109" s="570">
        <v>2.21</v>
      </c>
      <c r="O109" s="570"/>
      <c r="P109" s="570">
        <f t="shared" si="17"/>
        <v>-2.21</v>
      </c>
      <c r="Q109" s="570"/>
      <c r="R109" s="570"/>
      <c r="S109" s="570"/>
      <c r="T109" s="570"/>
      <c r="U109" s="570"/>
    </row>
    <row r="110" spans="2:21" x14ac:dyDescent="0.35">
      <c r="B110" s="478"/>
      <c r="C110" s="7">
        <v>19.899999999999999</v>
      </c>
      <c r="D110" s="2" t="s">
        <v>10</v>
      </c>
      <c r="E110" s="2" t="s">
        <v>10</v>
      </c>
      <c r="F110" s="9">
        <v>5.0000000000000001E-4</v>
      </c>
      <c r="G110" s="4">
        <f t="shared" si="15"/>
        <v>8.6666666666666663E-4</v>
      </c>
      <c r="H110" s="50">
        <v>2.5999999999999999E-3</v>
      </c>
      <c r="I110" s="476"/>
      <c r="J110" s="78"/>
      <c r="K110" s="78">
        <f>19.9005-19.9</f>
        <v>5.0000000000238742E-4</v>
      </c>
      <c r="L110" s="78"/>
      <c r="M110" s="569"/>
      <c r="N110" s="570">
        <v>19.899999999999999</v>
      </c>
      <c r="O110" s="570"/>
      <c r="P110" s="570">
        <f t="shared" si="17"/>
        <v>-19.899999999999999</v>
      </c>
      <c r="Q110" s="570"/>
      <c r="R110" s="570"/>
      <c r="S110" s="570"/>
      <c r="T110" s="570"/>
      <c r="U110" s="570"/>
    </row>
    <row r="111" spans="2:21" x14ac:dyDescent="0.35">
      <c r="B111" s="478"/>
      <c r="C111" s="1">
        <v>22.1</v>
      </c>
      <c r="D111" s="2" t="s">
        <v>10</v>
      </c>
      <c r="E111" s="2" t="s">
        <v>10</v>
      </c>
      <c r="F111" s="9">
        <v>0</v>
      </c>
      <c r="G111" s="4">
        <f t="shared" si="15"/>
        <v>7.6766666666666664E-2</v>
      </c>
      <c r="H111" s="50">
        <v>0.2303</v>
      </c>
      <c r="I111" s="476"/>
      <c r="J111" s="78">
        <f>0.07/100</f>
        <v>7.000000000000001E-4</v>
      </c>
      <c r="K111" s="78">
        <v>0.23</v>
      </c>
      <c r="L111" s="78">
        <f>J111+K111</f>
        <v>0.23070000000000002</v>
      </c>
      <c r="M111" s="569"/>
      <c r="N111" s="570">
        <v>22.1</v>
      </c>
      <c r="O111" s="570"/>
      <c r="P111" s="570">
        <f t="shared" si="17"/>
        <v>-22.1</v>
      </c>
      <c r="Q111" s="570"/>
      <c r="R111" s="570"/>
      <c r="S111" s="570"/>
      <c r="T111" s="570"/>
      <c r="U111" s="570"/>
    </row>
    <row r="112" spans="2:21" x14ac:dyDescent="0.35">
      <c r="B112" s="478"/>
      <c r="C112" s="6">
        <v>199</v>
      </c>
      <c r="D112" s="2" t="s">
        <v>10</v>
      </c>
      <c r="E112" s="2" t="s">
        <v>10</v>
      </c>
      <c r="F112" s="9">
        <v>-7.1000000000000004E-3</v>
      </c>
      <c r="G112" s="4">
        <f t="shared" si="15"/>
        <v>7.6766666666666664E-2</v>
      </c>
      <c r="H112" s="50">
        <v>0.2303</v>
      </c>
      <c r="I112" s="476"/>
      <c r="J112" s="78">
        <f>198.9929-199</f>
        <v>-7.1000000000083219E-3</v>
      </c>
      <c r="K112" s="78"/>
      <c r="L112" s="78"/>
      <c r="M112" s="569"/>
      <c r="N112" s="570">
        <v>199</v>
      </c>
      <c r="O112" s="570"/>
      <c r="P112" s="570">
        <f t="shared" si="17"/>
        <v>-199</v>
      </c>
      <c r="Q112" s="570"/>
      <c r="R112" s="570"/>
      <c r="S112" s="570"/>
      <c r="T112" s="570"/>
      <c r="U112" s="570"/>
    </row>
    <row r="113" spans="1:28" x14ac:dyDescent="0.35">
      <c r="B113" s="478"/>
      <c r="C113" s="6"/>
      <c r="D113" s="2"/>
      <c r="E113" s="2"/>
      <c r="F113" s="9"/>
      <c r="G113" s="4"/>
      <c r="H113" s="5"/>
      <c r="J113" s="78"/>
      <c r="K113" s="78"/>
      <c r="L113" s="78"/>
      <c r="M113" s="78"/>
    </row>
    <row r="114" spans="1:28" x14ac:dyDescent="0.35">
      <c r="B114" s="478"/>
      <c r="C114" s="480" t="s">
        <v>272</v>
      </c>
      <c r="D114" s="475">
        <v>2019</v>
      </c>
      <c r="E114" s="475">
        <v>2020</v>
      </c>
      <c r="F114" s="475">
        <v>2021</v>
      </c>
      <c r="G114" s="4"/>
      <c r="H114" s="5"/>
      <c r="J114" s="78"/>
      <c r="K114" s="78"/>
      <c r="L114" s="78"/>
      <c r="M114" s="78"/>
    </row>
    <row r="115" spans="1:28" x14ac:dyDescent="0.35">
      <c r="B115" s="478"/>
      <c r="C115" s="6">
        <v>221</v>
      </c>
      <c r="D115" s="2" t="s">
        <v>10</v>
      </c>
      <c r="E115" s="2" t="s">
        <v>10</v>
      </c>
      <c r="F115" s="13">
        <v>-4.3000000000000002E-5</v>
      </c>
      <c r="G115" s="4">
        <f t="shared" ref="G115:G118" si="18">IF($N$1=1,H115/3,0.5*(MAX(D115:F115)-MIN(D115:F115)))</f>
        <v>7.6899999999999996E-2</v>
      </c>
      <c r="H115" s="50">
        <v>0.23069999999999999</v>
      </c>
      <c r="J115" s="78"/>
      <c r="K115" s="78"/>
      <c r="L115" s="78"/>
      <c r="M115" s="78"/>
    </row>
    <row r="116" spans="1:28" x14ac:dyDescent="0.35">
      <c r="B116" s="478"/>
      <c r="C116" s="7">
        <v>1.99</v>
      </c>
      <c r="D116" s="2" t="s">
        <v>10</v>
      </c>
      <c r="E116" s="2" t="s">
        <v>10</v>
      </c>
      <c r="F116" s="10">
        <v>-4.2999999999999999E-4</v>
      </c>
      <c r="G116" s="4">
        <f t="shared" si="18"/>
        <v>7.6899999999999996E-2</v>
      </c>
      <c r="H116" s="50">
        <v>0.23069999999999999</v>
      </c>
      <c r="J116" s="78"/>
      <c r="K116" s="78"/>
      <c r="L116" s="78"/>
      <c r="M116" s="78"/>
    </row>
    <row r="117" spans="1:28" x14ac:dyDescent="0.35">
      <c r="B117" s="478"/>
      <c r="C117" s="7">
        <v>2.21</v>
      </c>
      <c r="D117" s="2" t="s">
        <v>10</v>
      </c>
      <c r="E117" s="2" t="s">
        <v>10</v>
      </c>
      <c r="F117" s="10">
        <v>6.3000000000000003E-4</v>
      </c>
      <c r="G117" s="4">
        <f t="shared" si="18"/>
        <v>1.0666666666666667E-3</v>
      </c>
      <c r="H117" s="50">
        <v>3.2000000000000002E-3</v>
      </c>
      <c r="J117" s="78">
        <f>0.09/100</f>
        <v>8.9999999999999998E-4</v>
      </c>
      <c r="K117" s="78">
        <f>0.001*2.3</f>
        <v>2.3E-3</v>
      </c>
      <c r="L117" s="78">
        <f>J117+K117</f>
        <v>3.1999999999999997E-3</v>
      </c>
      <c r="M117" s="78"/>
    </row>
    <row r="118" spans="1:28" x14ac:dyDescent="0.35">
      <c r="B118" s="479"/>
      <c r="C118" s="1">
        <v>19.899999999999999</v>
      </c>
      <c r="D118" s="2" t="s">
        <v>10</v>
      </c>
      <c r="E118" s="2" t="s">
        <v>10</v>
      </c>
      <c r="F118" s="9">
        <v>-1.0500000000000001E-2</v>
      </c>
      <c r="G118" s="4">
        <f t="shared" si="18"/>
        <v>1.0666666666666667E-3</v>
      </c>
      <c r="H118" s="50">
        <v>3.2000000000000002E-3</v>
      </c>
      <c r="J118" s="78"/>
      <c r="K118" s="78"/>
      <c r="L118" s="78"/>
      <c r="M118" s="78"/>
    </row>
    <row r="122" spans="1:28" ht="39" customHeight="1" x14ac:dyDescent="0.35">
      <c r="A122" s="349" t="str">
        <f>ID!B24</f>
        <v>1.</v>
      </c>
      <c r="B122" s="342" t="s">
        <v>30</v>
      </c>
      <c r="C122" s="342" t="s">
        <v>72</v>
      </c>
      <c r="D122" s="343" t="s">
        <v>121</v>
      </c>
      <c r="E122" s="551" t="s">
        <v>74</v>
      </c>
      <c r="F122" s="343" t="s">
        <v>75</v>
      </c>
      <c r="G122" s="344" t="s">
        <v>76</v>
      </c>
      <c r="H122" s="343" t="s">
        <v>77</v>
      </c>
      <c r="I122" s="345" t="s">
        <v>78</v>
      </c>
      <c r="J122" s="343" t="s">
        <v>36</v>
      </c>
      <c r="K122" s="343" t="s">
        <v>79</v>
      </c>
      <c r="L122" s="344" t="s">
        <v>80</v>
      </c>
      <c r="M122" s="344" t="s">
        <v>81</v>
      </c>
      <c r="N122" s="343" t="s">
        <v>12</v>
      </c>
      <c r="O122" s="349" t="str">
        <f>ID!B56</f>
        <v>3.</v>
      </c>
      <c r="P122" s="342" t="s">
        <v>30</v>
      </c>
      <c r="Q122" s="342" t="s">
        <v>72</v>
      </c>
      <c r="R122" s="343" t="s">
        <v>73</v>
      </c>
      <c r="S122" s="343" t="s">
        <v>74</v>
      </c>
      <c r="T122" s="343" t="s">
        <v>75</v>
      </c>
      <c r="U122" s="344" t="s">
        <v>76</v>
      </c>
      <c r="V122" s="343" t="s">
        <v>77</v>
      </c>
      <c r="W122" s="345" t="s">
        <v>78</v>
      </c>
      <c r="X122" s="343" t="s">
        <v>36</v>
      </c>
      <c r="Y122" s="343" t="s">
        <v>79</v>
      </c>
      <c r="Z122" s="344" t="s">
        <v>80</v>
      </c>
      <c r="AA122" s="344" t="s">
        <v>81</v>
      </c>
      <c r="AB122" s="343" t="s">
        <v>12</v>
      </c>
    </row>
    <row r="123" spans="1:28" ht="15" customHeight="1" x14ac:dyDescent="0.35">
      <c r="B123" s="346">
        <v>1</v>
      </c>
      <c r="C123" s="943" t="str">
        <f>ID!C24</f>
        <v>Kalibrasi Dual Lead Voltage</v>
      </c>
      <c r="D123" s="346">
        <f>ID!D28</f>
        <v>50</v>
      </c>
      <c r="E123" s="400">
        <f ca="1">D123+G123</f>
        <v>49.996831937465103</v>
      </c>
      <c r="F123" s="346">
        <f>AVERAGE(ID!F28:J28)</f>
        <v>50</v>
      </c>
      <c r="G123" s="346">
        <f ca="1">(FORECAST(F123,OFFSET($L$8:$L$13,MATCH(F123,$I$8:$I$13,1)-1,0,2),OFFSET($I$8:$I$13,MATCH(F123,$I$8:$I$13,1)-1,0,2)))</f>
        <v>-3.1680625348967056E-3</v>
      </c>
      <c r="H123" s="354">
        <f ca="1">F123+G123</f>
        <v>49.996831937465103</v>
      </c>
      <c r="I123" s="350">
        <f ca="1">D123-H123-L123</f>
        <v>2.9432208646227227E-3</v>
      </c>
      <c r="J123" s="351">
        <f>IF(STDEV(ID!F28:J28)=0,0.00001,STDEV(ID!F28:J28))</f>
        <v>1.0000000000000001E-5</v>
      </c>
      <c r="K123" s="346">
        <f>0.5*ID!K28</f>
        <v>0.05</v>
      </c>
      <c r="L123" s="399">
        <f ca="1">(FORECAST(H123,OFFSET($M$8:$M$13,MATCH(H123,$I$8:$I$13,1)-1,0,2),OFFSET($I$8:$I$13,MATCH(H123,$I$8:$I$13,1)-1,0,2)))</f>
        <v>2.2484167027415338E-4</v>
      </c>
      <c r="M123" s="346">
        <f ca="1">(FORECAST(H123,OFFSET($N$8:$N$13,MATCH(H123,$I$8:$I$13,1)-1,0,2),OFFSET($I$8:$I$13,MATCH(H123,$I$8:$I$13,1)-1,0,2)))</f>
        <v>6.7452501082246026E-4</v>
      </c>
      <c r="N123" s="352">
        <f ca="1">KTPS!K15</f>
        <v>5.7986785027458472E-2</v>
      </c>
      <c r="P123" s="346">
        <v>1</v>
      </c>
      <c r="Q123" s="943" t="str">
        <f>ID!C56</f>
        <v>Kalibrasi Enclosure (Chassis) Leakage Current</v>
      </c>
      <c r="R123" s="351">
        <f>ID!D60</f>
        <v>0</v>
      </c>
      <c r="S123" s="506">
        <f>R123+U123</f>
        <v>1.7073471655430807E-3</v>
      </c>
      <c r="T123" s="346">
        <f>AVERAGE(ID!F60:J60)</f>
        <v>0</v>
      </c>
      <c r="U123" s="399">
        <f>(FORECAST(T123,$F$104:$F$107,$C$104:$C$107))</f>
        <v>1.7073471655430807E-3</v>
      </c>
      <c r="V123" s="354">
        <f>T123+U123</f>
        <v>1.7073471655430807E-3</v>
      </c>
      <c r="W123" s="350">
        <f>R123-V123-Z123</f>
        <v>-1.8804544602117571E-3</v>
      </c>
      <c r="X123" s="346">
        <f>STDEV(ID!F60:J60)</f>
        <v>0</v>
      </c>
      <c r="Y123" s="346">
        <f>0.5*ID!K60</f>
        <v>0.05</v>
      </c>
      <c r="Z123" s="346">
        <f>(FORECAST(V123,$G$104:$G$108,$C$104:$C$108))</f>
        <v>1.7310729466867635E-4</v>
      </c>
      <c r="AA123" s="353">
        <f>(FORECAST(V123,$H$104:$H$108,$C$104:$C$108))</f>
        <v>5.1932188400600132E-4</v>
      </c>
      <c r="AB123" s="352">
        <f>KTPS!K164</f>
        <v>5.7985117631630188E-2</v>
      </c>
    </row>
    <row r="124" spans="1:28" x14ac:dyDescent="0.35">
      <c r="B124" s="346">
        <v>2</v>
      </c>
      <c r="C124" s="943"/>
      <c r="D124" s="346">
        <f>ID!D29</f>
        <v>100</v>
      </c>
      <c r="E124" s="490">
        <f t="shared" ref="E124:E128" ca="1" si="19">D124+G124</f>
        <v>99.996552763819096</v>
      </c>
      <c r="F124" s="346">
        <f>AVERAGE(ID!F29:J29)</f>
        <v>100</v>
      </c>
      <c r="G124" s="346">
        <f ca="1">(FORECAST(F124,OFFSET($L$8:$L$13,MATCH(F124,$I$8:$I$13,1)-1,0,2),OFFSET($I$8:$I$13,MATCH(F124,$I$8:$I$13,1)-1,0,2)))</f>
        <v>-3.4472361809045225E-3</v>
      </c>
      <c r="H124" s="354">
        <f ca="1">F124+G124</f>
        <v>99.996552763819096</v>
      </c>
      <c r="I124" s="350">
        <f t="shared" ref="I124:I127" ca="1" si="20">D124-H124-L124</f>
        <v>3.029393540977848E-3</v>
      </c>
      <c r="J124" s="351">
        <f>IF(STDEV(ID!F29:J29)=0,0.00001,STDEV(ID!F29:J29))</f>
        <v>1.0000000000000001E-5</v>
      </c>
      <c r="K124" s="346">
        <f>0.5*ID!K29</f>
        <v>0.05</v>
      </c>
      <c r="L124" s="399">
        <f ca="1">(FORECAST(H124,OFFSET($M$8:$M$13,MATCH(H124,$I$8:$I$13,1)-1,0,2),OFFSET($I$8:$I$13,MATCH(H124,$I$8:$I$13,1)-1,0,2)))</f>
        <v>4.1784263992585295E-4</v>
      </c>
      <c r="M124" s="346">
        <f ca="1">(FORECAST(H124,OFFSET($N$8:$N$13,MATCH(H124,$I$8:$I$13,1)-1,0,2),OFFSET($I$8:$I$13,MATCH(H124,$I$8:$I$13,1)-1,0,2)))</f>
        <v>1.2535279197775587E-3</v>
      </c>
      <c r="N124" s="352">
        <f ca="1">KTPS!K27</f>
        <v>5.7996826623317635E-2</v>
      </c>
      <c r="P124" s="346">
        <v>2</v>
      </c>
      <c r="Q124" s="943"/>
      <c r="R124" s="351">
        <f>ID!D61</f>
        <v>1</v>
      </c>
      <c r="S124" s="506">
        <f t="shared" ref="S124:S128" si="21">R124+U124</f>
        <v>1.0017618759544482</v>
      </c>
      <c r="T124" s="346">
        <f>AVERAGE(ID!F61:J61)</f>
        <v>1.06</v>
      </c>
      <c r="U124" s="399">
        <f t="shared" ref="U124:U127" si="22">(FORECAST(T124,$F$104:$F$107,$C$104:$C$107))</f>
        <v>1.7618759544481789E-3</v>
      </c>
      <c r="V124" s="354">
        <f t="shared" ref="V124:V128" si="23">T124+U124</f>
        <v>1.0617618759544483</v>
      </c>
      <c r="W124" s="350">
        <f t="shared" ref="W124:W127" si="24">R124-V124-Z124</f>
        <v>-6.2447898098112055E-2</v>
      </c>
      <c r="X124" s="401">
        <f>STDEV(ID!F61:J61)</f>
        <v>0.18165902124584926</v>
      </c>
      <c r="Y124" s="346">
        <f>0.5*ID!K61</f>
        <v>0.05</v>
      </c>
      <c r="Z124" s="346">
        <f t="shared" ref="Z124:Z128" si="25">(FORECAST(V124,$G$104:$G$108,$C$104:$C$108))</f>
        <v>6.8602214366379028E-4</v>
      </c>
      <c r="AA124" s="353">
        <f t="shared" ref="AA124:AA128" si="26">(FORECAST(V124,$H$104:$H$108,$C$104:$C$108))</f>
        <v>2.0580664309913436E-3</v>
      </c>
      <c r="AB124" s="351">
        <f>KTPS!K176</f>
        <v>0.22075500275097593</v>
      </c>
    </row>
    <row r="125" spans="1:28" x14ac:dyDescent="0.35">
      <c r="B125" s="346">
        <v>3</v>
      </c>
      <c r="C125" s="943"/>
      <c r="D125" s="346">
        <f>ID!D30</f>
        <v>120</v>
      </c>
      <c r="E125" s="490">
        <f t="shared" ca="1" si="19"/>
        <v>119.99644109436069</v>
      </c>
      <c r="F125" s="346">
        <f>AVERAGE(ID!F30:J30)</f>
        <v>120</v>
      </c>
      <c r="G125" s="346">
        <f t="shared" ref="G125:G127" ca="1" si="27">(FORECAST(F125,OFFSET($L$8:$L$13,MATCH(F125,$I$8:$I$13,1)-1,0,2),OFFSET($I$8:$I$13,MATCH(F125,$I$8:$I$13,1)-1,0,2)))</f>
        <v>-3.5589056393076491E-3</v>
      </c>
      <c r="H125" s="354">
        <f t="shared" ref="H125:H128" ca="1" si="28">F125+G125</f>
        <v>119.99644109436069</v>
      </c>
      <c r="I125" s="350">
        <f t="shared" ca="1" si="20"/>
        <v>3.0638626115227405E-3</v>
      </c>
      <c r="J125" s="351">
        <f>IF(STDEV(ID!F30:J30)=0,0.00001,STDEV(ID!F30:J30))</f>
        <v>1.0000000000000001E-5</v>
      </c>
      <c r="K125" s="346">
        <f>0.5*ID!K30</f>
        <v>0.05</v>
      </c>
      <c r="L125" s="399">
        <f t="shared" ref="L125:L128" ca="1" si="29">(FORECAST(H125,OFFSET($M$8:$M$13,MATCH(H125,$I$8:$I$13,1)-1,0,2),OFFSET($I$8:$I$13,MATCH(H125,$I$8:$I$13,1)-1,0,2)))</f>
        <v>4.9504302778653276E-4</v>
      </c>
      <c r="M125" s="346">
        <f t="shared" ref="M125:M128" ca="1" si="30">(FORECAST(H125,OFFSET($N$8:$N$13,MATCH(H125,$I$8:$I$13,1)-1,0,2),OFFSET($I$8:$I$13,MATCH(H125,$I$8:$I$13,1)-1,0,2)))</f>
        <v>1.4851290833595983E-3</v>
      </c>
      <c r="N125" s="352">
        <f ca="1">KTPS!K39</f>
        <v>5.8002531550307726E-2</v>
      </c>
      <c r="P125" s="346">
        <v>3</v>
      </c>
      <c r="Q125" s="943"/>
      <c r="R125" s="351">
        <f>ID!D62</f>
        <v>50</v>
      </c>
      <c r="S125" s="506">
        <f t="shared" si="21"/>
        <v>50.004276373314525</v>
      </c>
      <c r="T125" s="346">
        <f>AVERAGE(ID!F62:J62)</f>
        <v>49.94</v>
      </c>
      <c r="U125" s="399">
        <f t="shared" si="22"/>
        <v>4.2763733145247847E-3</v>
      </c>
      <c r="V125" s="354">
        <f t="shared" si="23"/>
        <v>49.944276373314523</v>
      </c>
      <c r="W125" s="350">
        <f t="shared" si="24"/>
        <v>3.1385455656076519E-2</v>
      </c>
      <c r="X125" s="346">
        <f>STDEV(ID!F62:J62)</f>
        <v>0.30495901363953931</v>
      </c>
      <c r="Y125" s="346">
        <f>0.5*ID!K62</f>
        <v>0.05</v>
      </c>
      <c r="Z125" s="346">
        <f t="shared" si="25"/>
        <v>2.4338171029400741E-2</v>
      </c>
      <c r="AA125" s="353">
        <f t="shared" si="26"/>
        <v>7.3014513088202213E-2</v>
      </c>
      <c r="AB125" s="351">
        <f>KTPS!K188</f>
        <v>0.37049630192462707</v>
      </c>
    </row>
    <row r="126" spans="1:28" x14ac:dyDescent="0.35">
      <c r="B126" s="346">
        <v>4</v>
      </c>
      <c r="C126" s="943"/>
      <c r="D126" s="346">
        <f>ID!D31</f>
        <v>200</v>
      </c>
      <c r="E126" s="490">
        <f t="shared" ca="1" si="19"/>
        <v>199.99602122347065</v>
      </c>
      <c r="F126" s="346">
        <f>AVERAGE(ID!F31:J31)</f>
        <v>200</v>
      </c>
      <c r="G126" s="346">
        <f t="shared" ca="1" si="27"/>
        <v>-3.9787765293383291E-3</v>
      </c>
      <c r="H126" s="354">
        <f t="shared" ca="1" si="28"/>
        <v>199.99602122347065</v>
      </c>
      <c r="I126" s="350">
        <f t="shared" ca="1" si="20"/>
        <v>3.1701940843018991E-3</v>
      </c>
      <c r="J126" s="351">
        <f>IF(STDEV(ID!F31:J31)=0,0.00001,STDEV(ID!F31:J31))</f>
        <v>1.0000000000000001E-5</v>
      </c>
      <c r="K126" s="346">
        <f>0.5*ID!K31</f>
        <v>0.05</v>
      </c>
      <c r="L126" s="399">
        <f t="shared" ca="1" si="29"/>
        <v>8.0858244504918128E-4</v>
      </c>
      <c r="M126" s="346">
        <f t="shared" ca="1" si="30"/>
        <v>2.4257473351475423E-3</v>
      </c>
      <c r="N126" s="352">
        <f ca="1">KTPS!K51</f>
        <v>5.8035612801677662E-2</v>
      </c>
      <c r="P126" s="346">
        <v>4</v>
      </c>
      <c r="Q126" s="943"/>
      <c r="R126" s="351">
        <f>ID!D63</f>
        <v>100</v>
      </c>
      <c r="S126" s="506">
        <f t="shared" si="21"/>
        <v>100.00684951484381</v>
      </c>
      <c r="T126" s="346">
        <f>AVERAGE(ID!F63:J63)</f>
        <v>99.96</v>
      </c>
      <c r="U126" s="399">
        <f t="shared" si="22"/>
        <v>6.8495148438012122E-3</v>
      </c>
      <c r="V126" s="354">
        <f t="shared" si="23"/>
        <v>99.966849514843801</v>
      </c>
      <c r="W126" s="350">
        <f t="shared" si="24"/>
        <v>-1.5391460162575164E-2</v>
      </c>
      <c r="X126" s="346">
        <f>STDEV(ID!F63:J63)</f>
        <v>0.25099800796022342</v>
      </c>
      <c r="Y126" s="346">
        <f>0.5*ID!K63</f>
        <v>0.05</v>
      </c>
      <c r="Z126" s="346">
        <f t="shared" si="25"/>
        <v>4.8541945318773948E-2</v>
      </c>
      <c r="AA126" s="353">
        <f t="shared" si="26"/>
        <v>0.14562583595632186</v>
      </c>
      <c r="AB126" s="351">
        <f>KTPS!K200</f>
        <v>0.31374309743646828</v>
      </c>
    </row>
    <row r="127" spans="1:28" x14ac:dyDescent="0.35">
      <c r="B127" s="346">
        <v>5</v>
      </c>
      <c r="C127" s="943"/>
      <c r="D127" s="346">
        <f>ID!D32</f>
        <v>220</v>
      </c>
      <c r="E127" s="491">
        <f t="shared" ca="1" si="19"/>
        <v>219.9964456928839</v>
      </c>
      <c r="F127" s="346">
        <f>AVERAGE(ID!F32:J32)</f>
        <v>220</v>
      </c>
      <c r="G127" s="346">
        <f t="shared" ca="1" si="27"/>
        <v>-3.5543071161048701E-3</v>
      </c>
      <c r="H127" s="354">
        <f t="shared" ca="1" si="28"/>
        <v>219.9964456928839</v>
      </c>
      <c r="I127" s="350">
        <f t="shared" ca="1" si="20"/>
        <v>2.573386431744477E-3</v>
      </c>
      <c r="J127" s="351">
        <f>IF(STDEV(ID!F32:J32)=0,0.00001,STDEV(ID!F32:J32))</f>
        <v>1.0000000000000001E-5</v>
      </c>
      <c r="K127" s="346">
        <f>0.5*ID!K32</f>
        <v>0.05</v>
      </c>
      <c r="L127" s="399">
        <f t="shared" ca="1" si="29"/>
        <v>9.8092068435990569E-4</v>
      </c>
      <c r="M127" s="346">
        <f t="shared" ca="1" si="30"/>
        <v>2.9427620530797158E-3</v>
      </c>
      <c r="N127" s="352">
        <f ca="1">KTPS!K63</f>
        <v>5.8060566518166941E-2</v>
      </c>
      <c r="P127" s="346">
        <v>5</v>
      </c>
      <c r="Q127" s="943"/>
      <c r="R127" s="351">
        <f>ID!D64</f>
        <v>500</v>
      </c>
      <c r="S127" s="506">
        <f t="shared" si="21"/>
        <v>500.02738732020464</v>
      </c>
      <c r="T127" s="346">
        <f>AVERAGE(ID!F64:J64)</f>
        <v>499.2</v>
      </c>
      <c r="U127" s="399">
        <f t="shared" si="22"/>
        <v>2.7387320204623304E-2</v>
      </c>
      <c r="V127" s="354">
        <f t="shared" si="23"/>
        <v>499.22738732020463</v>
      </c>
      <c r="W127" s="350">
        <f t="shared" si="24"/>
        <v>0.53088571153998609</v>
      </c>
      <c r="X127" s="346">
        <f>STDEV(ID!F64:J64)</f>
        <v>0.44721359549995798</v>
      </c>
      <c r="Y127" s="346">
        <f>0.5*ID!K64</f>
        <v>0.5</v>
      </c>
      <c r="Z127" s="346">
        <f t="shared" si="25"/>
        <v>0.24172696825538648</v>
      </c>
      <c r="AA127" s="353">
        <f t="shared" si="26"/>
        <v>0.7251809047661596</v>
      </c>
      <c r="AB127" s="351">
        <f>KTPS!K212</f>
        <v>1.0414216690190394</v>
      </c>
    </row>
    <row r="128" spans="1:28" x14ac:dyDescent="0.35">
      <c r="B128" s="346">
        <v>6</v>
      </c>
      <c r="C128" s="943"/>
      <c r="D128" s="346">
        <f>ID!D33</f>
        <v>250</v>
      </c>
      <c r="E128" s="491">
        <f t="shared" ca="1" si="19"/>
        <v>249.99708239700374</v>
      </c>
      <c r="F128" s="346">
        <f>AVERAGE(ID!F33:J33)</f>
        <v>250</v>
      </c>
      <c r="G128" s="346">
        <f ca="1">(FORECAST(F128,OFFSET($L$8:$L$13,MATCH(F128,$I$8:$I$13,1)-1,0,2),OFFSET($I$8:$I$13,MATCH(F128,$I$8:$I$13,1)-1,0,2)))</f>
        <v>-2.917602996254683E-3</v>
      </c>
      <c r="H128" s="354">
        <f t="shared" ca="1" si="28"/>
        <v>249.99708239700374</v>
      </c>
      <c r="I128" s="350">
        <f ca="1">D128-H128-L128</f>
        <v>1.6781749529367661E-3</v>
      </c>
      <c r="J128" s="351">
        <f>IF(STDEV(ID!F33:J33)=0,0.00001,STDEV(ID!F33:J33))</f>
        <v>1.0000000000000001E-5</v>
      </c>
      <c r="K128" s="346">
        <f>0.5*ID!K33</f>
        <v>0.05</v>
      </c>
      <c r="L128" s="399">
        <f t="shared" ca="1" si="29"/>
        <v>1.239428043325992E-3</v>
      </c>
      <c r="M128" s="346">
        <f t="shared" ca="1" si="30"/>
        <v>3.7182841299779751E-3</v>
      </c>
      <c r="N128" s="352">
        <f ca="1">KTPS!K75</f>
        <v>5.8106993704470096E-2</v>
      </c>
      <c r="P128" s="346">
        <v>6</v>
      </c>
      <c r="Q128" s="943"/>
      <c r="R128" s="351">
        <f>ID!D65</f>
        <v>1000</v>
      </c>
      <c r="S128" s="506">
        <f t="shared" si="21"/>
        <v>1000.0530672932437</v>
      </c>
      <c r="T128" s="346">
        <f>AVERAGE(ID!F65:J65)</f>
        <v>998.4</v>
      </c>
      <c r="U128" s="399">
        <f>(FORECAST(T128,$F$104:$F$107,$C$104:$C$107))</f>
        <v>5.3067293243703531E-2</v>
      </c>
      <c r="V128" s="354">
        <f t="shared" si="23"/>
        <v>998.45306729324363</v>
      </c>
      <c r="W128" s="350">
        <f>R128-V128-Z128</f>
        <v>1.063651877540261</v>
      </c>
      <c r="X128" s="346">
        <f>STDEV(ID!F65:J65)</f>
        <v>0.54772255750516619</v>
      </c>
      <c r="Y128" s="346">
        <f>0.5*ID!K65</f>
        <v>0.5</v>
      </c>
      <c r="Z128" s="346">
        <f t="shared" si="25"/>
        <v>0.48328082921610427</v>
      </c>
      <c r="AA128" s="353">
        <f t="shared" si="26"/>
        <v>1.4498424876483131</v>
      </c>
      <c r="AB128" s="351">
        <f>KTPS!K224</f>
        <v>1.7185732586570042</v>
      </c>
    </row>
    <row r="130" spans="1:28" x14ac:dyDescent="0.35">
      <c r="O130" s="349" t="str">
        <f>ID!B67</f>
        <v>4.</v>
      </c>
      <c r="P130" s="402" t="str">
        <f>ID!D71</f>
        <v>R Terhadap Pembumian</v>
      </c>
      <c r="Q130" s="402"/>
      <c r="R130" s="402"/>
      <c r="S130" s="402"/>
      <c r="T130" s="402"/>
      <c r="U130" s="402"/>
      <c r="V130" s="402"/>
      <c r="W130" s="402"/>
      <c r="X130" s="402"/>
      <c r="Y130" s="402"/>
      <c r="Z130" s="402"/>
      <c r="AA130" s="402"/>
      <c r="AB130" s="402"/>
    </row>
    <row r="131" spans="1:28" ht="21" x14ac:dyDescent="0.35">
      <c r="A131" s="349"/>
      <c r="B131" s="553"/>
      <c r="C131" s="553"/>
      <c r="D131" s="362"/>
      <c r="E131" s="554"/>
      <c r="F131" s="362"/>
      <c r="G131" s="555"/>
      <c r="H131" s="362"/>
      <c r="I131" s="556"/>
      <c r="J131" s="362"/>
      <c r="K131" s="362"/>
      <c r="L131" s="555"/>
      <c r="M131" s="555"/>
      <c r="N131" s="362"/>
      <c r="P131" s="539" t="s">
        <v>30</v>
      </c>
      <c r="Q131" s="539" t="s">
        <v>72</v>
      </c>
      <c r="R131" s="343" t="s">
        <v>73</v>
      </c>
      <c r="S131" s="343" t="s">
        <v>74</v>
      </c>
      <c r="T131" s="343" t="s">
        <v>75</v>
      </c>
      <c r="U131" s="343" t="s">
        <v>76</v>
      </c>
      <c r="V131" s="343" t="s">
        <v>77</v>
      </c>
      <c r="W131" s="343" t="s">
        <v>78</v>
      </c>
      <c r="X131" s="343" t="s">
        <v>36</v>
      </c>
      <c r="Y131" s="343" t="s">
        <v>79</v>
      </c>
      <c r="Z131" s="343" t="s">
        <v>80</v>
      </c>
      <c r="AA131" s="343" t="s">
        <v>81</v>
      </c>
      <c r="AB131" s="343" t="s">
        <v>12</v>
      </c>
    </row>
    <row r="132" spans="1:28" x14ac:dyDescent="0.35">
      <c r="B132" s="97"/>
      <c r="C132" s="944"/>
      <c r="D132" s="97"/>
      <c r="E132" s="557"/>
      <c r="F132" s="558"/>
      <c r="G132" s="559"/>
      <c r="H132" s="560"/>
      <c r="I132" s="97"/>
      <c r="J132" s="561"/>
      <c r="K132" s="97"/>
      <c r="L132" s="562"/>
      <c r="M132" s="559"/>
      <c r="N132" s="563"/>
      <c r="P132" s="540">
        <v>1</v>
      </c>
      <c r="Q132" s="939" t="str">
        <f>ID!C67</f>
        <v>Kalibrasi Patient / Electroda Leakage Current</v>
      </c>
      <c r="R132" s="541">
        <f>ID!$D$72</f>
        <v>0</v>
      </c>
      <c r="S132" s="542">
        <f>R132+U132</f>
        <v>1.7073471655430807E-3</v>
      </c>
      <c r="T132" s="540">
        <f>AVERAGE(ID!F72:J72)</f>
        <v>0</v>
      </c>
      <c r="U132" s="543">
        <f>(FORECAST(T132,$F$104:$F$107,$C$104:$C$107))</f>
        <v>1.7073471655430807E-3</v>
      </c>
      <c r="V132" s="544">
        <f>T132+U132</f>
        <v>1.7073471655430807E-3</v>
      </c>
      <c r="W132" s="545">
        <f>R132-V132-Z132</f>
        <v>-1.8804544602117571E-3</v>
      </c>
      <c r="X132" s="540">
        <f>STDEV(ID!F72:J72)</f>
        <v>0</v>
      </c>
      <c r="Y132" s="540">
        <f>0.5*ID!K72</f>
        <v>0.05</v>
      </c>
      <c r="Z132" s="540">
        <f>(FORECAST(V132,$G$104:$G$108,$C$104:$C$108))</f>
        <v>1.7310729466867635E-4</v>
      </c>
      <c r="AA132" s="546">
        <f>(FORECAST(V132,$H$104:$H$108,$C$104:$C$108))</f>
        <v>5.1932188400600132E-4</v>
      </c>
      <c r="AB132" s="541">
        <f>KTPS!K246</f>
        <v>5.7985117631630188E-2</v>
      </c>
    </row>
    <row r="133" spans="1:28" x14ac:dyDescent="0.35">
      <c r="B133" s="97"/>
      <c r="C133" s="944"/>
      <c r="D133" s="97"/>
      <c r="E133" s="564"/>
      <c r="F133" s="558"/>
      <c r="G133" s="559"/>
      <c r="H133" s="560"/>
      <c r="I133" s="558"/>
      <c r="J133" s="561"/>
      <c r="K133" s="97"/>
      <c r="L133" s="562"/>
      <c r="M133" s="97"/>
      <c r="N133" s="563"/>
      <c r="P133" s="540">
        <v>2</v>
      </c>
      <c r="Q133" s="939"/>
      <c r="R133" s="541">
        <f>ID!$D$73</f>
        <v>1</v>
      </c>
      <c r="S133" s="542">
        <f t="shared" ref="S133:S137" si="31">R133+U133</f>
        <v>1.001765991334743</v>
      </c>
      <c r="T133" s="540">
        <f>AVERAGE(ID!F73:J73)</f>
        <v>1.1400000000000001</v>
      </c>
      <c r="U133" s="543">
        <f t="shared" ref="U133:U137" si="32">(FORECAST(T133,$F$104:$F$107,$C$104:$C$107))</f>
        <v>1.7659913347429033E-3</v>
      </c>
      <c r="V133" s="544">
        <f t="shared" ref="V133:V137" si="33">T133+U133</f>
        <v>1.1417659913347431</v>
      </c>
      <c r="W133" s="545">
        <f t="shared" ref="W133:W137" si="34">R133-V133-Z133</f>
        <v>-0.14249072403304802</v>
      </c>
      <c r="X133" s="540">
        <f>STDEV(ID!F73:J73)</f>
        <v>0.19493588689617936</v>
      </c>
      <c r="Y133" s="540">
        <f>0.5*ID!K73</f>
        <v>0.05</v>
      </c>
      <c r="Z133" s="540">
        <f t="shared" ref="Z133:Z137" si="35">(FORECAST(V133,$G$104:$G$108,$C$104:$C$108))</f>
        <v>7.2473269830493109E-4</v>
      </c>
      <c r="AA133" s="546">
        <f t="shared" ref="AA133:AA137" si="36">(FORECAST(V133,$H$104:$H$108,$C$104:$C$108))</f>
        <v>2.1741980949147657E-3</v>
      </c>
      <c r="AB133" s="541">
        <f>KTPS!K258</f>
        <v>0.23722780049395045</v>
      </c>
    </row>
    <row r="134" spans="1:28" x14ac:dyDescent="0.35">
      <c r="B134" s="97"/>
      <c r="C134" s="944"/>
      <c r="D134" s="97"/>
      <c r="E134" s="564"/>
      <c r="F134" s="558"/>
      <c r="G134" s="559"/>
      <c r="H134" s="560"/>
      <c r="I134" s="558"/>
      <c r="J134" s="561"/>
      <c r="K134" s="97"/>
      <c r="L134" s="562"/>
      <c r="M134" s="97"/>
      <c r="N134" s="563"/>
      <c r="P134" s="540">
        <v>3</v>
      </c>
      <c r="Q134" s="939"/>
      <c r="R134" s="541">
        <f>ID!$D$74</f>
        <v>50</v>
      </c>
      <c r="S134" s="542">
        <f t="shared" si="31"/>
        <v>50.004285632920187</v>
      </c>
      <c r="T134" s="540">
        <f>AVERAGE(ID!F74:J74)</f>
        <v>50.11999999999999</v>
      </c>
      <c r="U134" s="543">
        <f t="shared" si="32"/>
        <v>4.285632920187913E-3</v>
      </c>
      <c r="V134" s="544">
        <f t="shared" si="33"/>
        <v>50.124285632920177</v>
      </c>
      <c r="W134" s="545">
        <f t="shared" si="34"/>
        <v>-0.14871090269752044</v>
      </c>
      <c r="X134" s="540">
        <f>STDEV(ID!F74:J74)</f>
        <v>0.16431676725155023</v>
      </c>
      <c r="Y134" s="540">
        <f>0.5*ID!K74</f>
        <v>0.05</v>
      </c>
      <c r="Z134" s="540">
        <f t="shared" si="35"/>
        <v>2.4425269777343304E-2</v>
      </c>
      <c r="AA134" s="546">
        <f t="shared" si="36"/>
        <v>7.3275809332029901E-2</v>
      </c>
      <c r="AB134" s="541">
        <f>KTPS!K270</f>
        <v>0.20233605892295528</v>
      </c>
    </row>
    <row r="135" spans="1:28" x14ac:dyDescent="0.35">
      <c r="B135" s="97"/>
      <c r="C135" s="944"/>
      <c r="D135" s="97"/>
      <c r="E135" s="564"/>
      <c r="F135" s="558"/>
      <c r="G135" s="559"/>
      <c r="H135" s="560"/>
      <c r="I135" s="558"/>
      <c r="J135" s="561"/>
      <c r="K135" s="97"/>
      <c r="L135" s="562"/>
      <c r="M135" s="97"/>
      <c r="N135" s="563"/>
      <c r="P135" s="540">
        <v>4</v>
      </c>
      <c r="Q135" s="939"/>
      <c r="R135" s="541">
        <f>ID!$D$75</f>
        <v>100</v>
      </c>
      <c r="S135" s="542">
        <f t="shared" si="31"/>
        <v>100.00684642830858</v>
      </c>
      <c r="T135" s="540">
        <f>AVERAGE(ID!F75:J75)</f>
        <v>99.9</v>
      </c>
      <c r="U135" s="543">
        <f t="shared" si="32"/>
        <v>6.8464283085801691E-3</v>
      </c>
      <c r="V135" s="544">
        <f t="shared" si="33"/>
        <v>99.906846428308583</v>
      </c>
      <c r="W135" s="545">
        <f t="shared" si="34"/>
        <v>4.4640659288623818E-2</v>
      </c>
      <c r="X135" s="540">
        <f>STDEV(ID!F75:J75)</f>
        <v>0.24494897427831983</v>
      </c>
      <c r="Y135" s="540">
        <f>0.5*ID!K75</f>
        <v>0.05</v>
      </c>
      <c r="Z135" s="540">
        <f t="shared" si="35"/>
        <v>4.8512912402793096E-2</v>
      </c>
      <c r="AA135" s="546">
        <f t="shared" si="36"/>
        <v>0.14553873720837929</v>
      </c>
      <c r="AB135" s="541">
        <f>KTPS!K282</f>
        <v>0.30738845486607386</v>
      </c>
    </row>
    <row r="136" spans="1:28" x14ac:dyDescent="0.35">
      <c r="B136" s="97"/>
      <c r="C136" s="944"/>
      <c r="D136" s="97"/>
      <c r="E136" s="565"/>
      <c r="F136" s="558"/>
      <c r="G136" s="559"/>
      <c r="H136" s="560"/>
      <c r="I136" s="558"/>
      <c r="J136" s="561"/>
      <c r="K136" s="97"/>
      <c r="L136" s="562"/>
      <c r="M136" s="97"/>
      <c r="N136" s="563"/>
      <c r="P136" s="540">
        <v>5</v>
      </c>
      <c r="Q136" s="939"/>
      <c r="R136" s="541">
        <f>ID!$D$76</f>
        <v>500</v>
      </c>
      <c r="S136" s="542">
        <f t="shared" si="31"/>
        <v>500.02737703175387</v>
      </c>
      <c r="T136" s="540">
        <f>AVERAGE(ID!F76:J76)</f>
        <v>499</v>
      </c>
      <c r="U136" s="543">
        <f t="shared" si="32"/>
        <v>2.7377031753886494E-2</v>
      </c>
      <c r="V136" s="544">
        <f t="shared" si="33"/>
        <v>499.02737703175387</v>
      </c>
      <c r="W136" s="545">
        <f t="shared" si="34"/>
        <v>0.73099277637734439</v>
      </c>
      <c r="X136" s="544">
        <f>STDEV(ID!F76:J76)</f>
        <v>0</v>
      </c>
      <c r="Y136" s="540">
        <f>0.5*ID!K76</f>
        <v>0.5</v>
      </c>
      <c r="Z136" s="540">
        <f t="shared" si="35"/>
        <v>0.24163019186878362</v>
      </c>
      <c r="AA136" s="546">
        <f t="shared" si="36"/>
        <v>0.72489057560635106</v>
      </c>
      <c r="AB136" s="541">
        <f>KTPS!K294</f>
        <v>0.95883791518011396</v>
      </c>
    </row>
    <row r="137" spans="1:28" x14ac:dyDescent="0.35">
      <c r="B137" s="97"/>
      <c r="C137" s="944"/>
      <c r="D137" s="97"/>
      <c r="E137" s="565"/>
      <c r="F137" s="558"/>
      <c r="G137" s="559"/>
      <c r="H137" s="560"/>
      <c r="I137" s="558"/>
      <c r="J137" s="561"/>
      <c r="K137" s="97"/>
      <c r="L137" s="562"/>
      <c r="M137" s="97"/>
      <c r="N137" s="563"/>
      <c r="P137" s="540">
        <v>6</v>
      </c>
      <c r="Q137" s="939"/>
      <c r="R137" s="541">
        <f>ID!$D$77</f>
        <v>1000</v>
      </c>
      <c r="S137" s="542">
        <f t="shared" si="31"/>
        <v>1000.053098158596</v>
      </c>
      <c r="T137" s="540">
        <f>AVERAGE(ID!F77:J77)</f>
        <v>999</v>
      </c>
      <c r="U137" s="543">
        <f t="shared" si="32"/>
        <v>5.3098158595913963E-2</v>
      </c>
      <c r="V137" s="544">
        <f t="shared" si="33"/>
        <v>999.05309815859596</v>
      </c>
      <c r="W137" s="545">
        <f t="shared" si="34"/>
        <v>0.46333068302812913</v>
      </c>
      <c r="X137" s="544">
        <f>STDEV(ID!F77:J77)</f>
        <v>0</v>
      </c>
      <c r="Y137" s="540">
        <f>0.5*ID!K77</f>
        <v>0.5</v>
      </c>
      <c r="Z137" s="540">
        <f t="shared" si="35"/>
        <v>0.48357115837591286</v>
      </c>
      <c r="AA137" s="546">
        <f t="shared" si="36"/>
        <v>1.4507134751277388</v>
      </c>
      <c r="AB137" s="541">
        <f>KTPS!K306</f>
        <v>1.6495186620989404</v>
      </c>
    </row>
    <row r="138" spans="1:28" x14ac:dyDescent="0.35">
      <c r="P138" s="402" t="str">
        <f>ID!D78</f>
        <v>F Terhadap Pembumian</v>
      </c>
      <c r="Q138" s="402"/>
      <c r="R138" s="402"/>
      <c r="S138" s="402"/>
      <c r="T138" s="402"/>
      <c r="U138" s="402"/>
      <c r="V138" s="402"/>
      <c r="W138" s="402"/>
      <c r="X138" s="402"/>
      <c r="Y138" s="402"/>
      <c r="Z138" s="402"/>
      <c r="AA138" s="402"/>
      <c r="AB138" s="402"/>
    </row>
    <row r="139" spans="1:28" ht="21" x14ac:dyDescent="0.35">
      <c r="B139" s="553"/>
      <c r="C139" s="553"/>
      <c r="D139" s="362"/>
      <c r="E139" s="554"/>
      <c r="F139" s="362"/>
      <c r="G139" s="555"/>
      <c r="H139" s="362"/>
      <c r="I139" s="556"/>
      <c r="J139" s="362"/>
      <c r="K139" s="362"/>
      <c r="L139" s="555"/>
      <c r="M139" s="555"/>
      <c r="N139" s="362"/>
      <c r="P139" s="539" t="s">
        <v>30</v>
      </c>
      <c r="Q139" s="539" t="s">
        <v>72</v>
      </c>
      <c r="R139" s="343" t="s">
        <v>73</v>
      </c>
      <c r="S139" s="343" t="s">
        <v>74</v>
      </c>
      <c r="T139" s="343" t="s">
        <v>75</v>
      </c>
      <c r="U139" s="343" t="s">
        <v>76</v>
      </c>
      <c r="V139" s="343" t="s">
        <v>77</v>
      </c>
      <c r="W139" s="343" t="s">
        <v>78</v>
      </c>
      <c r="X139" s="343" t="s">
        <v>36</v>
      </c>
      <c r="Y139" s="343" t="s">
        <v>79</v>
      </c>
      <c r="Z139" s="343" t="s">
        <v>80</v>
      </c>
      <c r="AA139" s="343" t="s">
        <v>81</v>
      </c>
      <c r="AB139" s="343" t="s">
        <v>12</v>
      </c>
    </row>
    <row r="140" spans="1:28" x14ac:dyDescent="0.35">
      <c r="B140" s="97"/>
      <c r="C140" s="944"/>
      <c r="D140" s="97"/>
      <c r="E140" s="564"/>
      <c r="F140" s="558"/>
      <c r="G140" s="97"/>
      <c r="H140" s="560"/>
      <c r="I140" s="558"/>
      <c r="J140" s="561"/>
      <c r="K140" s="97"/>
      <c r="L140" s="562"/>
      <c r="M140" s="97"/>
      <c r="N140" s="563"/>
      <c r="P140" s="540">
        <v>1</v>
      </c>
      <c r="Q140" s="939" t="str">
        <f>Q132</f>
        <v>Kalibrasi Patient / Electroda Leakage Current</v>
      </c>
      <c r="R140" s="541">
        <f>ID!$D$72</f>
        <v>0</v>
      </c>
      <c r="S140" s="542">
        <f>R140+U140</f>
        <v>1.7073471655430807E-3</v>
      </c>
      <c r="T140" s="540">
        <f>AVERAGE(ID!F79:J79)</f>
        <v>0</v>
      </c>
      <c r="U140" s="543">
        <f>(FORECAST(T140,$F$104:$F$107,$C$104:$C$107))</f>
        <v>1.7073471655430807E-3</v>
      </c>
      <c r="V140" s="544">
        <f>T140+U140</f>
        <v>1.7073471655430807E-3</v>
      </c>
      <c r="W140" s="545">
        <f>R140-V140-Z140</f>
        <v>-1.8804544602117571E-3</v>
      </c>
      <c r="X140" s="540">
        <f>STDEV(ID!F79:J79)</f>
        <v>0</v>
      </c>
      <c r="Y140" s="540">
        <f>0.5*ID!K79</f>
        <v>0.05</v>
      </c>
      <c r="Z140" s="540">
        <f>(FORECAST(V140,$G$104:$G$108,$C$104:$C$108))</f>
        <v>1.7310729466867635E-4</v>
      </c>
      <c r="AA140" s="546">
        <f>(FORECAST(V140,$H$104:$H$108,$C$104:$C$108))</f>
        <v>5.1932188400600132E-4</v>
      </c>
      <c r="AB140" s="541">
        <f>KTPS!W246</f>
        <v>5.7985117631630188E-2</v>
      </c>
    </row>
    <row r="141" spans="1:28" x14ac:dyDescent="0.35">
      <c r="B141" s="97"/>
      <c r="C141" s="944"/>
      <c r="D141" s="97"/>
      <c r="E141" s="565"/>
      <c r="F141" s="558"/>
      <c r="G141" s="97"/>
      <c r="H141" s="560"/>
      <c r="I141" s="558"/>
      <c r="J141" s="561"/>
      <c r="K141" s="97"/>
      <c r="L141" s="562"/>
      <c r="M141" s="97"/>
      <c r="N141" s="563"/>
      <c r="P141" s="540">
        <v>2</v>
      </c>
      <c r="Q141" s="939"/>
      <c r="R141" s="541">
        <f>ID!$D$73</f>
        <v>1</v>
      </c>
      <c r="S141" s="542">
        <f t="shared" ref="S141:S145" si="37">R141+U141</f>
        <v>1.0017598182643008</v>
      </c>
      <c r="T141" s="540">
        <f>AVERAGE(ID!F80:J80)</f>
        <v>1.02</v>
      </c>
      <c r="U141" s="543">
        <f t="shared" ref="U141:U144" si="38">(FORECAST(T141,$F$104:$F$107,$C$104:$C$107))</f>
        <v>1.7598182643008167E-3</v>
      </c>
      <c r="V141" s="544">
        <f>T141+U141</f>
        <v>1.0217598182643008</v>
      </c>
      <c r="W141" s="545">
        <f t="shared" ref="W141:W145" si="39">R141-V141-Z141</f>
        <v>-2.2426485130644064E-2</v>
      </c>
      <c r="X141" s="540">
        <f>STDEV(ID!F80:J80)</f>
        <v>0.32710854467592249</v>
      </c>
      <c r="Y141" s="540">
        <f>0.5*ID!K80</f>
        <v>0.05</v>
      </c>
      <c r="Z141" s="540">
        <f t="shared" ref="Z141:Z145" si="40">(FORECAST(V141,$G$104:$G$108,$C$104:$C$108))</f>
        <v>6.6666686634321993E-4</v>
      </c>
      <c r="AA141" s="546">
        <f t="shared" ref="AA141:AA144" si="41">(FORECAST(V141,$H$104:$H$108,$C$104:$C$108))</f>
        <v>2.0000005990296324E-3</v>
      </c>
      <c r="AB141" s="541">
        <f>KTPS!W258</f>
        <v>0.40229830722232779</v>
      </c>
    </row>
    <row r="142" spans="1:28" x14ac:dyDescent="0.35">
      <c r="B142" s="97"/>
      <c r="C142" s="944"/>
      <c r="D142" s="97"/>
      <c r="E142" s="565"/>
      <c r="F142" s="558"/>
      <c r="G142" s="97"/>
      <c r="H142" s="560"/>
      <c r="I142" s="558"/>
      <c r="J142" s="561"/>
      <c r="K142" s="97"/>
      <c r="L142" s="562"/>
      <c r="M142" s="97"/>
      <c r="N142" s="563"/>
      <c r="P142" s="540">
        <v>3</v>
      </c>
      <c r="Q142" s="939"/>
      <c r="R142" s="541">
        <f>ID!$D$74</f>
        <v>50</v>
      </c>
      <c r="S142" s="542">
        <f t="shared" si="37"/>
        <v>50.004275344469448</v>
      </c>
      <c r="T142" s="540">
        <f>AVERAGE(ID!F81:J81)</f>
        <v>49.92</v>
      </c>
      <c r="U142" s="543">
        <f t="shared" si="38"/>
        <v>4.2753444694511034E-3</v>
      </c>
      <c r="V142" s="544">
        <f t="shared" ref="V142:V145" si="42">T142+U142</f>
        <v>49.92427534446945</v>
      </c>
      <c r="W142" s="545">
        <f t="shared" si="39"/>
        <v>5.1396162139809506E-2</v>
      </c>
      <c r="X142" s="540">
        <f>STDEV(ID!F81:J81)</f>
        <v>0.2949576240750536</v>
      </c>
      <c r="Y142" s="540">
        <f>0.5*ID!K81</f>
        <v>0.05</v>
      </c>
      <c r="Z142" s="540">
        <f t="shared" si="40"/>
        <v>2.4328493390740457E-2</v>
      </c>
      <c r="AA142" s="546">
        <f t="shared" si="41"/>
        <v>7.2985480172221354E-2</v>
      </c>
      <c r="AB142" s="541">
        <f>KTPS!W270</f>
        <v>0.35811948282612488</v>
      </c>
    </row>
    <row r="143" spans="1:28" x14ac:dyDescent="0.35">
      <c r="B143" s="97"/>
      <c r="C143" s="944"/>
      <c r="D143" s="97"/>
      <c r="E143" s="564"/>
      <c r="F143" s="558"/>
      <c r="G143" s="97"/>
      <c r="H143" s="560"/>
      <c r="I143" s="558"/>
      <c r="J143" s="561"/>
      <c r="K143" s="97"/>
      <c r="L143" s="562"/>
      <c r="M143" s="97"/>
      <c r="N143" s="563"/>
      <c r="P143" s="540">
        <v>4</v>
      </c>
      <c r="Q143" s="939"/>
      <c r="R143" s="541">
        <f>ID!$D$75</f>
        <v>100</v>
      </c>
      <c r="S143" s="542">
        <f t="shared" si="37"/>
        <v>100.00684642830858</v>
      </c>
      <c r="T143" s="540">
        <f>AVERAGE(ID!F82:J82)</f>
        <v>99.9</v>
      </c>
      <c r="U143" s="543">
        <f t="shared" si="38"/>
        <v>6.8464283085801691E-3</v>
      </c>
      <c r="V143" s="544">
        <f t="shared" si="42"/>
        <v>99.906846428308583</v>
      </c>
      <c r="W143" s="545">
        <f t="shared" si="39"/>
        <v>4.4640659288623818E-2</v>
      </c>
      <c r="X143" s="540">
        <f>STDEV(ID!F82:J82)</f>
        <v>0.24494897427831983</v>
      </c>
      <c r="Y143" s="540">
        <f>0.5*ID!K82</f>
        <v>0.05</v>
      </c>
      <c r="Z143" s="540">
        <f t="shared" si="40"/>
        <v>4.8512912402793096E-2</v>
      </c>
      <c r="AA143" s="546">
        <f t="shared" si="41"/>
        <v>0.14553873720837929</v>
      </c>
      <c r="AB143" s="541">
        <f>KTPS!W282</f>
        <v>0.30738845486607386</v>
      </c>
    </row>
    <row r="144" spans="1:28" x14ac:dyDescent="0.35">
      <c r="B144" s="97"/>
      <c r="C144" s="944"/>
      <c r="D144" s="97"/>
      <c r="E144" s="565"/>
      <c r="F144" s="558"/>
      <c r="G144" s="97"/>
      <c r="H144" s="560"/>
      <c r="I144" s="558"/>
      <c r="J144" s="561"/>
      <c r="K144" s="97"/>
      <c r="L144" s="562"/>
      <c r="M144" s="97"/>
      <c r="N144" s="563"/>
      <c r="P144" s="540">
        <v>5</v>
      </c>
      <c r="Q144" s="939"/>
      <c r="R144" s="541">
        <f>ID!$D$76</f>
        <v>500</v>
      </c>
      <c r="S144" s="542">
        <f t="shared" si="37"/>
        <v>500.02737703175387</v>
      </c>
      <c r="T144" s="540">
        <f>AVERAGE(ID!F83:J83)</f>
        <v>499</v>
      </c>
      <c r="U144" s="543">
        <f t="shared" si="38"/>
        <v>2.7377031753886494E-2</v>
      </c>
      <c r="V144" s="544">
        <f t="shared" si="42"/>
        <v>499.02737703175387</v>
      </c>
      <c r="W144" s="545">
        <f t="shared" si="39"/>
        <v>0.73099277637734439</v>
      </c>
      <c r="X144" s="540">
        <f>STDEV(ID!F83:J83)</f>
        <v>0</v>
      </c>
      <c r="Y144" s="540">
        <f>0.5*ID!K83</f>
        <v>0.5</v>
      </c>
      <c r="Z144" s="540">
        <f t="shared" si="40"/>
        <v>0.24163019186878362</v>
      </c>
      <c r="AA144" s="546">
        <f t="shared" si="41"/>
        <v>0.72489057560635106</v>
      </c>
      <c r="AB144" s="541">
        <f>KTPS!W294</f>
        <v>0.95883791518011396</v>
      </c>
    </row>
    <row r="145" spans="2:28" x14ac:dyDescent="0.35">
      <c r="B145" s="97"/>
      <c r="C145" s="944"/>
      <c r="D145" s="97"/>
      <c r="E145" s="565"/>
      <c r="F145" s="558"/>
      <c r="G145" s="97"/>
      <c r="H145" s="560"/>
      <c r="I145" s="558"/>
      <c r="J145" s="561"/>
      <c r="K145" s="97"/>
      <c r="L145" s="562"/>
      <c r="M145" s="97"/>
      <c r="N145" s="563"/>
      <c r="P145" s="540">
        <v>6</v>
      </c>
      <c r="Q145" s="939"/>
      <c r="R145" s="541">
        <f>ID!$D$77</f>
        <v>1000</v>
      </c>
      <c r="S145" s="542">
        <f t="shared" si="37"/>
        <v>1000.053098158596</v>
      </c>
      <c r="T145" s="540">
        <f>AVERAGE(ID!F84:J84)</f>
        <v>999</v>
      </c>
      <c r="U145" s="543">
        <f>(FORECAST(T145,$F$104:$F$107,$C$104:$C$107))</f>
        <v>5.3098158595913963E-2</v>
      </c>
      <c r="V145" s="544">
        <f t="shared" si="42"/>
        <v>999.05309815859596</v>
      </c>
      <c r="W145" s="545">
        <f t="shared" si="39"/>
        <v>0.46333068302812913</v>
      </c>
      <c r="X145" s="540">
        <f>STDEV(ID!F84:J84)</f>
        <v>0</v>
      </c>
      <c r="Y145" s="540">
        <f>0.5*ID!K84</f>
        <v>0.5</v>
      </c>
      <c r="Z145" s="540">
        <f t="shared" si="40"/>
        <v>0.48357115837591286</v>
      </c>
      <c r="AA145" s="546">
        <f>(FORECAST(V145,$H$104:$H$108,$C$104:$C$108))</f>
        <v>1.4507134751277388</v>
      </c>
      <c r="AB145" s="541">
        <f>KTPS!W306</f>
        <v>1.6495186620989404</v>
      </c>
    </row>
    <row r="146" spans="2:28" x14ac:dyDescent="0.35">
      <c r="P146" s="402" t="str">
        <f>ID!D85</f>
        <v>L Terhadap Pembumian</v>
      </c>
      <c r="Q146" s="402"/>
      <c r="R146" s="402"/>
      <c r="S146" s="402"/>
      <c r="T146" s="402"/>
      <c r="U146" s="402"/>
      <c r="V146" s="402"/>
      <c r="W146" s="402"/>
      <c r="X146" s="402"/>
      <c r="Y146" s="402"/>
      <c r="Z146" s="402"/>
      <c r="AA146" s="402"/>
      <c r="AB146" s="402"/>
    </row>
    <row r="147" spans="2:28" ht="21" x14ac:dyDescent="0.35">
      <c r="B147" s="553"/>
      <c r="C147" s="553"/>
      <c r="D147" s="362"/>
      <c r="E147" s="554"/>
      <c r="F147" s="362"/>
      <c r="G147" s="555"/>
      <c r="H147" s="362"/>
      <c r="I147" s="556"/>
      <c r="J147" s="362"/>
      <c r="K147" s="362"/>
      <c r="L147" s="555"/>
      <c r="M147" s="555"/>
      <c r="N147" s="362"/>
      <c r="P147" s="539" t="s">
        <v>30</v>
      </c>
      <c r="Q147" s="539" t="s">
        <v>72</v>
      </c>
      <c r="R147" s="343" t="s">
        <v>73</v>
      </c>
      <c r="S147" s="343" t="s">
        <v>74</v>
      </c>
      <c r="T147" s="343" t="s">
        <v>75</v>
      </c>
      <c r="U147" s="343" t="s">
        <v>76</v>
      </c>
      <c r="V147" s="343" t="s">
        <v>77</v>
      </c>
      <c r="W147" s="343" t="s">
        <v>78</v>
      </c>
      <c r="X147" s="343" t="s">
        <v>36</v>
      </c>
      <c r="Y147" s="343" t="s">
        <v>79</v>
      </c>
      <c r="Z147" s="343" t="s">
        <v>80</v>
      </c>
      <c r="AA147" s="343" t="s">
        <v>81</v>
      </c>
      <c r="AB147" s="343" t="s">
        <v>12</v>
      </c>
    </row>
    <row r="148" spans="2:28" x14ac:dyDescent="0.35">
      <c r="B148" s="97"/>
      <c r="C148" s="944"/>
      <c r="D148" s="97"/>
      <c r="E148" s="564"/>
      <c r="F148" s="558"/>
      <c r="G148" s="562"/>
      <c r="H148" s="560"/>
      <c r="I148" s="558"/>
      <c r="J148" s="561"/>
      <c r="K148" s="97"/>
      <c r="L148" s="562"/>
      <c r="M148" s="562"/>
      <c r="N148" s="563"/>
      <c r="P148" s="540">
        <v>1</v>
      </c>
      <c r="Q148" s="939" t="str">
        <f>Q140</f>
        <v>Kalibrasi Patient / Electroda Leakage Current</v>
      </c>
      <c r="R148" s="541">
        <f>ID!$D$72</f>
        <v>0</v>
      </c>
      <c r="S148" s="542">
        <f>R148+U148</f>
        <v>1.7073471655430807E-3</v>
      </c>
      <c r="T148" s="540">
        <f>AVERAGE(ID!F86:J86)</f>
        <v>0</v>
      </c>
      <c r="U148" s="543">
        <f>(FORECAST(T148,$F$104:$F$107,$C$104:$C$107))</f>
        <v>1.7073471655430807E-3</v>
      </c>
      <c r="V148" s="544">
        <f>T148+U148</f>
        <v>1.7073471655430807E-3</v>
      </c>
      <c r="W148" s="545">
        <f>R148-V148-Z148</f>
        <v>-1.8804544602117571E-3</v>
      </c>
      <c r="X148" s="540">
        <f>STDEV(ID!F86:J86)</f>
        <v>0</v>
      </c>
      <c r="Y148" s="540">
        <f>0.5*ID!K86</f>
        <v>0.05</v>
      </c>
      <c r="Z148" s="540">
        <f>(FORECAST(V148,$G$104:$G$108,$C$104:$C$108))</f>
        <v>1.7310729466867635E-4</v>
      </c>
      <c r="AA148" s="546">
        <f>(FORECAST(V148,$H$104:$H$108,$C$104:$C$108))</f>
        <v>5.1932188400600132E-4</v>
      </c>
      <c r="AB148" s="541">
        <f>KTPS!AI246</f>
        <v>5.7985117631630188E-2</v>
      </c>
    </row>
    <row r="149" spans="2:28" x14ac:dyDescent="0.35">
      <c r="B149" s="97"/>
      <c r="C149" s="944"/>
      <c r="D149" s="97"/>
      <c r="E149" s="565"/>
      <c r="F149" s="558"/>
      <c r="G149" s="562"/>
      <c r="H149" s="560"/>
      <c r="I149" s="558"/>
      <c r="J149" s="561"/>
      <c r="K149" s="97"/>
      <c r="L149" s="562"/>
      <c r="M149" s="562"/>
      <c r="N149" s="563"/>
      <c r="P149" s="540">
        <v>2</v>
      </c>
      <c r="Q149" s="939"/>
      <c r="R149" s="541">
        <f>ID!$D$73</f>
        <v>1</v>
      </c>
      <c r="S149" s="542">
        <f t="shared" ref="S149:S153" si="43">R149+U149</f>
        <v>1.0017598182643008</v>
      </c>
      <c r="T149" s="540">
        <f>AVERAGE(ID!F87:J87)</f>
        <v>1.02</v>
      </c>
      <c r="U149" s="543">
        <f t="shared" ref="U149:U152" si="44">(FORECAST(T149,$F$104:$F$107,$C$104:$C$107))</f>
        <v>1.7598182643008167E-3</v>
      </c>
      <c r="V149" s="544">
        <f>T149+U149</f>
        <v>1.0217598182643008</v>
      </c>
      <c r="W149" s="545">
        <f t="shared" ref="W149:W153" si="45">R149-V149-Z149</f>
        <v>-2.2426485130644064E-2</v>
      </c>
      <c r="X149" s="540">
        <f>STDEV(ID!F87:J87)</f>
        <v>0.19235384061671382</v>
      </c>
      <c r="Y149" s="540">
        <f>0.5*ID!K87</f>
        <v>0.05</v>
      </c>
      <c r="Z149" s="540">
        <f t="shared" ref="Z149:Z153" si="46">(FORECAST(V149,$G$104:$G$108,$C$104:$C$108))</f>
        <v>6.6666686634321993E-4</v>
      </c>
      <c r="AA149" s="546">
        <f t="shared" ref="AA149:AA153" si="47">(FORECAST(V149,$H$104:$H$108,$C$104:$C$108))</f>
        <v>2.0000005990296324E-3</v>
      </c>
      <c r="AB149" s="541">
        <f>KTPS!AI258</f>
        <v>0.23402049189438798</v>
      </c>
    </row>
    <row r="150" spans="2:28" x14ac:dyDescent="0.35">
      <c r="B150" s="97"/>
      <c r="C150" s="944"/>
      <c r="D150" s="97"/>
      <c r="E150" s="565"/>
      <c r="F150" s="558"/>
      <c r="G150" s="562"/>
      <c r="H150" s="560"/>
      <c r="I150" s="558"/>
      <c r="J150" s="561"/>
      <c r="K150" s="97"/>
      <c r="L150" s="562"/>
      <c r="M150" s="562"/>
      <c r="N150" s="563"/>
      <c r="P150" s="540">
        <v>3</v>
      </c>
      <c r="Q150" s="939"/>
      <c r="R150" s="541">
        <f>ID!$D$74</f>
        <v>50</v>
      </c>
      <c r="S150" s="542">
        <f t="shared" si="43"/>
        <v>50.004279459849748</v>
      </c>
      <c r="T150" s="540">
        <f>AVERAGE(ID!F88:J88)</f>
        <v>50</v>
      </c>
      <c r="U150" s="543">
        <f t="shared" si="44"/>
        <v>4.2794598497458269E-3</v>
      </c>
      <c r="V150" s="544">
        <f t="shared" ref="V150:V153" si="48">T150+U150</f>
        <v>50.004279459849748</v>
      </c>
      <c r="W150" s="545">
        <f t="shared" si="45"/>
        <v>-2.864666379512958E-2</v>
      </c>
      <c r="X150" s="540">
        <f>STDEV(ID!F88:J88)</f>
        <v>0.15811388300842122</v>
      </c>
      <c r="Y150" s="540">
        <f>0.5*ID!K88</f>
        <v>0.05</v>
      </c>
      <c r="Z150" s="540">
        <f t="shared" si="46"/>
        <v>2.43672039453816E-2</v>
      </c>
      <c r="AA150" s="546">
        <f t="shared" si="47"/>
        <v>7.3101611836144789E-2</v>
      </c>
      <c r="AB150" s="541">
        <f>KTPS!AI270</f>
        <v>0.19550721666383636</v>
      </c>
    </row>
    <row r="151" spans="2:28" x14ac:dyDescent="0.35">
      <c r="B151" s="97"/>
      <c r="C151" s="944"/>
      <c r="D151" s="97"/>
      <c r="E151" s="564"/>
      <c r="F151" s="558"/>
      <c r="G151" s="97"/>
      <c r="H151" s="560"/>
      <c r="I151" s="558"/>
      <c r="J151" s="561"/>
      <c r="K151" s="97"/>
      <c r="L151" s="562"/>
      <c r="M151" s="97"/>
      <c r="N151" s="563"/>
      <c r="P151" s="540">
        <v>4</v>
      </c>
      <c r="Q151" s="939"/>
      <c r="R151" s="541">
        <f>ID!$D$75</f>
        <v>100</v>
      </c>
      <c r="S151" s="542">
        <f t="shared" si="43"/>
        <v>100.00685260137902</v>
      </c>
      <c r="T151" s="540">
        <f>AVERAGE(ID!F89:J89)</f>
        <v>100.02</v>
      </c>
      <c r="U151" s="543">
        <f t="shared" si="44"/>
        <v>6.8526013790222553E-3</v>
      </c>
      <c r="V151" s="544">
        <f t="shared" si="48"/>
        <v>100.02685260137902</v>
      </c>
      <c r="W151" s="545">
        <f t="shared" si="45"/>
        <v>-7.5423579613774161E-2</v>
      </c>
      <c r="X151" s="540">
        <f>STDEV(ID!F89:J89)</f>
        <v>0.31144823004794814</v>
      </c>
      <c r="Y151" s="540">
        <f>0.5*ID!K89</f>
        <v>0.05</v>
      </c>
      <c r="Z151" s="540">
        <f t="shared" si="46"/>
        <v>4.8570978234754807E-2</v>
      </c>
      <c r="AA151" s="546">
        <f t="shared" si="47"/>
        <v>0.14571293470426441</v>
      </c>
      <c r="AB151" s="541">
        <f>KTPS!AI282</f>
        <v>0.38031492716335302</v>
      </c>
    </row>
    <row r="152" spans="2:28" x14ac:dyDescent="0.35">
      <c r="B152" s="97"/>
      <c r="C152" s="944"/>
      <c r="D152" s="97"/>
      <c r="E152" s="565"/>
      <c r="F152" s="558"/>
      <c r="G152" s="97"/>
      <c r="H152" s="560"/>
      <c r="I152" s="558"/>
      <c r="J152" s="561"/>
      <c r="K152" s="97"/>
      <c r="L152" s="562"/>
      <c r="M152" s="97"/>
      <c r="N152" s="563"/>
      <c r="P152" s="540">
        <v>5</v>
      </c>
      <c r="Q152" s="939"/>
      <c r="R152" s="541">
        <f>ID!$D$76</f>
        <v>500</v>
      </c>
      <c r="S152" s="542">
        <f t="shared" si="43"/>
        <v>500.02739760865535</v>
      </c>
      <c r="T152" s="540">
        <f>AVERAGE(ID!F90:J90)</f>
        <v>499.4</v>
      </c>
      <c r="U152" s="543">
        <f t="shared" si="44"/>
        <v>2.7397608655360114E-2</v>
      </c>
      <c r="V152" s="544">
        <f t="shared" si="48"/>
        <v>499.42739760865533</v>
      </c>
      <c r="W152" s="545">
        <f t="shared" si="45"/>
        <v>0.33077864670268453</v>
      </c>
      <c r="X152" s="540">
        <f>STDEV(ID!F90:J90)</f>
        <v>0.54772255750516619</v>
      </c>
      <c r="Y152" s="540">
        <f>0.5*ID!K90</f>
        <v>0.5</v>
      </c>
      <c r="Z152" s="540">
        <f t="shared" si="46"/>
        <v>0.24182374464198933</v>
      </c>
      <c r="AA152" s="546">
        <f t="shared" si="47"/>
        <v>0.72547123392596813</v>
      </c>
      <c r="AB152" s="541">
        <f>KTPS!AI294</f>
        <v>1.0845489705213354</v>
      </c>
    </row>
    <row r="153" spans="2:28" x14ac:dyDescent="0.35">
      <c r="B153" s="97"/>
      <c r="C153" s="944"/>
      <c r="D153" s="97"/>
      <c r="E153" s="565"/>
      <c r="F153" s="558"/>
      <c r="G153" s="97"/>
      <c r="H153" s="560"/>
      <c r="I153" s="558"/>
      <c r="J153" s="561"/>
      <c r="K153" s="97"/>
      <c r="L153" s="562"/>
      <c r="M153" s="97"/>
      <c r="N153" s="563"/>
      <c r="P153" s="540">
        <v>6</v>
      </c>
      <c r="Q153" s="939"/>
      <c r="R153" s="541">
        <f>ID!$D$77</f>
        <v>1000</v>
      </c>
      <c r="S153" s="542">
        <f t="shared" si="43"/>
        <v>1000.0531290239481</v>
      </c>
      <c r="T153" s="540">
        <f>AVERAGE(ID!F91:J91)</f>
        <v>999.6</v>
      </c>
      <c r="U153" s="543">
        <f>(FORECAST(T153,$F$104:$F$107,$C$104:$C$107))</f>
        <v>5.3129023948124396E-2</v>
      </c>
      <c r="V153" s="544">
        <f t="shared" si="48"/>
        <v>999.65312902394817</v>
      </c>
      <c r="W153" s="545">
        <f t="shared" si="45"/>
        <v>-0.13699051148388919</v>
      </c>
      <c r="X153" s="540">
        <f>STDEV(ID!F91:J91)</f>
        <v>0.54772255750516619</v>
      </c>
      <c r="Y153" s="540">
        <f>0.5*ID!K91</f>
        <v>0.5</v>
      </c>
      <c r="Z153" s="540">
        <f t="shared" si="46"/>
        <v>0.48386148753572145</v>
      </c>
      <c r="AA153" s="546">
        <f t="shared" si="47"/>
        <v>1.4515844626071646</v>
      </c>
      <c r="AB153" s="541">
        <f>KTPS!AI306</f>
        <v>1.7202463989143639</v>
      </c>
    </row>
    <row r="154" spans="2:28" x14ac:dyDescent="0.35">
      <c r="P154" s="402" t="str">
        <f>ID!D92</f>
        <v>N Terhadap Pembumian</v>
      </c>
      <c r="Q154" s="402"/>
      <c r="R154" s="402"/>
      <c r="S154" s="402"/>
      <c r="T154" s="402"/>
      <c r="U154" s="402"/>
      <c r="V154" s="402"/>
      <c r="W154" s="402"/>
      <c r="X154" s="402"/>
      <c r="Y154" s="402"/>
      <c r="Z154" s="402"/>
      <c r="AA154" s="402"/>
      <c r="AB154" s="402"/>
    </row>
    <row r="155" spans="2:28" ht="21" x14ac:dyDescent="0.35">
      <c r="P155" s="539" t="s">
        <v>30</v>
      </c>
      <c r="Q155" s="539" t="s">
        <v>72</v>
      </c>
      <c r="R155" s="343" t="s">
        <v>73</v>
      </c>
      <c r="S155" s="343" t="s">
        <v>74</v>
      </c>
      <c r="T155" s="343" t="s">
        <v>75</v>
      </c>
      <c r="U155" s="343" t="s">
        <v>76</v>
      </c>
      <c r="V155" s="343" t="s">
        <v>77</v>
      </c>
      <c r="W155" s="343" t="s">
        <v>78</v>
      </c>
      <c r="X155" s="343" t="s">
        <v>36</v>
      </c>
      <c r="Y155" s="343" t="s">
        <v>79</v>
      </c>
      <c r="Z155" s="343" t="s">
        <v>80</v>
      </c>
      <c r="AA155" s="343" t="s">
        <v>81</v>
      </c>
      <c r="AB155" s="343" t="s">
        <v>12</v>
      </c>
    </row>
    <row r="156" spans="2:28" x14ac:dyDescent="0.35">
      <c r="P156" s="540">
        <v>1</v>
      </c>
      <c r="Q156" s="939" t="str">
        <f>Q148</f>
        <v>Kalibrasi Patient / Electroda Leakage Current</v>
      </c>
      <c r="R156" s="541">
        <f>ID!$D$72</f>
        <v>0</v>
      </c>
      <c r="S156" s="542">
        <f>R156+U156</f>
        <v>1.7073471655430807E-3</v>
      </c>
      <c r="T156" s="540">
        <f>AVERAGE(ID!F93:J93)</f>
        <v>0</v>
      </c>
      <c r="U156" s="543">
        <f>(FORECAST(T156,$F$104:$F$107,$C$104:$C$107))</f>
        <v>1.7073471655430807E-3</v>
      </c>
      <c r="V156" s="544">
        <f>T156+U156</f>
        <v>1.7073471655430807E-3</v>
      </c>
      <c r="W156" s="545">
        <f t="shared" ref="W156:W161" si="49">R156-V156-Z156</f>
        <v>-1.8804544602117571E-3</v>
      </c>
      <c r="X156" s="540">
        <f>STDEV(ID!F93:J93)</f>
        <v>0</v>
      </c>
      <c r="Y156" s="540">
        <f>0.5*ID!K93</f>
        <v>0.05</v>
      </c>
      <c r="Z156" s="540">
        <f>(FORECAST(V156,$G$104:$G$108,$C$104:$C$108))</f>
        <v>1.7310729466867635E-4</v>
      </c>
      <c r="AA156" s="546">
        <f>(FORECAST(V156,$H$104:$H$108,$C$104:$C$108))</f>
        <v>5.1932188400600132E-4</v>
      </c>
      <c r="AB156" s="541">
        <f>KTPS!AU246</f>
        <v>5.7985117631630188E-2</v>
      </c>
    </row>
    <row r="157" spans="2:28" x14ac:dyDescent="0.35">
      <c r="P157" s="540">
        <v>2</v>
      </c>
      <c r="Q157" s="939"/>
      <c r="R157" s="541">
        <f>ID!$D$73</f>
        <v>1</v>
      </c>
      <c r="S157" s="542">
        <f t="shared" ref="S157:S161" si="50">R157+U157</f>
        <v>1.0017598182643008</v>
      </c>
      <c r="T157" s="540">
        <f>AVERAGE(ID!F94:J94)</f>
        <v>1.02</v>
      </c>
      <c r="U157" s="543">
        <f t="shared" ref="U157:U160" si="51">(FORECAST(T157,$F$104:$F$107,$C$104:$C$107))</f>
        <v>1.7598182643008167E-3</v>
      </c>
      <c r="V157" s="544">
        <f>T157+U157</f>
        <v>1.0217598182643008</v>
      </c>
      <c r="W157" s="545">
        <f t="shared" si="49"/>
        <v>-2.2426485130644064E-2</v>
      </c>
      <c r="X157" s="540">
        <f>STDEV(ID!F94:J94)</f>
        <v>0.19235384061671382</v>
      </c>
      <c r="Y157" s="540">
        <f>0.5*ID!K94</f>
        <v>0.05</v>
      </c>
      <c r="Z157" s="540">
        <f t="shared" ref="Z157:Z161" si="52">(FORECAST(V157,$G$104:$G$108,$C$104:$C$108))</f>
        <v>6.6666686634321993E-4</v>
      </c>
      <c r="AA157" s="546">
        <f t="shared" ref="AA157:AA161" si="53">(FORECAST(V157,$H$104:$H$108,$C$104:$C$108))</f>
        <v>2.0000005990296324E-3</v>
      </c>
      <c r="AB157" s="541">
        <f>KTPS!AU258</f>
        <v>0.23402049189438798</v>
      </c>
    </row>
    <row r="158" spans="2:28" x14ac:dyDescent="0.35">
      <c r="P158" s="540">
        <v>3</v>
      </c>
      <c r="Q158" s="939"/>
      <c r="R158" s="541">
        <f>ID!$D$74</f>
        <v>50</v>
      </c>
      <c r="S158" s="542">
        <f t="shared" si="50"/>
        <v>50.004279459849748</v>
      </c>
      <c r="T158" s="540">
        <f>AVERAGE(ID!F95:J95)</f>
        <v>50</v>
      </c>
      <c r="U158" s="543">
        <f t="shared" si="51"/>
        <v>4.2794598497458269E-3</v>
      </c>
      <c r="V158" s="544">
        <f t="shared" ref="V158:V161" si="54">T158+U158</f>
        <v>50.004279459849748</v>
      </c>
      <c r="W158" s="545">
        <f t="shared" si="49"/>
        <v>-2.864666379512958E-2</v>
      </c>
      <c r="X158" s="540">
        <f>STDEV(ID!F95:J95)</f>
        <v>0.15811388300842122</v>
      </c>
      <c r="Y158" s="540">
        <f>0.5*ID!K95</f>
        <v>0.05</v>
      </c>
      <c r="Z158" s="540">
        <f t="shared" si="52"/>
        <v>2.43672039453816E-2</v>
      </c>
      <c r="AA158" s="546">
        <f t="shared" si="53"/>
        <v>7.3101611836144789E-2</v>
      </c>
      <c r="AB158" s="541">
        <f>KTPS!AU270</f>
        <v>0.19550721666383636</v>
      </c>
    </row>
    <row r="159" spans="2:28" x14ac:dyDescent="0.35">
      <c r="P159" s="540">
        <v>4</v>
      </c>
      <c r="Q159" s="939"/>
      <c r="R159" s="541">
        <f>ID!$D$75</f>
        <v>100</v>
      </c>
      <c r="S159" s="542">
        <f t="shared" si="50"/>
        <v>100.00685260137902</v>
      </c>
      <c r="T159" s="540">
        <f>AVERAGE(ID!F96:J96)</f>
        <v>100.02</v>
      </c>
      <c r="U159" s="543">
        <f t="shared" si="51"/>
        <v>6.8526013790222553E-3</v>
      </c>
      <c r="V159" s="544">
        <f t="shared" si="54"/>
        <v>100.02685260137902</v>
      </c>
      <c r="W159" s="545">
        <f t="shared" si="49"/>
        <v>-7.5423579613774161E-2</v>
      </c>
      <c r="X159" s="540">
        <f>STDEV(ID!F96:J96)</f>
        <v>0.31144823004794814</v>
      </c>
      <c r="Y159" s="540">
        <f>0.5*ID!K96</f>
        <v>0.05</v>
      </c>
      <c r="Z159" s="540">
        <f t="shared" si="52"/>
        <v>4.8570978234754807E-2</v>
      </c>
      <c r="AA159" s="546">
        <f t="shared" si="53"/>
        <v>0.14571293470426441</v>
      </c>
      <c r="AB159" s="541">
        <f>KTPS!AU282</f>
        <v>0.38031492716335302</v>
      </c>
    </row>
    <row r="160" spans="2:28" x14ac:dyDescent="0.35">
      <c r="P160" s="540">
        <v>5</v>
      </c>
      <c r="Q160" s="939"/>
      <c r="R160" s="541">
        <f>ID!$D$76</f>
        <v>500</v>
      </c>
      <c r="S160" s="542">
        <f t="shared" si="50"/>
        <v>500.02739760865535</v>
      </c>
      <c r="T160" s="540">
        <f>AVERAGE(ID!F97:J97)</f>
        <v>499.4</v>
      </c>
      <c r="U160" s="543">
        <f t="shared" si="51"/>
        <v>2.7397608655360114E-2</v>
      </c>
      <c r="V160" s="544">
        <f t="shared" si="54"/>
        <v>499.42739760865533</v>
      </c>
      <c r="W160" s="545">
        <f t="shared" si="49"/>
        <v>0.33077864670268453</v>
      </c>
      <c r="X160" s="540">
        <f>STDEV(ID!F97:J97)</f>
        <v>0.54772255750516619</v>
      </c>
      <c r="Y160" s="540">
        <f>0.5*ID!K97</f>
        <v>0.5</v>
      </c>
      <c r="Z160" s="540">
        <f t="shared" si="52"/>
        <v>0.24182374464198933</v>
      </c>
      <c r="AA160" s="546">
        <f t="shared" si="53"/>
        <v>0.72547123392596813</v>
      </c>
      <c r="AB160" s="541">
        <f>KTPS!AU294</f>
        <v>1.0845489705213354</v>
      </c>
    </row>
    <row r="161" spans="15:28" x14ac:dyDescent="0.35">
      <c r="P161" s="540">
        <v>6</v>
      </c>
      <c r="Q161" s="939"/>
      <c r="R161" s="541">
        <f>ID!$D$77</f>
        <v>1000</v>
      </c>
      <c r="S161" s="542">
        <f t="shared" si="50"/>
        <v>1000.0530775816944</v>
      </c>
      <c r="T161" s="540">
        <f>AVERAGE(ID!F98:J98)</f>
        <v>998.6</v>
      </c>
      <c r="U161" s="543">
        <f>(FORECAST(T161,$F$104:$F$107,$C$104:$C$107))</f>
        <v>5.3077581694440337E-2</v>
      </c>
      <c r="V161" s="544">
        <f t="shared" si="54"/>
        <v>998.65307758169445</v>
      </c>
      <c r="W161" s="545">
        <f t="shared" si="49"/>
        <v>0.86354481270284589</v>
      </c>
      <c r="X161" s="540">
        <f>STDEV(ID!F98:J98)</f>
        <v>0.54772255750516619</v>
      </c>
      <c r="Y161" s="540">
        <f>0.5*ID!K98</f>
        <v>0.5</v>
      </c>
      <c r="Z161" s="540">
        <f t="shared" si="52"/>
        <v>0.48337760560270715</v>
      </c>
      <c r="AA161" s="546">
        <f t="shared" si="53"/>
        <v>1.4501328168081218</v>
      </c>
      <c r="AB161" s="541">
        <f>KTPS!AU306</f>
        <v>1.7188520862151635</v>
      </c>
    </row>
    <row r="162" spans="15:28" x14ac:dyDescent="0.35">
      <c r="P162" s="402" t="str">
        <f>ID!D99</f>
        <v>V1 - V6 Terhadap Pembumian</v>
      </c>
      <c r="Q162" s="402"/>
      <c r="R162" s="402"/>
      <c r="S162" s="402"/>
      <c r="T162" s="402"/>
      <c r="U162" s="402"/>
      <c r="V162" s="402"/>
      <c r="W162" s="402"/>
      <c r="X162" s="402"/>
      <c r="Y162" s="402"/>
      <c r="Z162" s="402"/>
      <c r="AA162" s="402"/>
      <c r="AB162" s="402"/>
    </row>
    <row r="163" spans="15:28" ht="21" x14ac:dyDescent="0.35">
      <c r="P163" s="539" t="s">
        <v>30</v>
      </c>
      <c r="Q163" s="539" t="s">
        <v>72</v>
      </c>
      <c r="R163" s="343" t="s">
        <v>73</v>
      </c>
      <c r="S163" s="343" t="s">
        <v>74</v>
      </c>
      <c r="T163" s="343" t="s">
        <v>75</v>
      </c>
      <c r="U163" s="343" t="s">
        <v>76</v>
      </c>
      <c r="V163" s="343" t="s">
        <v>77</v>
      </c>
      <c r="W163" s="343" t="s">
        <v>78</v>
      </c>
      <c r="X163" s="343" t="s">
        <v>36</v>
      </c>
      <c r="Y163" s="343" t="s">
        <v>79</v>
      </c>
      <c r="Z163" s="343" t="s">
        <v>80</v>
      </c>
      <c r="AA163" s="343" t="s">
        <v>81</v>
      </c>
      <c r="AB163" s="343" t="s">
        <v>12</v>
      </c>
    </row>
    <row r="164" spans="15:28" x14ac:dyDescent="0.35">
      <c r="P164" s="540">
        <v>1</v>
      </c>
      <c r="Q164" s="939" t="str">
        <f>Q156</f>
        <v>Kalibrasi Patient / Electroda Leakage Current</v>
      </c>
      <c r="R164" s="541">
        <f>ID!$D$72</f>
        <v>0</v>
      </c>
      <c r="S164" s="542">
        <f>R164+U164</f>
        <v>1.7073471655430807E-3</v>
      </c>
      <c r="T164" s="697">
        <f>AVERAGE(ID!F100:J100)</f>
        <v>0</v>
      </c>
      <c r="U164" s="543">
        <f>(FORECAST(T164,$F$104:$F$107,$C$104:$C$107))</f>
        <v>1.7073471655430807E-3</v>
      </c>
      <c r="V164" s="544">
        <f>T164+U164</f>
        <v>1.7073471655430807E-3</v>
      </c>
      <c r="W164" s="545">
        <f>R164-V164-Z164</f>
        <v>-1.8804544602117571E-3</v>
      </c>
      <c r="X164" s="540">
        <f>STDEV(ID!F100:J100)</f>
        <v>0</v>
      </c>
      <c r="Y164" s="540">
        <f>0.5*ID!K100</f>
        <v>0.05</v>
      </c>
      <c r="Z164" s="540">
        <f>(FORECAST(V164,$G$104:$G$108,$C$104:$C$108))</f>
        <v>1.7310729466867635E-4</v>
      </c>
      <c r="AA164" s="546">
        <f>(FORECAST(V164,$H$104:$H$108,$C$104:$C$108))</f>
        <v>5.1932188400600132E-4</v>
      </c>
      <c r="AB164" s="541">
        <f>KTPS!BG246</f>
        <v>5.7985117631630188E-2</v>
      </c>
    </row>
    <row r="165" spans="15:28" x14ac:dyDescent="0.35">
      <c r="P165" s="540">
        <v>2</v>
      </c>
      <c r="Q165" s="939"/>
      <c r="R165" s="541">
        <f>ID!$D$73</f>
        <v>1</v>
      </c>
      <c r="S165" s="542">
        <f t="shared" ref="S165:S169" si="55">R165+U165</f>
        <v>1.0017598182643008</v>
      </c>
      <c r="T165" s="545">
        <f>AVERAGE(ID!F101:J101)</f>
        <v>1.02</v>
      </c>
      <c r="U165" s="543">
        <f t="shared" ref="U165:U169" si="56">(FORECAST(T165,$F$104:$F$107,$C$104:$C$107))</f>
        <v>1.7598182643008167E-3</v>
      </c>
      <c r="V165" s="544">
        <f>T165+U165</f>
        <v>1.0217598182643008</v>
      </c>
      <c r="W165" s="545">
        <f t="shared" ref="W165:W169" si="57">R165-V165-Z165</f>
        <v>-2.2426485130644064E-2</v>
      </c>
      <c r="X165" s="540">
        <f>STDEV(ID!F101:J101)</f>
        <v>0.19235384061671382</v>
      </c>
      <c r="Y165" s="540">
        <f>0.5*ID!K101</f>
        <v>0.05</v>
      </c>
      <c r="Z165" s="540">
        <f t="shared" ref="Z165:Z169" si="58">(FORECAST(V165,$G$104:$G$108,$C$104:$C$108))</f>
        <v>6.6666686634321993E-4</v>
      </c>
      <c r="AA165" s="546">
        <f t="shared" ref="AA165:AA168" si="59">(FORECAST(V165,$H$104:$H$108,$C$104:$C$108))</f>
        <v>2.0000005990296324E-3</v>
      </c>
      <c r="AB165" s="541">
        <f>KTPS!BG258</f>
        <v>0.23402049189438798</v>
      </c>
    </row>
    <row r="166" spans="15:28" x14ac:dyDescent="0.35">
      <c r="P166" s="540">
        <v>3</v>
      </c>
      <c r="Q166" s="939"/>
      <c r="R166" s="541">
        <f>ID!$D$74</f>
        <v>50</v>
      </c>
      <c r="S166" s="542">
        <f t="shared" si="55"/>
        <v>50.004279459849748</v>
      </c>
      <c r="T166" s="545">
        <f>AVERAGE(ID!F102:J102)</f>
        <v>50</v>
      </c>
      <c r="U166" s="543">
        <f t="shared" si="56"/>
        <v>4.2794598497458269E-3</v>
      </c>
      <c r="V166" s="544">
        <f t="shared" ref="V166:V169" si="60">T166+U166</f>
        <v>50.004279459849748</v>
      </c>
      <c r="W166" s="545">
        <f t="shared" si="57"/>
        <v>-2.864666379512958E-2</v>
      </c>
      <c r="X166" s="540">
        <f>STDEV(ID!F102:J102)</f>
        <v>0.15811388300842122</v>
      </c>
      <c r="Y166" s="540">
        <f>0.5*ID!K102</f>
        <v>0.05</v>
      </c>
      <c r="Z166" s="540">
        <f t="shared" si="58"/>
        <v>2.43672039453816E-2</v>
      </c>
      <c r="AA166" s="546">
        <f t="shared" si="59"/>
        <v>7.3101611836144789E-2</v>
      </c>
      <c r="AB166" s="541">
        <f>KTPS!BG270</f>
        <v>0.19550721666383636</v>
      </c>
    </row>
    <row r="167" spans="15:28" x14ac:dyDescent="0.35">
      <c r="P167" s="540">
        <v>4</v>
      </c>
      <c r="Q167" s="939"/>
      <c r="R167" s="541">
        <f>ID!$D$75</f>
        <v>100</v>
      </c>
      <c r="S167" s="542">
        <f t="shared" si="55"/>
        <v>100.00685260137902</v>
      </c>
      <c r="T167" s="545">
        <f>AVERAGE(ID!F103:J103)</f>
        <v>100.02</v>
      </c>
      <c r="U167" s="543">
        <f t="shared" si="56"/>
        <v>6.8526013790222553E-3</v>
      </c>
      <c r="V167" s="544">
        <f t="shared" si="60"/>
        <v>100.02685260137902</v>
      </c>
      <c r="W167" s="545">
        <f t="shared" si="57"/>
        <v>-7.5423579613774161E-2</v>
      </c>
      <c r="X167" s="540">
        <f>STDEV(ID!F103:J103)</f>
        <v>0.31144823004794814</v>
      </c>
      <c r="Y167" s="540">
        <f>0.5*ID!K103</f>
        <v>0.05</v>
      </c>
      <c r="Z167" s="540">
        <f t="shared" si="58"/>
        <v>4.8570978234754807E-2</v>
      </c>
      <c r="AA167" s="546">
        <f t="shared" si="59"/>
        <v>0.14571293470426441</v>
      </c>
      <c r="AB167" s="541">
        <f>KTPS!BG282</f>
        <v>0.38031492716335302</v>
      </c>
    </row>
    <row r="168" spans="15:28" x14ac:dyDescent="0.35">
      <c r="P168" s="540">
        <v>5</v>
      </c>
      <c r="Q168" s="939"/>
      <c r="R168" s="541">
        <f>ID!$D$76</f>
        <v>500</v>
      </c>
      <c r="S168" s="542">
        <f t="shared" si="55"/>
        <v>500.02739760865535</v>
      </c>
      <c r="T168" s="697">
        <f>AVERAGE(ID!F104:J104)</f>
        <v>499.4</v>
      </c>
      <c r="U168" s="543">
        <f t="shared" si="56"/>
        <v>2.7397608655360114E-2</v>
      </c>
      <c r="V168" s="544">
        <f t="shared" si="60"/>
        <v>499.42739760865533</v>
      </c>
      <c r="W168" s="545">
        <f t="shared" si="57"/>
        <v>0.33077864670268453</v>
      </c>
      <c r="X168" s="540">
        <f>STDEV(ID!F104:J104)</f>
        <v>0.54772255750516619</v>
      </c>
      <c r="Y168" s="540">
        <f>0.5*ID!K104</f>
        <v>0.5</v>
      </c>
      <c r="Z168" s="540">
        <f t="shared" si="58"/>
        <v>0.24182374464198933</v>
      </c>
      <c r="AA168" s="546">
        <f t="shared" si="59"/>
        <v>0.72547123392596813</v>
      </c>
      <c r="AB168" s="541">
        <f>KTPS!BG294</f>
        <v>1.0845489705213354</v>
      </c>
    </row>
    <row r="169" spans="15:28" x14ac:dyDescent="0.35">
      <c r="P169" s="540">
        <v>6</v>
      </c>
      <c r="Q169" s="939"/>
      <c r="R169" s="541">
        <f>ID!$D$77</f>
        <v>1000</v>
      </c>
      <c r="S169" s="542">
        <f t="shared" si="55"/>
        <v>1000.0530878701452</v>
      </c>
      <c r="T169" s="697">
        <f>AVERAGE(ID!F105:J105)</f>
        <v>998.8</v>
      </c>
      <c r="U169" s="543">
        <f t="shared" si="56"/>
        <v>5.3087870145177143E-2</v>
      </c>
      <c r="V169" s="544">
        <f t="shared" si="60"/>
        <v>998.85308787014515</v>
      </c>
      <c r="W169" s="545">
        <f t="shared" si="57"/>
        <v>0.66343774786554444</v>
      </c>
      <c r="X169" s="540">
        <f>STDEV(ID!F105:J105)</f>
        <v>0.44721359549995793</v>
      </c>
      <c r="Y169" s="540">
        <f>0.5*ID!K105</f>
        <v>0.5</v>
      </c>
      <c r="Z169" s="540">
        <f t="shared" si="58"/>
        <v>0.48347438198930998</v>
      </c>
      <c r="AA169" s="546">
        <f>(FORECAST(V169,$H$104:$H$108,$C$104:$C$108))</f>
        <v>1.4504231459679302</v>
      </c>
      <c r="AB169" s="541">
        <f>KTPS!BG306</f>
        <v>1.6953897609176898</v>
      </c>
    </row>
    <row r="170" spans="15:28" x14ac:dyDescent="0.35">
      <c r="P170" s="402"/>
      <c r="Q170" s="402"/>
      <c r="R170" s="402"/>
      <c r="S170" s="402"/>
      <c r="T170" s="402"/>
      <c r="U170" s="402"/>
      <c r="V170" s="402"/>
      <c r="W170" s="402"/>
      <c r="X170" s="402"/>
      <c r="Y170" s="402"/>
      <c r="Z170" s="402"/>
      <c r="AA170" s="402"/>
      <c r="AB170" s="402"/>
    </row>
    <row r="171" spans="15:28" ht="21" x14ac:dyDescent="0.35">
      <c r="O171" s="355" t="str">
        <f>ID!B107</f>
        <v>5.</v>
      </c>
      <c r="P171" s="539" t="s">
        <v>30</v>
      </c>
      <c r="Q171" s="539" t="s">
        <v>72</v>
      </c>
      <c r="R171" s="343" t="s">
        <v>73</v>
      </c>
      <c r="S171" s="343" t="s">
        <v>74</v>
      </c>
      <c r="T171" s="343" t="s">
        <v>75</v>
      </c>
      <c r="U171" s="343" t="s">
        <v>76</v>
      </c>
      <c r="V171" s="343" t="s">
        <v>77</v>
      </c>
      <c r="W171" s="343" t="s">
        <v>78</v>
      </c>
      <c r="X171" s="343" t="s">
        <v>36</v>
      </c>
      <c r="Y171" s="343" t="s">
        <v>79</v>
      </c>
      <c r="Z171" s="343" t="s">
        <v>80</v>
      </c>
      <c r="AA171" s="343" t="s">
        <v>81</v>
      </c>
      <c r="AB171" s="343" t="s">
        <v>12</v>
      </c>
    </row>
    <row r="172" spans="15:28" x14ac:dyDescent="0.35">
      <c r="P172" s="540">
        <v>1</v>
      </c>
      <c r="Q172" s="939" t="str">
        <f>ID!C107</f>
        <v xml:space="preserve">Kalibrasi Dual Lead Leakage Current </v>
      </c>
      <c r="R172" s="541">
        <f>ID!D111</f>
        <v>0</v>
      </c>
      <c r="S172" s="542">
        <f>R172+U172</f>
        <v>1.7073471655430807E-3</v>
      </c>
      <c r="T172" s="540">
        <f>AVERAGE(ID!F111:J111)</f>
        <v>0</v>
      </c>
      <c r="U172" s="543">
        <f>(FORECAST(T172,$F$104:$F$107,$C$104:$C$107))</f>
        <v>1.7073471655430807E-3</v>
      </c>
      <c r="V172" s="544">
        <f>T172+U172</f>
        <v>1.7073471655430807E-3</v>
      </c>
      <c r="W172" s="545">
        <f>R172-V172-Z172</f>
        <v>-1.8804544602117571E-3</v>
      </c>
      <c r="X172" s="540">
        <f>STDEV(ID!F111:J111)</f>
        <v>0</v>
      </c>
      <c r="Y172" s="540">
        <f>0.5*ID!K111</f>
        <v>0.05</v>
      </c>
      <c r="Z172" s="540">
        <f>(FORECAST(V172,$G$104:$G$108,$C$104:$C$108))</f>
        <v>1.7310729466867635E-4</v>
      </c>
      <c r="AA172" s="546">
        <f>(FORECAST(V172,$H$104:$H$108,$C$104:$C$108))</f>
        <v>5.1932188400600132E-4</v>
      </c>
      <c r="AB172" s="541">
        <f>KTPS!K323</f>
        <v>5.7985117631630188E-2</v>
      </c>
    </row>
    <row r="173" spans="15:28" x14ac:dyDescent="0.35">
      <c r="P173" s="540">
        <v>2</v>
      </c>
      <c r="Q173" s="939"/>
      <c r="R173" s="541">
        <f>ID!D112</f>
        <v>1</v>
      </c>
      <c r="S173" s="542">
        <f>U173+R173</f>
        <v>1.0017279240670167</v>
      </c>
      <c r="T173" s="540">
        <f>AVERAGE(ID!F112:J112)</f>
        <v>0.4</v>
      </c>
      <c r="U173" s="543">
        <f t="shared" ref="U173:U176" si="61">(FORECAST(T173,$F$104:$F$107,$C$104:$C$107))</f>
        <v>1.7279240670167026E-3</v>
      </c>
      <c r="V173" s="544">
        <f t="shared" ref="V173:V177" si="62">T173+U173</f>
        <v>0.40172792406701674</v>
      </c>
      <c r="W173" s="545">
        <f t="shared" ref="W173:W177" si="63">R173-V173-Z173</f>
        <v>0.59790541586510892</v>
      </c>
      <c r="X173" s="540">
        <f>STDEV(ID!F112:J112)</f>
        <v>0</v>
      </c>
      <c r="Y173" s="540">
        <f>0.5*ID!K112</f>
        <v>0.05</v>
      </c>
      <c r="Z173" s="540">
        <f t="shared" ref="Z173:Z177" si="64">(FORECAST(V173,$G$104:$G$108,$C$104:$C$108))</f>
        <v>3.6666006787437972E-4</v>
      </c>
      <c r="AA173" s="546">
        <f t="shared" ref="AA173:AA177" si="65">(FORECAST(V173,$H$104:$H$108,$C$104:$C$108))</f>
        <v>1.0999802036231116E-3</v>
      </c>
      <c r="AB173" s="541">
        <f>KTPS!K335</f>
        <v>5.7993575508391543E-2</v>
      </c>
    </row>
    <row r="174" spans="15:28" x14ac:dyDescent="0.35">
      <c r="P174" s="540">
        <v>3</v>
      </c>
      <c r="Q174" s="939"/>
      <c r="R174" s="541">
        <f>ID!D113</f>
        <v>50</v>
      </c>
      <c r="S174" s="542">
        <f t="shared" ref="S174:S177" si="66">R174+U174</f>
        <v>50.004222873370693</v>
      </c>
      <c r="T174" s="540">
        <f>AVERAGE(ID!F113:J113)</f>
        <v>48.9</v>
      </c>
      <c r="U174" s="543">
        <f t="shared" si="61"/>
        <v>4.2228733706933669E-3</v>
      </c>
      <c r="V174" s="544">
        <f t="shared" si="62"/>
        <v>48.904222873370692</v>
      </c>
      <c r="W174" s="545">
        <f t="shared" si="63"/>
        <v>1.0719421928102419</v>
      </c>
      <c r="X174" s="540">
        <f>STDEV(ID!F113:J113)</f>
        <v>0</v>
      </c>
      <c r="Y174" s="540">
        <f>0.5*ID!K113</f>
        <v>0.05</v>
      </c>
      <c r="Z174" s="540">
        <f t="shared" si="64"/>
        <v>2.3834933819065915E-2</v>
      </c>
      <c r="AA174" s="546">
        <f t="shared" si="65"/>
        <v>7.1504801457197731E-2</v>
      </c>
      <c r="AB174" s="541">
        <f>KTPS!K347</f>
        <v>9.504321281863555E-2</v>
      </c>
    </row>
    <row r="175" spans="15:28" x14ac:dyDescent="0.35">
      <c r="P175" s="540">
        <v>4</v>
      </c>
      <c r="Q175" s="939"/>
      <c r="R175" s="541">
        <f>ID!D114</f>
        <v>100</v>
      </c>
      <c r="S175" s="542">
        <f t="shared" si="66"/>
        <v>100.00675383225195</v>
      </c>
      <c r="T175" s="540">
        <f>AVERAGE(ID!F114:J114)</f>
        <v>98.1</v>
      </c>
      <c r="U175" s="543">
        <f t="shared" si="61"/>
        <v>6.7538322519488693E-3</v>
      </c>
      <c r="V175" s="544">
        <f t="shared" si="62"/>
        <v>98.10675383225194</v>
      </c>
      <c r="W175" s="545">
        <f t="shared" si="63"/>
        <v>1.8456042428246928</v>
      </c>
      <c r="X175" s="540">
        <f>IFERROR(STDEV(ID!F114:J114),0.00001)</f>
        <v>0</v>
      </c>
      <c r="Y175" s="540">
        <f>0.5*ID!K114</f>
        <v>0.05</v>
      </c>
      <c r="Z175" s="540">
        <f t="shared" si="64"/>
        <v>4.7641924923367426E-2</v>
      </c>
      <c r="AA175" s="546">
        <f t="shared" si="65"/>
        <v>0.14292577477010227</v>
      </c>
      <c r="AB175" s="698">
        <f>KTPS!K359</f>
        <v>0.16279564508654629</v>
      </c>
    </row>
    <row r="176" spans="15:28" x14ac:dyDescent="0.35">
      <c r="P176" s="540">
        <v>5</v>
      </c>
      <c r="Q176" s="939"/>
      <c r="R176" s="541">
        <f>ID!D115</f>
        <v>500</v>
      </c>
      <c r="S176" s="542">
        <f t="shared" si="66"/>
        <v>500.02691405147073</v>
      </c>
      <c r="T176" s="540">
        <f>AVERAGE(ID!F115:J115)</f>
        <v>490</v>
      </c>
      <c r="U176" s="543">
        <f t="shared" si="61"/>
        <v>2.6914051470729998E-2</v>
      </c>
      <c r="V176" s="544">
        <f t="shared" si="62"/>
        <v>490.02691405147073</v>
      </c>
      <c r="W176" s="545">
        <f t="shared" si="63"/>
        <v>9.7358106940576192</v>
      </c>
      <c r="X176" s="540">
        <f>STDEV(ID!F115:J115)</f>
        <v>0</v>
      </c>
      <c r="Y176" s="540">
        <f>0.5*ID!K115</f>
        <v>0.5</v>
      </c>
      <c r="Z176" s="540">
        <f t="shared" si="64"/>
        <v>0.23727525447165532</v>
      </c>
      <c r="AA176" s="546">
        <f t="shared" si="65"/>
        <v>0.71182576341496606</v>
      </c>
      <c r="AB176" s="541">
        <f>KTPS!K371</f>
        <v>1.0556505710808988</v>
      </c>
    </row>
    <row r="177" spans="15:28" x14ac:dyDescent="0.35">
      <c r="P177" s="540">
        <v>6</v>
      </c>
      <c r="Q177" s="939"/>
      <c r="R177" s="541">
        <f>ID!D116</f>
        <v>1000</v>
      </c>
      <c r="S177" s="542">
        <f t="shared" si="66"/>
        <v>1000.0521721980296</v>
      </c>
      <c r="T177" s="540">
        <f>AVERAGE(ID!F116:J116)</f>
        <v>981</v>
      </c>
      <c r="U177" s="543">
        <f>(FORECAST(T177,$F$104:$F$107,$C$104:$C$107))</f>
        <v>5.2172198029600977E-2</v>
      </c>
      <c r="V177" s="544">
        <f t="shared" si="62"/>
        <v>981.05217219802955</v>
      </c>
      <c r="W177" s="545">
        <f t="shared" si="63"/>
        <v>18.472966518388791</v>
      </c>
      <c r="X177" s="540">
        <f>STDEV(ID!F116:J116)</f>
        <v>0</v>
      </c>
      <c r="Y177" s="540">
        <f>0.5*ID!K116</f>
        <v>0.5</v>
      </c>
      <c r="Z177" s="540">
        <f t="shared" si="64"/>
        <v>0.47486128358165619</v>
      </c>
      <c r="AA177" s="546">
        <f t="shared" si="65"/>
        <v>1.4245838507449688</v>
      </c>
      <c r="AB177" s="541">
        <f>KTPS!K383</f>
        <v>1.6232645917485644</v>
      </c>
    </row>
    <row r="178" spans="15:28" x14ac:dyDescent="0.35">
      <c r="P178" s="402"/>
      <c r="Q178" s="402"/>
      <c r="R178" s="402"/>
      <c r="S178" s="402"/>
      <c r="T178" s="402"/>
      <c r="U178" s="402"/>
      <c r="V178" s="402"/>
      <c r="W178" s="402"/>
      <c r="X178" s="402"/>
      <c r="Y178" s="402"/>
      <c r="Z178" s="402"/>
      <c r="AA178" s="402"/>
      <c r="AB178" s="402"/>
    </row>
    <row r="179" spans="15:28" x14ac:dyDescent="0.35">
      <c r="O179" s="508" t="str">
        <f>ID!B118</f>
        <v>6.</v>
      </c>
      <c r="P179" s="402" t="str">
        <f>ID!D122</f>
        <v>R Terhadap Semua Elektroda</v>
      </c>
      <c r="Q179" s="402"/>
      <c r="R179" s="402"/>
      <c r="S179" s="402"/>
      <c r="T179" s="402"/>
      <c r="U179" s="402"/>
      <c r="V179" s="402"/>
      <c r="W179" s="402"/>
      <c r="X179" s="402"/>
      <c r="Y179" s="402"/>
      <c r="Z179" s="402"/>
      <c r="AA179" s="402"/>
      <c r="AB179" s="402"/>
    </row>
    <row r="180" spans="15:28" ht="21" x14ac:dyDescent="0.35">
      <c r="P180" s="539" t="s">
        <v>30</v>
      </c>
      <c r="Q180" s="539" t="s">
        <v>72</v>
      </c>
      <c r="R180" s="343" t="s">
        <v>73</v>
      </c>
      <c r="S180" s="343" t="s">
        <v>74</v>
      </c>
      <c r="T180" s="343" t="s">
        <v>75</v>
      </c>
      <c r="U180" s="343" t="s">
        <v>76</v>
      </c>
      <c r="V180" s="343" t="s">
        <v>77</v>
      </c>
      <c r="W180" s="343" t="s">
        <v>78</v>
      </c>
      <c r="X180" s="343" t="s">
        <v>36</v>
      </c>
      <c r="Y180" s="343" t="s">
        <v>79</v>
      </c>
      <c r="Z180" s="343" t="s">
        <v>80</v>
      </c>
      <c r="AA180" s="343" t="s">
        <v>81</v>
      </c>
      <c r="AB180" s="343" t="s">
        <v>12</v>
      </c>
    </row>
    <row r="181" spans="15:28" x14ac:dyDescent="0.35">
      <c r="P181" s="540">
        <v>1</v>
      </c>
      <c r="Q181" s="939" t="str">
        <f>ID!C118</f>
        <v>Kalibrasi Patient Auxillary Leakage Current</v>
      </c>
      <c r="R181" s="541">
        <f>ID!$D$123</f>
        <v>0</v>
      </c>
      <c r="S181" s="542">
        <f t="shared" ref="S181:S186" si="67">R181+U181</f>
        <v>1.7073471655430807E-3</v>
      </c>
      <c r="T181" s="540">
        <f>AVERAGE(ID!F123:J123)</f>
        <v>0</v>
      </c>
      <c r="U181" s="543">
        <f>(FORECAST(T181,$F$104:$F$107,$C$104:$C$107))</f>
        <v>1.7073471655430807E-3</v>
      </c>
      <c r="V181" s="544">
        <f>T181+U181</f>
        <v>1.7073471655430807E-3</v>
      </c>
      <c r="W181" s="545">
        <f t="shared" ref="W181:W186" si="68">R181-V181-Z181</f>
        <v>-1.8804544602117571E-3</v>
      </c>
      <c r="X181" s="540">
        <f>STDEV(ID!F123:J123)</f>
        <v>0</v>
      </c>
      <c r="Y181" s="540">
        <f>0.5*ID!K123</f>
        <v>0.05</v>
      </c>
      <c r="Z181" s="540">
        <f>(FORECAST(V181,$G$104:$G$108,$C$104:$C$108))</f>
        <v>1.7310729466867635E-4</v>
      </c>
      <c r="AA181" s="546">
        <f>(FORECAST(V181,$H$104:$H$108,$C$104:$C$108))</f>
        <v>5.1932188400600132E-4</v>
      </c>
      <c r="AB181" s="541">
        <f>KTPS!K402</f>
        <v>5.7985117631630188E-2</v>
      </c>
    </row>
    <row r="182" spans="15:28" x14ac:dyDescent="0.35">
      <c r="P182" s="540">
        <v>2</v>
      </c>
      <c r="Q182" s="939"/>
      <c r="R182" s="541">
        <f>ID!D124</f>
        <v>1</v>
      </c>
      <c r="S182" s="542">
        <f t="shared" si="67"/>
        <v>1.001758789419227</v>
      </c>
      <c r="T182" s="540">
        <f>AVERAGE(ID!F124:J124)</f>
        <v>1.0000000000000002</v>
      </c>
      <c r="U182" s="543">
        <f t="shared" ref="U182:U186" si="69">(FORECAST(T182,$F$104:$F$107,$C$104:$C$107))</f>
        <v>1.7587894192271356E-3</v>
      </c>
      <c r="V182" s="544">
        <f>T182+U182</f>
        <v>1.0017587894192272</v>
      </c>
      <c r="W182" s="545">
        <f>R182-V182-Z182</f>
        <v>-2.4157786469101816E-3</v>
      </c>
      <c r="X182" s="540">
        <f>STDEV(ID!F124:J124)</f>
        <v>0.22360679774997808</v>
      </c>
      <c r="Y182" s="540">
        <f>0.5*ID!K124</f>
        <v>0.05</v>
      </c>
      <c r="Z182" s="540">
        <f t="shared" ref="Z182:Z186" si="70">(FORECAST(V182,$G$104:$G$108,$C$104:$C$108))</f>
        <v>6.5698922768293476E-4</v>
      </c>
      <c r="AA182" s="546">
        <f t="shared" ref="AA182:AA186" si="71">(FORECAST(V182,$H$104:$H$108,$C$104:$C$108))</f>
        <v>1.9709676830487769E-3</v>
      </c>
      <c r="AB182" s="541">
        <f>KTPS!K414</f>
        <v>0.27294312523216918</v>
      </c>
    </row>
    <row r="183" spans="15:28" x14ac:dyDescent="0.35">
      <c r="P183" s="540">
        <v>3</v>
      </c>
      <c r="Q183" s="939"/>
      <c r="R183" s="541">
        <f>ID!$D$125</f>
        <v>50</v>
      </c>
      <c r="S183" s="542">
        <f t="shared" si="67"/>
        <v>50.004274315624379</v>
      </c>
      <c r="T183" s="540">
        <f>AVERAGE(ID!F125:J125)</f>
        <v>49.9</v>
      </c>
      <c r="U183" s="543">
        <f t="shared" si="69"/>
        <v>4.274315624377422E-3</v>
      </c>
      <c r="V183" s="544">
        <f t="shared" ref="V183:V186" si="72">T183+U183</f>
        <v>49.904274315624377</v>
      </c>
      <c r="W183" s="545">
        <f t="shared" si="68"/>
        <v>7.1406868623542508E-2</v>
      </c>
      <c r="X183" s="540">
        <f>STDEV(ID!F125:J125)</f>
        <v>0.18708286933869686</v>
      </c>
      <c r="Y183" s="540">
        <f>0.5*ID!K125</f>
        <v>0.05</v>
      </c>
      <c r="Z183" s="540">
        <f t="shared" si="70"/>
        <v>2.4318815752080173E-2</v>
      </c>
      <c r="AA183" s="546">
        <f t="shared" si="71"/>
        <v>7.2956447256240509E-2</v>
      </c>
      <c r="AB183" s="541">
        <f>KTPS!K426</f>
        <v>0.22798863995662197</v>
      </c>
    </row>
    <row r="184" spans="15:28" x14ac:dyDescent="0.35">
      <c r="P184" s="540">
        <v>4</v>
      </c>
      <c r="Q184" s="939"/>
      <c r="R184" s="541">
        <f>ID!$D$126</f>
        <v>100</v>
      </c>
      <c r="S184" s="542">
        <f t="shared" si="67"/>
        <v>100.00685054368887</v>
      </c>
      <c r="T184" s="540">
        <f>AVERAGE(ID!F126:J126)</f>
        <v>99.98</v>
      </c>
      <c r="U184" s="543">
        <f t="shared" si="69"/>
        <v>6.8505436888748935E-3</v>
      </c>
      <c r="V184" s="544">
        <f t="shared" si="72"/>
        <v>99.986850543688874</v>
      </c>
      <c r="W184" s="545">
        <f t="shared" si="68"/>
        <v>-3.5402166646308159E-2</v>
      </c>
      <c r="X184" s="540">
        <f>STDEV(ID!F126:J126)</f>
        <v>0.21679483388678683</v>
      </c>
      <c r="Y184" s="540">
        <f>0.5*ID!K126</f>
        <v>0.05</v>
      </c>
      <c r="Z184" s="540">
        <f t="shared" si="70"/>
        <v>4.8551622957434232E-2</v>
      </c>
      <c r="AA184" s="546">
        <f t="shared" si="71"/>
        <v>0.1456548688723027</v>
      </c>
      <c r="AB184" s="541">
        <f>KTPS!K438</f>
        <v>0.27904083129255125</v>
      </c>
    </row>
    <row r="185" spans="15:28" x14ac:dyDescent="0.35">
      <c r="P185" s="540">
        <v>5</v>
      </c>
      <c r="Q185" s="939"/>
      <c r="R185" s="541">
        <f>ID!$D$127</f>
        <v>500</v>
      </c>
      <c r="S185" s="542">
        <f t="shared" si="67"/>
        <v>500.0273564548524</v>
      </c>
      <c r="T185" s="540">
        <f>AVERAGE(ID!F127:J127)</f>
        <v>498.6</v>
      </c>
      <c r="U185" s="543">
        <f t="shared" si="69"/>
        <v>2.7356454852412872E-2</v>
      </c>
      <c r="V185" s="544">
        <f t="shared" si="72"/>
        <v>498.62735645485242</v>
      </c>
      <c r="W185" s="545">
        <f t="shared" si="68"/>
        <v>1.1312069060520042</v>
      </c>
      <c r="X185" s="540">
        <f>STDEV(ID!F127:J127)</f>
        <v>0.54772255750516619</v>
      </c>
      <c r="Y185" s="540">
        <f>0.5*ID!K127</f>
        <v>0.5</v>
      </c>
      <c r="Z185" s="540">
        <f t="shared" si="70"/>
        <v>0.24143663909557794</v>
      </c>
      <c r="AA185" s="546">
        <f t="shared" si="71"/>
        <v>0.724309917286734</v>
      </c>
      <c r="AB185" s="541">
        <f>KTPS!K450</f>
        <v>1.0836941732862801</v>
      </c>
    </row>
    <row r="186" spans="15:28" x14ac:dyDescent="0.35">
      <c r="P186" s="540">
        <v>6</v>
      </c>
      <c r="Q186" s="939"/>
      <c r="R186" s="541">
        <f>ID!$D$128</f>
        <v>1000</v>
      </c>
      <c r="S186" s="542">
        <f t="shared" si="67"/>
        <v>1000.0530672932437</v>
      </c>
      <c r="T186" s="540">
        <f>AVERAGE(ID!F128:J128)</f>
        <v>998.4</v>
      </c>
      <c r="U186" s="543">
        <f t="shared" si="69"/>
        <v>5.3067293243703531E-2</v>
      </c>
      <c r="V186" s="544">
        <f t="shared" si="72"/>
        <v>998.45306729324363</v>
      </c>
      <c r="W186" s="545">
        <f t="shared" si="68"/>
        <v>1.063651877540261</v>
      </c>
      <c r="X186" s="540">
        <f>STDEV(ID!F128:J128)</f>
        <v>0.54772255750516619</v>
      </c>
      <c r="Y186" s="540">
        <f>0.5*ID!K128</f>
        <v>0.5</v>
      </c>
      <c r="Z186" s="540">
        <f t="shared" si="70"/>
        <v>0.48328082921610427</v>
      </c>
      <c r="AA186" s="546">
        <f t="shared" si="71"/>
        <v>1.4498424876483131</v>
      </c>
      <c r="AB186" s="547">
        <f>KTPS!K462</f>
        <v>1.7185732586570042</v>
      </c>
    </row>
    <row r="187" spans="15:28" x14ac:dyDescent="0.35">
      <c r="P187" s="402" t="str">
        <f>ID!D129</f>
        <v>F Terhadap Semua Elektroda</v>
      </c>
      <c r="Q187" s="402"/>
      <c r="R187" s="402"/>
      <c r="S187" s="402"/>
      <c r="T187" s="402"/>
      <c r="U187" s="402"/>
      <c r="V187" s="402"/>
      <c r="W187" s="402"/>
      <c r="X187" s="402"/>
      <c r="Y187" s="402"/>
      <c r="Z187" s="402"/>
      <c r="AA187" s="402"/>
      <c r="AB187" s="402"/>
    </row>
    <row r="188" spans="15:28" ht="21" x14ac:dyDescent="0.35">
      <c r="P188" s="539" t="s">
        <v>30</v>
      </c>
      <c r="Q188" s="539" t="s">
        <v>72</v>
      </c>
      <c r="R188" s="343" t="s">
        <v>73</v>
      </c>
      <c r="S188" s="343" t="s">
        <v>74</v>
      </c>
      <c r="T188" s="343" t="s">
        <v>75</v>
      </c>
      <c r="U188" s="343" t="s">
        <v>76</v>
      </c>
      <c r="V188" s="343" t="s">
        <v>77</v>
      </c>
      <c r="W188" s="343" t="s">
        <v>78</v>
      </c>
      <c r="X188" s="343" t="s">
        <v>36</v>
      </c>
      <c r="Y188" s="343" t="s">
        <v>79</v>
      </c>
      <c r="Z188" s="343" t="s">
        <v>80</v>
      </c>
      <c r="AA188" s="343" t="s">
        <v>81</v>
      </c>
      <c r="AB188" s="343" t="s">
        <v>12</v>
      </c>
    </row>
    <row r="189" spans="15:28" x14ac:dyDescent="0.35">
      <c r="P189" s="540">
        <v>1</v>
      </c>
      <c r="Q189" s="939" t="str">
        <f>Q181</f>
        <v>Kalibrasi Patient Auxillary Leakage Current</v>
      </c>
      <c r="R189" s="541">
        <f>R181</f>
        <v>0</v>
      </c>
      <c r="S189" s="542">
        <f>R189+U189</f>
        <v>1.7073471655430807E-3</v>
      </c>
      <c r="T189" s="540">
        <f>AVERAGE(ID!F130:J130)</f>
        <v>0</v>
      </c>
      <c r="U189" s="543">
        <f>(FORECAST(T189,$F$104:$F$107,$C$104:$C$107))</f>
        <v>1.7073471655430807E-3</v>
      </c>
      <c r="V189" s="544">
        <f>T189+U189</f>
        <v>1.7073471655430807E-3</v>
      </c>
      <c r="W189" s="545">
        <f t="shared" ref="W189:W194" si="73">R189-V189-Z189</f>
        <v>-1.8804544602117571E-3</v>
      </c>
      <c r="X189" s="540">
        <f>STDEV(ID!F130:J130)</f>
        <v>0</v>
      </c>
      <c r="Y189" s="540">
        <f>0.5*ID!K130</f>
        <v>0.05</v>
      </c>
      <c r="Z189" s="540">
        <f>(FORECAST(V189,$G$104:$G$108,$C$104:$C$108))</f>
        <v>1.7310729466867635E-4</v>
      </c>
      <c r="AA189" s="546">
        <f>(FORECAST(V189,$H$104:$H$108,$C$104:$C$108))</f>
        <v>5.1932188400600132E-4</v>
      </c>
      <c r="AB189" s="541">
        <f>KTPS!W402</f>
        <v>5.7985117631630188E-2</v>
      </c>
    </row>
    <row r="190" spans="15:28" x14ac:dyDescent="0.35">
      <c r="P190" s="540">
        <v>2</v>
      </c>
      <c r="Q190" s="939"/>
      <c r="R190" s="541">
        <f t="shared" ref="R190:R194" si="74">R182</f>
        <v>1</v>
      </c>
      <c r="S190" s="542">
        <f t="shared" ref="S190:S194" si="75">R190+U190</f>
        <v>1.0017999432221745</v>
      </c>
      <c r="T190" s="540">
        <f>AVERAGE(ID!F131:J131)</f>
        <v>1.8</v>
      </c>
      <c r="U190" s="543">
        <f t="shared" ref="U190:U193" si="76">(FORECAST(T190,$F$104:$F$107,$C$104:$C$107))</f>
        <v>1.7999432221743796E-3</v>
      </c>
      <c r="V190" s="544">
        <f t="shared" ref="V190:V194" si="77">T190+U190</f>
        <v>1.8017999432221745</v>
      </c>
      <c r="W190" s="545">
        <f t="shared" si="73"/>
        <v>-0.80284403799626891</v>
      </c>
      <c r="X190" s="540">
        <f>STDEV(ID!F131:J131)</f>
        <v>0.66708320320631687</v>
      </c>
      <c r="Y190" s="540">
        <f>0.5*ID!K131</f>
        <v>0.05</v>
      </c>
      <c r="Z190" s="540">
        <f t="shared" ref="Z190:Z194" si="78">(FORECAST(V190,$G$104:$G$108,$C$104:$C$108))</f>
        <v>1.0440947740943415E-3</v>
      </c>
      <c r="AA190" s="546">
        <f t="shared" ref="AA190:AA193" si="79">(FORECAST(V190,$H$104:$H$108,$C$104:$C$108))</f>
        <v>3.1322843222829975E-3</v>
      </c>
      <c r="AB190" s="541">
        <f>KTPS!W414</f>
        <v>0.82619986776608612</v>
      </c>
    </row>
    <row r="191" spans="15:28" x14ac:dyDescent="0.35">
      <c r="P191" s="540">
        <v>3</v>
      </c>
      <c r="Q191" s="939"/>
      <c r="R191" s="541">
        <f t="shared" si="74"/>
        <v>50</v>
      </c>
      <c r="S191" s="542">
        <f t="shared" si="75"/>
        <v>50.004277402159602</v>
      </c>
      <c r="T191" s="540">
        <f>AVERAGE(ID!F132:J132)</f>
        <v>49.96</v>
      </c>
      <c r="U191" s="543">
        <f t="shared" si="76"/>
        <v>4.277402159598466E-3</v>
      </c>
      <c r="V191" s="544">
        <f t="shared" si="77"/>
        <v>49.964277402159603</v>
      </c>
      <c r="W191" s="545">
        <f t="shared" si="73"/>
        <v>1.1374749172336412E-2</v>
      </c>
      <c r="X191" s="540">
        <f>STDEV(ID!F132:J132)</f>
        <v>0.74363969770312954</v>
      </c>
      <c r="Y191" s="540">
        <f>0.5*ID!K132</f>
        <v>0.05</v>
      </c>
      <c r="Z191" s="540">
        <f t="shared" si="78"/>
        <v>2.4347848668061028E-2</v>
      </c>
      <c r="AA191" s="546">
        <f t="shared" si="79"/>
        <v>7.3043546004183071E-2</v>
      </c>
      <c r="AB191" s="541">
        <f>KTPS!W426</f>
        <v>0.91819858755928851</v>
      </c>
    </row>
    <row r="192" spans="15:28" x14ac:dyDescent="0.35">
      <c r="P192" s="540">
        <v>4</v>
      </c>
      <c r="Q192" s="939"/>
      <c r="R192" s="541">
        <f t="shared" si="74"/>
        <v>100</v>
      </c>
      <c r="S192" s="542">
        <f t="shared" si="75"/>
        <v>100.00685054368887</v>
      </c>
      <c r="T192" s="540">
        <f>AVERAGE(ID!F133:J133)</f>
        <v>99.97999999999999</v>
      </c>
      <c r="U192" s="543">
        <f t="shared" si="76"/>
        <v>6.8505436888748926E-3</v>
      </c>
      <c r="V192" s="544">
        <f t="shared" si="77"/>
        <v>99.98685054368886</v>
      </c>
      <c r="W192" s="545">
        <f t="shared" si="73"/>
        <v>-3.5402166646293941E-2</v>
      </c>
      <c r="X192" s="540">
        <f>STDEV(ID!F133:J133)</f>
        <v>0.46043457732885357</v>
      </c>
      <c r="Y192" s="540">
        <f>0.5*ID!K133</f>
        <v>0.05</v>
      </c>
      <c r="Z192" s="540">
        <f t="shared" si="78"/>
        <v>4.8551622957434225E-2</v>
      </c>
      <c r="AA192" s="546">
        <f t="shared" si="79"/>
        <v>0.1456548688723027</v>
      </c>
      <c r="AB192" s="541">
        <f>KTPS!W438</f>
        <v>0.55827852978117409</v>
      </c>
    </row>
    <row r="193" spans="16:28" x14ac:dyDescent="0.35">
      <c r="P193" s="540">
        <v>5</v>
      </c>
      <c r="Q193" s="939"/>
      <c r="R193" s="541">
        <f t="shared" si="74"/>
        <v>500</v>
      </c>
      <c r="S193" s="542">
        <f t="shared" si="75"/>
        <v>500.02740789710612</v>
      </c>
      <c r="T193" s="540">
        <f>AVERAGE(ID!F134:J134)</f>
        <v>499.6</v>
      </c>
      <c r="U193" s="543">
        <f t="shared" si="76"/>
        <v>2.7407897106096927E-2</v>
      </c>
      <c r="V193" s="544">
        <f t="shared" si="77"/>
        <v>499.62740789710614</v>
      </c>
      <c r="W193" s="545">
        <f t="shared" si="73"/>
        <v>0.13067158186526925</v>
      </c>
      <c r="X193" s="540">
        <f>STDEV(ID!F134:J134)</f>
        <v>1.1401754250991378</v>
      </c>
      <c r="Y193" s="540">
        <f>0.5*ID!K134</f>
        <v>0.5</v>
      </c>
      <c r="Z193" s="540">
        <f t="shared" si="78"/>
        <v>0.24192052102859221</v>
      </c>
      <c r="AA193" s="546">
        <f t="shared" si="79"/>
        <v>0.72576156308577677</v>
      </c>
      <c r="AB193" s="541">
        <f>KTPS!W450</f>
        <v>1.5077082856257702</v>
      </c>
    </row>
    <row r="194" spans="16:28" x14ac:dyDescent="0.35">
      <c r="P194" s="540">
        <v>6</v>
      </c>
      <c r="Q194" s="939"/>
      <c r="R194" s="541">
        <f t="shared" si="74"/>
        <v>1000</v>
      </c>
      <c r="S194" s="542">
        <f t="shared" si="75"/>
        <v>1000.053098158596</v>
      </c>
      <c r="T194" s="540">
        <f>AVERAGE(ID!F135:J135)</f>
        <v>999</v>
      </c>
      <c r="U194" s="543">
        <f>(FORECAST(T194,$F$104:$F$107,$C$104:$C$107))</f>
        <v>5.3098158595913963E-2</v>
      </c>
      <c r="V194" s="544">
        <f t="shared" si="77"/>
        <v>999.05309815859596</v>
      </c>
      <c r="W194" s="545">
        <f t="shared" si="73"/>
        <v>0.46333068302812913</v>
      </c>
      <c r="X194" s="540">
        <f>STDEV(ID!F135:J135)</f>
        <v>1</v>
      </c>
      <c r="Y194" s="540">
        <f>0.5*ID!K135</f>
        <v>0.5</v>
      </c>
      <c r="Z194" s="540">
        <f t="shared" si="78"/>
        <v>0.48357115837591286</v>
      </c>
      <c r="AA194" s="546">
        <f>(FORECAST(V194,$H$104:$H$108,$C$104:$C$108))</f>
        <v>1.4507134751277388</v>
      </c>
      <c r="AB194" s="541">
        <f>KTPS!W462</f>
        <v>1.8922829780259207</v>
      </c>
    </row>
    <row r="195" spans="16:28" x14ac:dyDescent="0.35">
      <c r="P195" s="402" t="str">
        <f>ID!D136</f>
        <v>L Terhadap Semua Elektroda</v>
      </c>
      <c r="Q195" s="402"/>
      <c r="R195" s="402"/>
      <c r="S195" s="402"/>
      <c r="T195" s="402"/>
      <c r="U195" s="402"/>
      <c r="V195" s="402"/>
      <c r="W195" s="402"/>
      <c r="X195" s="402"/>
      <c r="Y195" s="402"/>
      <c r="Z195" s="402"/>
      <c r="AA195" s="402"/>
      <c r="AB195" s="402"/>
    </row>
    <row r="196" spans="16:28" ht="21" x14ac:dyDescent="0.35">
      <c r="P196" s="539" t="s">
        <v>30</v>
      </c>
      <c r="Q196" s="539" t="s">
        <v>72</v>
      </c>
      <c r="R196" s="343" t="s">
        <v>73</v>
      </c>
      <c r="S196" s="343" t="s">
        <v>74</v>
      </c>
      <c r="T196" s="343" t="s">
        <v>75</v>
      </c>
      <c r="U196" s="343" t="s">
        <v>76</v>
      </c>
      <c r="V196" s="343" t="s">
        <v>77</v>
      </c>
      <c r="W196" s="343" t="s">
        <v>78</v>
      </c>
      <c r="X196" s="343" t="s">
        <v>36</v>
      </c>
      <c r="Y196" s="343" t="s">
        <v>79</v>
      </c>
      <c r="Z196" s="343" t="s">
        <v>80</v>
      </c>
      <c r="AA196" s="343" t="s">
        <v>81</v>
      </c>
      <c r="AB196" s="343" t="s">
        <v>12</v>
      </c>
    </row>
    <row r="197" spans="16:28" x14ac:dyDescent="0.35">
      <c r="P197" s="540">
        <v>1</v>
      </c>
      <c r="Q197" s="939" t="str">
        <f>Q189</f>
        <v>Kalibrasi Patient Auxillary Leakage Current</v>
      </c>
      <c r="R197" s="541">
        <f>R189</f>
        <v>0</v>
      </c>
      <c r="S197" s="542">
        <f t="shared" ref="S197:S202" si="80">R197+U197</f>
        <v>1.7073471655430807E-3</v>
      </c>
      <c r="T197" s="540">
        <f>AVERAGE(ID!F137:J137)</f>
        <v>0</v>
      </c>
      <c r="U197" s="543">
        <f>(FORECAST(T197,$F$104:$F$107,$C$104:$C$107))</f>
        <v>1.7073471655430807E-3</v>
      </c>
      <c r="V197" s="544">
        <f>T197+U197</f>
        <v>1.7073471655430807E-3</v>
      </c>
      <c r="W197" s="545">
        <f t="shared" ref="W197:W202" si="81">R197-V197-Z197</f>
        <v>-1.8804544602117571E-3</v>
      </c>
      <c r="X197" s="540">
        <f>STDEV(ID!F137:J137)</f>
        <v>0</v>
      </c>
      <c r="Y197" s="540">
        <f>0.5*ID!K137</f>
        <v>0.05</v>
      </c>
      <c r="Z197" s="540">
        <f>(FORECAST(V197,$G$104:$G$108,$C$104:$C$108))</f>
        <v>1.7310729466867635E-4</v>
      </c>
      <c r="AA197" s="546">
        <f>(FORECAST(V197,$H$104:$H$108,$C$104:$C$108))</f>
        <v>5.1932188400600132E-4</v>
      </c>
      <c r="AB197" s="541">
        <f>KTPS!AI402</f>
        <v>5.7985117631630188E-2</v>
      </c>
    </row>
    <row r="198" spans="16:28" x14ac:dyDescent="0.35">
      <c r="P198" s="540">
        <v>2</v>
      </c>
      <c r="Q198" s="939"/>
      <c r="R198" s="541">
        <f t="shared" ref="R198:R202" si="82">R190</f>
        <v>1</v>
      </c>
      <c r="S198" s="542">
        <f t="shared" si="80"/>
        <v>1.0017618759544482</v>
      </c>
      <c r="T198" s="540">
        <f>AVERAGE(ID!F138:J138)</f>
        <v>1.06</v>
      </c>
      <c r="U198" s="543">
        <f t="shared" ref="U198:U202" si="83">(FORECAST(T198,$F$104:$F$107,$C$104:$C$107))</f>
        <v>1.7618759544481789E-3</v>
      </c>
      <c r="V198" s="544">
        <f t="shared" ref="V198:V202" si="84">T198+U198</f>
        <v>1.0617618759544483</v>
      </c>
      <c r="W198" s="545">
        <f t="shared" si="81"/>
        <v>-6.2447898098112055E-2</v>
      </c>
      <c r="X198" s="540">
        <f>STDEV(ID!F138:J138)</f>
        <v>0.20736441353327703</v>
      </c>
      <c r="Y198" s="540">
        <f>0.5*ID!K138</f>
        <v>0.05</v>
      </c>
      <c r="Z198" s="540">
        <f t="shared" ref="Z198:Z202" si="85">(FORECAST(V198,$G$104:$G$108,$C$104:$C$108))</f>
        <v>6.8602214366379028E-4</v>
      </c>
      <c r="AA198" s="546">
        <f t="shared" ref="AA198:AA202" si="86">(FORECAST(V198,$H$104:$H$108,$C$104:$C$108))</f>
        <v>2.0580664309913436E-3</v>
      </c>
      <c r="AB198" s="541">
        <f>KTPS!AI414</f>
        <v>0.25269215123518701</v>
      </c>
    </row>
    <row r="199" spans="16:28" x14ac:dyDescent="0.35">
      <c r="P199" s="540">
        <v>3</v>
      </c>
      <c r="Q199" s="939"/>
      <c r="R199" s="541">
        <f t="shared" si="82"/>
        <v>50</v>
      </c>
      <c r="S199" s="542">
        <f t="shared" si="80"/>
        <v>50.004281517539894</v>
      </c>
      <c r="T199" s="540">
        <f>AVERAGE(ID!F139:J139)</f>
        <v>50.04</v>
      </c>
      <c r="U199" s="543">
        <f t="shared" si="83"/>
        <v>4.2815175398931895E-3</v>
      </c>
      <c r="V199" s="544">
        <f t="shared" si="84"/>
        <v>50.044281517539893</v>
      </c>
      <c r="W199" s="545">
        <f t="shared" si="81"/>
        <v>-6.8668076762595565E-2</v>
      </c>
      <c r="X199" s="540">
        <f>STDEV(ID!F139:J139)</f>
        <v>0.16733200530681472</v>
      </c>
      <c r="Y199" s="540">
        <f>0.5*ID!K139</f>
        <v>0.05</v>
      </c>
      <c r="Z199" s="540">
        <f t="shared" si="85"/>
        <v>2.4386559222702168E-2</v>
      </c>
      <c r="AA199" s="546">
        <f t="shared" si="86"/>
        <v>7.3159677668106493E-2</v>
      </c>
      <c r="AB199" s="541">
        <f>KTPS!AI426</f>
        <v>0.2056527384083707</v>
      </c>
    </row>
    <row r="200" spans="16:28" x14ac:dyDescent="0.35">
      <c r="P200" s="540">
        <v>4</v>
      </c>
      <c r="Q200" s="939"/>
      <c r="R200" s="541">
        <f t="shared" si="82"/>
        <v>100</v>
      </c>
      <c r="S200" s="542">
        <f t="shared" si="80"/>
        <v>100.00685054368887</v>
      </c>
      <c r="T200" s="540">
        <f>AVERAGE(ID!F140:J140)</f>
        <v>99.98</v>
      </c>
      <c r="U200" s="543">
        <f t="shared" si="83"/>
        <v>6.8505436888748935E-3</v>
      </c>
      <c r="V200" s="544">
        <f t="shared" si="84"/>
        <v>99.986850543688874</v>
      </c>
      <c r="W200" s="545">
        <f t="shared" si="81"/>
        <v>-3.5402166646308159E-2</v>
      </c>
      <c r="X200" s="540">
        <f>STDEV(ID!F140:J140)</f>
        <v>0.25884358211089581</v>
      </c>
      <c r="Y200" s="540">
        <f>0.5*ID!K140</f>
        <v>0.05</v>
      </c>
      <c r="Z200" s="540">
        <f t="shared" si="85"/>
        <v>4.8551622957434232E-2</v>
      </c>
      <c r="AA200" s="546">
        <f t="shared" si="86"/>
        <v>0.1456548688723027</v>
      </c>
      <c r="AB200" s="541">
        <f>KTPS!AI438</f>
        <v>0.32206249452312996</v>
      </c>
    </row>
    <row r="201" spans="16:28" x14ac:dyDescent="0.35">
      <c r="P201" s="540">
        <v>5</v>
      </c>
      <c r="Q201" s="939"/>
      <c r="R201" s="541">
        <f t="shared" si="82"/>
        <v>500</v>
      </c>
      <c r="S201" s="542">
        <f t="shared" si="80"/>
        <v>500.0273564548524</v>
      </c>
      <c r="T201" s="540">
        <f>AVERAGE(ID!F141:J141)</f>
        <v>498.6</v>
      </c>
      <c r="U201" s="543">
        <f t="shared" si="83"/>
        <v>2.7356454852412872E-2</v>
      </c>
      <c r="V201" s="544">
        <f t="shared" si="84"/>
        <v>498.62735645485242</v>
      </c>
      <c r="W201" s="545">
        <f t="shared" si="81"/>
        <v>1.1312069060520042</v>
      </c>
      <c r="X201" s="540">
        <f>STDEV(ID!F141:J141)</f>
        <v>0.54772255750516619</v>
      </c>
      <c r="Y201" s="540">
        <f>0.5*ID!K141</f>
        <v>0.5</v>
      </c>
      <c r="Z201" s="540">
        <f t="shared" si="85"/>
        <v>0.24143663909557794</v>
      </c>
      <c r="AA201" s="546">
        <f t="shared" si="86"/>
        <v>0.724309917286734</v>
      </c>
      <c r="AB201" s="541">
        <f>KTPS!AI450</f>
        <v>1.0836941732862801</v>
      </c>
    </row>
    <row r="202" spans="16:28" x14ac:dyDescent="0.35">
      <c r="P202" s="540">
        <v>6</v>
      </c>
      <c r="Q202" s="939"/>
      <c r="R202" s="541">
        <f t="shared" si="82"/>
        <v>1000</v>
      </c>
      <c r="S202" s="542">
        <f t="shared" si="80"/>
        <v>1000.0530878701452</v>
      </c>
      <c r="T202" s="540">
        <f>AVERAGE(ID!F142:J142)</f>
        <v>998.8</v>
      </c>
      <c r="U202" s="543">
        <f t="shared" si="83"/>
        <v>5.3087870145177143E-2</v>
      </c>
      <c r="V202" s="544">
        <f t="shared" si="84"/>
        <v>998.85308787014515</v>
      </c>
      <c r="W202" s="545">
        <f t="shared" si="81"/>
        <v>0.66343774786554444</v>
      </c>
      <c r="X202" s="540">
        <f>STDEV(ID!F142:J142)</f>
        <v>0.44721359549995793</v>
      </c>
      <c r="Y202" s="540">
        <f>0.5*ID!K142</f>
        <v>0.5</v>
      </c>
      <c r="Z202" s="540">
        <f t="shared" si="85"/>
        <v>0.48347438198930998</v>
      </c>
      <c r="AA202" s="546">
        <f t="shared" si="86"/>
        <v>1.4504231459679302</v>
      </c>
      <c r="AB202" s="541">
        <f>KTPS!AI462</f>
        <v>1.6953897609176898</v>
      </c>
    </row>
    <row r="203" spans="16:28" x14ac:dyDescent="0.35">
      <c r="P203" s="402" t="str">
        <f>ID!D143</f>
        <v>N Terhadap Semua Elektroda</v>
      </c>
      <c r="Q203" s="402"/>
      <c r="R203" s="402"/>
      <c r="S203" s="402"/>
      <c r="T203" s="402"/>
      <c r="U203" s="402"/>
      <c r="V203" s="402"/>
      <c r="W203" s="402"/>
      <c r="X203" s="402"/>
      <c r="Y203" s="402"/>
      <c r="Z203" s="402"/>
      <c r="AA203" s="402"/>
      <c r="AB203" s="402"/>
    </row>
    <row r="204" spans="16:28" ht="21" x14ac:dyDescent="0.35">
      <c r="P204" s="539" t="s">
        <v>30</v>
      </c>
      <c r="Q204" s="539" t="s">
        <v>72</v>
      </c>
      <c r="R204" s="343" t="s">
        <v>73</v>
      </c>
      <c r="S204" s="343" t="s">
        <v>74</v>
      </c>
      <c r="T204" s="343" t="s">
        <v>75</v>
      </c>
      <c r="U204" s="343" t="s">
        <v>76</v>
      </c>
      <c r="V204" s="343" t="s">
        <v>77</v>
      </c>
      <c r="W204" s="343" t="s">
        <v>78</v>
      </c>
      <c r="X204" s="343" t="s">
        <v>36</v>
      </c>
      <c r="Y204" s="343" t="s">
        <v>79</v>
      </c>
      <c r="Z204" s="343" t="s">
        <v>80</v>
      </c>
      <c r="AA204" s="343" t="s">
        <v>81</v>
      </c>
      <c r="AB204" s="343" t="s">
        <v>12</v>
      </c>
    </row>
    <row r="205" spans="16:28" x14ac:dyDescent="0.35">
      <c r="P205" s="540">
        <v>1</v>
      </c>
      <c r="Q205" s="939" t="str">
        <f>Q197</f>
        <v>Kalibrasi Patient Auxillary Leakage Current</v>
      </c>
      <c r="R205" s="541">
        <f>R197</f>
        <v>0</v>
      </c>
      <c r="S205" s="542">
        <f t="shared" ref="S205:S210" si="87">R205+U205</f>
        <v>1.7073471655430807E-3</v>
      </c>
      <c r="T205" s="540">
        <f>AVERAGE(ID!F144:J144)</f>
        <v>0</v>
      </c>
      <c r="U205" s="543">
        <f>(FORECAST(T205,$F$104:$F$107,$C$104:$C$107))</f>
        <v>1.7073471655430807E-3</v>
      </c>
      <c r="V205" s="544">
        <f>T205+U205</f>
        <v>1.7073471655430807E-3</v>
      </c>
      <c r="W205" s="545">
        <f t="shared" ref="W205:W210" si="88">R205-V205-Z205</f>
        <v>-1.8804544602117571E-3</v>
      </c>
      <c r="X205" s="540">
        <f>STDEV(ID!F144:J144)</f>
        <v>0</v>
      </c>
      <c r="Y205" s="540">
        <f>0.5*ID!K144</f>
        <v>0.05</v>
      </c>
      <c r="Z205" s="540">
        <f>(FORECAST(V205,$G$104:$G$108,$C$104:$C$108))</f>
        <v>1.7310729466867635E-4</v>
      </c>
      <c r="AA205" s="546">
        <f>(FORECAST(V205,$H$104:$H$108,$C$104:$C$108))</f>
        <v>5.1932188400600132E-4</v>
      </c>
      <c r="AB205" s="541">
        <f>KTPS!AU402</f>
        <v>5.7985117631630188E-2</v>
      </c>
    </row>
    <row r="206" spans="16:28" x14ac:dyDescent="0.35">
      <c r="P206" s="540">
        <v>2</v>
      </c>
      <c r="Q206" s="939"/>
      <c r="R206" s="541">
        <f t="shared" ref="R206:R210" si="89">R198</f>
        <v>1</v>
      </c>
      <c r="S206" s="542">
        <f t="shared" si="87"/>
        <v>1.0017577605741534</v>
      </c>
      <c r="T206" s="540">
        <f>AVERAGE(ID!F145:J145)</f>
        <v>0.98000000000000009</v>
      </c>
      <c r="U206" s="543">
        <f t="shared" ref="U206:U210" si="90">(FORECAST(T206,$F$104:$F$107,$C$104:$C$107))</f>
        <v>1.7577605741534545E-3</v>
      </c>
      <c r="V206" s="544">
        <f t="shared" ref="V206:V210" si="91">T206+U206</f>
        <v>0.98175776057415354</v>
      </c>
      <c r="W206" s="545">
        <f t="shared" si="88"/>
        <v>1.7594927836823811E-2</v>
      </c>
      <c r="X206" s="540">
        <f>STDEV(ID!F145:J145)</f>
        <v>0.23874672772626584</v>
      </c>
      <c r="Y206" s="540">
        <f>0.5*ID!K145</f>
        <v>0.05</v>
      </c>
      <c r="Z206" s="540">
        <f t="shared" ref="Z206:Z210" si="92">(FORECAST(V206,$G$104:$G$108,$C$104:$C$108))</f>
        <v>6.4731158902264969E-4</v>
      </c>
      <c r="AA206" s="546">
        <f t="shared" ref="AA206:AA210" si="93">(FORECAST(V206,$H$104:$H$108,$C$104:$C$108))</f>
        <v>1.9419347670679215E-3</v>
      </c>
      <c r="AB206" s="541">
        <f>KTPS!AU414</f>
        <v>0.29184590384673953</v>
      </c>
    </row>
    <row r="207" spans="16:28" x14ac:dyDescent="0.35">
      <c r="P207" s="540">
        <v>3</v>
      </c>
      <c r="Q207" s="939"/>
      <c r="R207" s="541">
        <f t="shared" si="89"/>
        <v>50</v>
      </c>
      <c r="S207" s="542">
        <f t="shared" si="87"/>
        <v>50.004280488694818</v>
      </c>
      <c r="T207" s="540">
        <f>AVERAGE(ID!F146:J146)</f>
        <v>50.019999999999996</v>
      </c>
      <c r="U207" s="543">
        <f t="shared" si="90"/>
        <v>4.2804886948195082E-3</v>
      </c>
      <c r="V207" s="544">
        <f t="shared" si="91"/>
        <v>50.024280488694814</v>
      </c>
      <c r="W207" s="545">
        <f>R207-V207-Z207</f>
        <v>-4.8657370278855465E-2</v>
      </c>
      <c r="X207" s="540">
        <f>STDEV(ID!F146:J146)</f>
        <v>0.27748873851023165</v>
      </c>
      <c r="Y207" s="540">
        <f>0.5*ID!K146</f>
        <v>0.05</v>
      </c>
      <c r="Z207" s="540">
        <f t="shared" si="92"/>
        <v>2.437688158404188E-2</v>
      </c>
      <c r="AA207" s="546">
        <f t="shared" si="93"/>
        <v>7.3130644752125634E-2</v>
      </c>
      <c r="AB207" s="541">
        <f>KTPS!AU426</f>
        <v>0.33656059601510491</v>
      </c>
    </row>
    <row r="208" spans="16:28" x14ac:dyDescent="0.35">
      <c r="P208" s="540">
        <v>4</v>
      </c>
      <c r="Q208" s="939"/>
      <c r="R208" s="541">
        <f t="shared" si="89"/>
        <v>100</v>
      </c>
      <c r="S208" s="542">
        <f t="shared" si="87"/>
        <v>100.00685054368887</v>
      </c>
      <c r="T208" s="540">
        <f>AVERAGE(ID!F147:J147)</f>
        <v>99.98</v>
      </c>
      <c r="U208" s="543">
        <f t="shared" si="90"/>
        <v>6.8505436888748935E-3</v>
      </c>
      <c r="V208" s="544">
        <f t="shared" si="91"/>
        <v>99.986850543688874</v>
      </c>
      <c r="W208" s="545">
        <f t="shared" si="88"/>
        <v>-3.5402166646308159E-2</v>
      </c>
      <c r="X208" s="540">
        <f>STDEV(ID!F147:J147)</f>
        <v>0.25884358211089581</v>
      </c>
      <c r="Y208" s="540">
        <f>0.5*ID!K147</f>
        <v>0.05</v>
      </c>
      <c r="Z208" s="540">
        <f t="shared" si="92"/>
        <v>4.8551622957434232E-2</v>
      </c>
      <c r="AA208" s="546">
        <f t="shared" si="93"/>
        <v>0.1456548688723027</v>
      </c>
      <c r="AB208" s="541">
        <f>KTPS!AU438</f>
        <v>0.32206249452312996</v>
      </c>
    </row>
    <row r="209" spans="16:28" x14ac:dyDescent="0.35">
      <c r="P209" s="540">
        <v>5</v>
      </c>
      <c r="Q209" s="939"/>
      <c r="R209" s="541">
        <f t="shared" si="89"/>
        <v>500</v>
      </c>
      <c r="S209" s="542">
        <f t="shared" si="87"/>
        <v>500.02737703175387</v>
      </c>
      <c r="T209" s="540">
        <f>AVERAGE(ID!F148:J148)</f>
        <v>499</v>
      </c>
      <c r="U209" s="543">
        <f t="shared" si="90"/>
        <v>2.7377031753886494E-2</v>
      </c>
      <c r="V209" s="544">
        <f t="shared" si="91"/>
        <v>499.02737703175387</v>
      </c>
      <c r="W209" s="545">
        <f t="shared" si="88"/>
        <v>0.73099277637734439</v>
      </c>
      <c r="X209" s="540">
        <f>STDEV(ID!F148:J148)</f>
        <v>0</v>
      </c>
      <c r="Y209" s="540">
        <f>0.5*ID!K148</f>
        <v>0.5</v>
      </c>
      <c r="Z209" s="540">
        <f t="shared" si="92"/>
        <v>0.24163019186878362</v>
      </c>
      <c r="AA209" s="546">
        <f t="shared" si="93"/>
        <v>0.72489057560635106</v>
      </c>
      <c r="AB209" s="541">
        <f>KTPS!AU450</f>
        <v>0.95883791518011396</v>
      </c>
    </row>
    <row r="210" spans="16:28" x14ac:dyDescent="0.35">
      <c r="P210" s="540">
        <v>6</v>
      </c>
      <c r="Q210" s="939"/>
      <c r="R210" s="541">
        <f t="shared" si="89"/>
        <v>1000</v>
      </c>
      <c r="S210" s="542">
        <f t="shared" si="87"/>
        <v>1000.0530775816944</v>
      </c>
      <c r="T210" s="540">
        <f>AVERAGE(ID!F149:J149)</f>
        <v>998.6</v>
      </c>
      <c r="U210" s="543">
        <f t="shared" si="90"/>
        <v>5.3077581694440337E-2</v>
      </c>
      <c r="V210" s="544">
        <f t="shared" si="91"/>
        <v>998.65307758169445</v>
      </c>
      <c r="W210" s="545">
        <f t="shared" si="88"/>
        <v>0.86354481270284589</v>
      </c>
      <c r="X210" s="540">
        <f>STDEV(ID!F149:J149)</f>
        <v>0.54772255750516619</v>
      </c>
      <c r="Y210" s="540">
        <f>0.5*ID!K149</f>
        <v>0.5</v>
      </c>
      <c r="Z210" s="540">
        <f t="shared" si="92"/>
        <v>0.48337760560270715</v>
      </c>
      <c r="AA210" s="546">
        <f t="shared" si="93"/>
        <v>1.4501328168081218</v>
      </c>
      <c r="AB210" s="541">
        <f>KTPS!AU462</f>
        <v>1.7188520862151635</v>
      </c>
    </row>
    <row r="211" spans="16:28" x14ac:dyDescent="0.35">
      <c r="P211" s="402" t="str">
        <f>ID!D150</f>
        <v>V1 - V6 Terhadap Semua Elektroda</v>
      </c>
      <c r="Q211" s="402"/>
      <c r="R211" s="402"/>
      <c r="S211" s="402"/>
      <c r="T211" s="402"/>
      <c r="U211" s="402"/>
      <c r="V211" s="402"/>
      <c r="W211" s="402"/>
      <c r="X211" s="402"/>
      <c r="Y211" s="402"/>
      <c r="Z211" s="402"/>
      <c r="AA211" s="402"/>
      <c r="AB211" s="402"/>
    </row>
    <row r="212" spans="16:28" ht="21" x14ac:dyDescent="0.35">
      <c r="P212" s="539" t="s">
        <v>30</v>
      </c>
      <c r="Q212" s="539" t="s">
        <v>72</v>
      </c>
      <c r="R212" s="343" t="s">
        <v>73</v>
      </c>
      <c r="S212" s="343" t="s">
        <v>74</v>
      </c>
      <c r="T212" s="343" t="s">
        <v>75</v>
      </c>
      <c r="U212" s="343" t="s">
        <v>76</v>
      </c>
      <c r="V212" s="343" t="s">
        <v>77</v>
      </c>
      <c r="W212" s="343" t="s">
        <v>78</v>
      </c>
      <c r="X212" s="343" t="s">
        <v>36</v>
      </c>
      <c r="Y212" s="343" t="s">
        <v>79</v>
      </c>
      <c r="Z212" s="343" t="s">
        <v>80</v>
      </c>
      <c r="AA212" s="343" t="s">
        <v>81</v>
      </c>
      <c r="AB212" s="343" t="s">
        <v>12</v>
      </c>
    </row>
    <row r="213" spans="16:28" x14ac:dyDescent="0.35">
      <c r="P213" s="540">
        <v>1</v>
      </c>
      <c r="Q213" s="939" t="str">
        <f>Q205</f>
        <v>Kalibrasi Patient Auxillary Leakage Current</v>
      </c>
      <c r="R213" s="541">
        <f>R205</f>
        <v>0</v>
      </c>
      <c r="S213" s="542">
        <f t="shared" ref="S213:S218" si="94">R213+U213</f>
        <v>1.7073471655430807E-3</v>
      </c>
      <c r="T213" s="540">
        <f>AVERAGE(ID!F151:J151)</f>
        <v>0</v>
      </c>
      <c r="U213" s="543">
        <f>(FORECAST(T213,$F$104:$F$107,$C$104:$C$107))</f>
        <v>1.7073471655430807E-3</v>
      </c>
      <c r="V213" s="544">
        <f>T213+U213</f>
        <v>1.7073471655430807E-3</v>
      </c>
      <c r="W213" s="545">
        <f t="shared" ref="W213:W218" si="95">R213-V213-Z213</f>
        <v>-1.8804544602117571E-3</v>
      </c>
      <c r="X213" s="540">
        <f>STDEV(ID!F151:J151)</f>
        <v>0</v>
      </c>
      <c r="Y213" s="540">
        <f>0.5*ID!K151</f>
        <v>0.05</v>
      </c>
      <c r="Z213" s="540">
        <f>(FORECAST(V213,$G$104:$G$108,$C$104:$C$108))</f>
        <v>1.7310729466867635E-4</v>
      </c>
      <c r="AA213" s="546">
        <f>(FORECAST(V213,$H$104:$H$108,$C$104:$C$108))</f>
        <v>5.1932188400600132E-4</v>
      </c>
      <c r="AB213" s="541">
        <f>KTPS!BG402</f>
        <v>5.7985117631630188E-2</v>
      </c>
    </row>
    <row r="214" spans="16:28" x14ac:dyDescent="0.35">
      <c r="P214" s="540">
        <v>2</v>
      </c>
      <c r="Q214" s="939"/>
      <c r="R214" s="541">
        <f t="shared" ref="R214:R218" si="96">R206</f>
        <v>1</v>
      </c>
      <c r="S214" s="542">
        <f t="shared" si="94"/>
        <v>1.0017629047995218</v>
      </c>
      <c r="T214" s="540">
        <f>AVERAGE(ID!F152:J152)</f>
        <v>1.08</v>
      </c>
      <c r="U214" s="543">
        <f t="shared" ref="U214:U218" si="97">(FORECAST(T214,$F$104:$F$107,$C$104:$C$107))</f>
        <v>1.76290479952186E-3</v>
      </c>
      <c r="V214" s="544">
        <f>T214+U214</f>
        <v>1.0817629047995219</v>
      </c>
      <c r="W214" s="545">
        <f t="shared" si="95"/>
        <v>-8.2458604581845937E-2</v>
      </c>
      <c r="X214" s="540">
        <f>STDEV(ID!F152:J152)</f>
        <v>0.19235384061671323</v>
      </c>
      <c r="Y214" s="540">
        <f>0.5*ID!K152</f>
        <v>0.05</v>
      </c>
      <c r="Z214" s="540">
        <f t="shared" ref="Z214:Z218" si="98">(FORECAST(V214,$G$104:$G$108,$C$104:$C$108))</f>
        <v>6.9569978232407546E-4</v>
      </c>
      <c r="AA214" s="546">
        <f t="shared" ref="AA214:AA218" si="99">(FORECAST(V214,$H$104:$H$108,$C$104:$C$108))</f>
        <v>2.087099346972199E-3</v>
      </c>
      <c r="AB214" s="541">
        <f>KTPS!BG414</f>
        <v>0.23402017465581879</v>
      </c>
    </row>
    <row r="215" spans="16:28" x14ac:dyDescent="0.35">
      <c r="P215" s="540">
        <v>3</v>
      </c>
      <c r="Q215" s="939"/>
      <c r="R215" s="541">
        <f t="shared" si="96"/>
        <v>50</v>
      </c>
      <c r="S215" s="542">
        <f t="shared" si="94"/>
        <v>50.004281517539894</v>
      </c>
      <c r="T215" s="540">
        <f>AVERAGE(ID!F153:J153)</f>
        <v>50.04</v>
      </c>
      <c r="U215" s="543">
        <f t="shared" si="97"/>
        <v>4.2815175398931895E-3</v>
      </c>
      <c r="V215" s="544">
        <f t="shared" ref="V215:V218" si="100">T215+U215</f>
        <v>50.044281517539893</v>
      </c>
      <c r="W215" s="545">
        <f t="shared" si="95"/>
        <v>-6.8668076762595565E-2</v>
      </c>
      <c r="X215" s="540">
        <f>STDEV(ID!F153:J153)</f>
        <v>0.2302172886644254</v>
      </c>
      <c r="Y215" s="540">
        <f>0.5*ID!K153</f>
        <v>0.05</v>
      </c>
      <c r="Z215" s="540">
        <f t="shared" si="98"/>
        <v>2.4386559222702168E-2</v>
      </c>
      <c r="AA215" s="546">
        <f t="shared" si="99"/>
        <v>7.3159677668106493E-2</v>
      </c>
      <c r="AB215" s="541">
        <f>KTPS!BG426</f>
        <v>0.27893493262667279</v>
      </c>
    </row>
    <row r="216" spans="16:28" x14ac:dyDescent="0.35">
      <c r="P216" s="540">
        <v>4</v>
      </c>
      <c r="Q216" s="939"/>
      <c r="R216" s="541">
        <f t="shared" si="96"/>
        <v>100</v>
      </c>
      <c r="S216" s="542">
        <f t="shared" si="94"/>
        <v>100.00685260137902</v>
      </c>
      <c r="T216" s="540">
        <f>AVERAGE(ID!F154:J154)</f>
        <v>100.02000000000001</v>
      </c>
      <c r="U216" s="543">
        <f t="shared" si="97"/>
        <v>6.8526013790222561E-3</v>
      </c>
      <c r="V216" s="544">
        <f t="shared" si="100"/>
        <v>100.02685260137903</v>
      </c>
      <c r="W216" s="545">
        <f>R216-V216-Z216</f>
        <v>-7.5423579613788372E-2</v>
      </c>
      <c r="X216" s="540">
        <f>STDEV(ID!F154:J154)</f>
        <v>0.23874672772626446</v>
      </c>
      <c r="Y216" s="540">
        <f>0.5*ID!K154</f>
        <v>0.05</v>
      </c>
      <c r="Z216" s="540">
        <f t="shared" si="98"/>
        <v>4.8570978234754814E-2</v>
      </c>
      <c r="AA216" s="546">
        <f t="shared" si="99"/>
        <v>0.14571293470426444</v>
      </c>
      <c r="AB216" s="541">
        <f>KTPS!BG438</f>
        <v>0.30103704967644784</v>
      </c>
    </row>
    <row r="217" spans="16:28" x14ac:dyDescent="0.35">
      <c r="P217" s="540">
        <v>5</v>
      </c>
      <c r="Q217" s="939"/>
      <c r="R217" s="541">
        <f t="shared" si="96"/>
        <v>500</v>
      </c>
      <c r="S217" s="542">
        <f t="shared" si="94"/>
        <v>500.02737703175387</v>
      </c>
      <c r="T217" s="540">
        <f>AVERAGE(ID!F155:J155)</f>
        <v>499</v>
      </c>
      <c r="U217" s="543">
        <f t="shared" si="97"/>
        <v>2.7377031753886494E-2</v>
      </c>
      <c r="V217" s="544">
        <f t="shared" si="100"/>
        <v>499.02737703175387</v>
      </c>
      <c r="W217" s="545">
        <f t="shared" si="95"/>
        <v>0.73099277637734439</v>
      </c>
      <c r="X217" s="540">
        <f>STDEV(ID!F155:J155)</f>
        <v>0</v>
      </c>
      <c r="Y217" s="540">
        <f>0.5*ID!K155</f>
        <v>0.5</v>
      </c>
      <c r="Z217" s="540">
        <f t="shared" si="98"/>
        <v>0.24163019186878362</v>
      </c>
      <c r="AA217" s="546">
        <f t="shared" si="99"/>
        <v>0.72489057560635106</v>
      </c>
      <c r="AB217" s="541">
        <f>KTPS!BG450</f>
        <v>0.95883791518011396</v>
      </c>
    </row>
    <row r="218" spans="16:28" x14ac:dyDescent="0.35">
      <c r="P218" s="540">
        <v>6</v>
      </c>
      <c r="Q218" s="939"/>
      <c r="R218" s="541">
        <f t="shared" si="96"/>
        <v>1000</v>
      </c>
      <c r="S218" s="542">
        <f t="shared" si="94"/>
        <v>1000.0530878701452</v>
      </c>
      <c r="T218" s="540">
        <f>AVERAGE(ID!F156:J156)</f>
        <v>998.8</v>
      </c>
      <c r="U218" s="543">
        <f t="shared" si="97"/>
        <v>5.3087870145177143E-2</v>
      </c>
      <c r="V218" s="544">
        <f t="shared" si="100"/>
        <v>998.85308787014515</v>
      </c>
      <c r="W218" s="545">
        <f t="shared" si="95"/>
        <v>0.66343774786554444</v>
      </c>
      <c r="X218" s="540">
        <f>STDEV(ID!F156:J156)</f>
        <v>0.44721359549995793</v>
      </c>
      <c r="Y218" s="540">
        <f>0.5*ID!K156</f>
        <v>0.5</v>
      </c>
      <c r="Z218" s="540">
        <f t="shared" si="98"/>
        <v>0.48347438198930998</v>
      </c>
      <c r="AA218" s="546">
        <f t="shared" si="99"/>
        <v>1.4504231459679302</v>
      </c>
      <c r="AB218" s="541">
        <f>KTPS!BG462</f>
        <v>1.6953897609176898</v>
      </c>
    </row>
  </sheetData>
  <mergeCells count="17">
    <mergeCell ref="C4:H4"/>
    <mergeCell ref="Q132:Q137"/>
    <mergeCell ref="Q123:Q128"/>
    <mergeCell ref="C123:C128"/>
    <mergeCell ref="Q181:Q186"/>
    <mergeCell ref="C132:C137"/>
    <mergeCell ref="C140:C145"/>
    <mergeCell ref="C148:C153"/>
    <mergeCell ref="Q189:Q194"/>
    <mergeCell ref="Q197:Q202"/>
    <mergeCell ref="Q205:Q210"/>
    <mergeCell ref="Q213:Q218"/>
    <mergeCell ref="Q140:Q145"/>
    <mergeCell ref="Q148:Q153"/>
    <mergeCell ref="Q156:Q161"/>
    <mergeCell ref="Q164:Q169"/>
    <mergeCell ref="Q172:Q177"/>
  </mergeCells>
  <dataValidations disablePrompts="1" count="1">
    <dataValidation type="list" allowBlank="1" showInputMessage="1" showErrorMessage="1" sqref="N1" xr:uid="{052F6263-0FAC-456E-B16F-D1392BED119B}">
      <formula1>$M$2:$N$2</formula1>
    </dataValidation>
  </dataValidation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Sert Thermohygro</vt:lpstr>
      <vt:lpstr>Sert Insulation</vt:lpstr>
      <vt:lpstr>LK</vt:lpstr>
      <vt:lpstr>ID</vt:lpstr>
      <vt:lpstr>KTPS</vt:lpstr>
      <vt:lpstr>Sert Resistor</vt:lpstr>
      <vt:lpstr>LP</vt:lpstr>
      <vt:lpstr>LH</vt:lpstr>
      <vt:lpstr>Sert Time Electronics</vt:lpstr>
      <vt:lpstr>Kata-kata</vt:lpstr>
      <vt:lpstr>ID!Print_Area</vt:lpstr>
      <vt:lpstr>KTPS!Print_Area</vt:lpstr>
      <vt:lpstr>LH!Print_Area</vt:lpstr>
      <vt:lpstr>LK!Print_Area</vt:lpstr>
      <vt:lpstr>LP!Print_Area</vt:lpstr>
      <vt:lpstr>'Sert Time Electronics'!Print_Area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PC-Sapras</dc:creator>
  <cp:keywords/>
  <dc:description/>
  <cp:lastModifiedBy>MyBook PRO K5</cp:lastModifiedBy>
  <cp:revision/>
  <dcterms:created xsi:type="dcterms:W3CDTF">2022-07-14T06:42:07Z</dcterms:created>
  <dcterms:modified xsi:type="dcterms:W3CDTF">2023-09-25T01:38:25Z</dcterms:modified>
  <cp:category/>
  <cp:contentStatus/>
</cp:coreProperties>
</file>