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F2B9B616-F332-4756-AD88-64FCEAC30EC1}" xr6:coauthVersionLast="45" xr6:coauthVersionMax="47" xr10:uidLastSave="{00000000-0000-0000-0000-000000000000}"/>
  <bookViews>
    <workbookView xWindow="-108" yWindow="-108" windowWidth="23256" windowHeight="12456" firstSheet="1" activeTab="8" xr2:uid="{00000000-000D-0000-FFFF-FFFF00000000}"/>
  </bookViews>
  <sheets>
    <sheet name="SERTIFIKAT" sheetId="12" state="hidden" r:id="rId1"/>
    <sheet name="LK (2)" sheetId="1" r:id="rId2"/>
    <sheet name="DB Thermohygro " sheetId="11" r:id="rId3"/>
    <sheet name="SCOPE" sheetId="10" state="hidden" r:id="rId4"/>
    <sheet name="DB Stopwatch" sheetId="9" state="hidden" r:id="rId5"/>
    <sheet name="ESA" sheetId="8" state="hidden" r:id="rId6"/>
    <sheet name="ID" sheetId="2" r:id="rId7"/>
    <sheet name="BUDGET" sheetId="3" r:id="rId8"/>
    <sheet name="Penyelia" sheetId="4" r:id="rId9"/>
    <sheet name="LH" sheetId="7" r:id="rId10"/>
  </sheets>
  <externalReferences>
    <externalReference r:id="rId11"/>
    <externalReference r:id="rId12"/>
  </externalReferences>
  <definedNames>
    <definedName name="_xlnm.Print_Area" localSheetId="7">BUDGET!$A$1:$W$70,BUDGET!$A$72:$W$141</definedName>
    <definedName name="_xlnm.Print_Area" localSheetId="4">'DB Stopwatch'!$A$1:$T$95,'DB Stopwatch'!$A$205:$O$228</definedName>
    <definedName name="_xlnm.Print_Area" localSheetId="2">'DB Thermohygro '!$A$1:$O$199,'DB Thermohygro '!$A$337:$O$351</definedName>
    <definedName name="_xlnm.Print_Area" localSheetId="5">ESA!$AA$185:$AN$220</definedName>
    <definedName name="_xlnm.Print_Area" localSheetId="6">ID!$A$1:$O$76</definedName>
    <definedName name="_xlnm.Print_Area" localSheetId="9">LH!$A$1:$O$59,LH!$A$62:$O$132</definedName>
    <definedName name="_xlnm.Print_Area" localSheetId="1">'LK (2)'!$A$1:$M$49,'LK (2)'!$A$51:$M$68</definedName>
    <definedName name="_xlnm.Print_Area" localSheetId="8">Penyelia!$A$1:$M$79</definedName>
    <definedName name="_xlnm.Print_Area" localSheetId="0">SERTIFIKAT!$A$1:$F$33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4" i="4" l="1"/>
  <c r="J52" i="2" l="1"/>
  <c r="A230" i="9"/>
  <c r="S39" i="2" l="1"/>
  <c r="N342" i="11" l="1"/>
  <c r="N341" i="11"/>
  <c r="A356" i="11"/>
  <c r="B63" i="2"/>
  <c r="B50" i="12"/>
  <c r="A19" i="12" s="1"/>
  <c r="B45" i="12"/>
  <c r="B46" i="12" s="1"/>
  <c r="B43" i="12"/>
  <c r="E26" i="12"/>
  <c r="D21" i="12"/>
  <c r="D20" i="12"/>
  <c r="D19" i="12"/>
  <c r="B54" i="12" s="1"/>
  <c r="B55" i="12" s="1"/>
  <c r="D18" i="12"/>
  <c r="D17" i="12"/>
  <c r="A17" i="12"/>
  <c r="F11" i="12"/>
  <c r="D11" i="12"/>
  <c r="D10" i="12"/>
  <c r="D9" i="12"/>
  <c r="D8" i="12"/>
  <c r="D4" i="12"/>
  <c r="D23" i="12" s="1"/>
  <c r="A3" i="12"/>
  <c r="F6" i="12" s="1"/>
  <c r="A20" i="12" l="1"/>
  <c r="B59" i="12"/>
  <c r="B57" i="12" s="1"/>
  <c r="B58" i="12"/>
  <c r="A21" i="12"/>
  <c r="A22" i="12"/>
  <c r="B26" i="4" l="1"/>
  <c r="B26" i="7" s="1"/>
  <c r="B25" i="4"/>
  <c r="B25" i="7" s="1"/>
  <c r="N137" i="8" l="1"/>
  <c r="N142" i="8"/>
  <c r="N139" i="8"/>
  <c r="N140" i="8"/>
  <c r="N141" i="8"/>
  <c r="N138" i="8"/>
  <c r="O138" i="8" s="1"/>
  <c r="U20" i="4"/>
  <c r="E20" i="4" l="1"/>
  <c r="E19" i="4"/>
  <c r="E5" i="4"/>
  <c r="E5" i="7" s="1"/>
  <c r="E6" i="4"/>
  <c r="E6" i="7" s="1"/>
  <c r="E7" i="4"/>
  <c r="E7" i="7" s="1"/>
  <c r="E8" i="4"/>
  <c r="E8" i="7" s="1"/>
  <c r="E9" i="4"/>
  <c r="E9" i="7" s="1"/>
  <c r="E10" i="4"/>
  <c r="E10" i="7" s="1"/>
  <c r="E11" i="4"/>
  <c r="E11" i="7" s="1"/>
  <c r="E4" i="4"/>
  <c r="E4" i="7" s="1"/>
  <c r="A166" i="8"/>
  <c r="P34" i="3"/>
  <c r="L44" i="2"/>
  <c r="P32" i="3" s="1"/>
  <c r="H215" i="10"/>
  <c r="G215" i="10"/>
  <c r="C211" i="10"/>
  <c r="C212" i="10"/>
  <c r="C213" i="10"/>
  <c r="C214" i="10"/>
  <c r="C210" i="10"/>
  <c r="S38" i="4"/>
  <c r="T38" i="4"/>
  <c r="U38" i="4"/>
  <c r="V38" i="4"/>
  <c r="W38" i="4"/>
  <c r="X38" i="4"/>
  <c r="M3" i="3"/>
  <c r="H6" i="3" s="1"/>
  <c r="C190" i="10"/>
  <c r="T32" i="3" l="1"/>
  <c r="E19" i="7"/>
  <c r="N19" i="4"/>
  <c r="E20" i="7"/>
  <c r="N20" i="4"/>
  <c r="D38" i="4"/>
  <c r="H191" i="10"/>
  <c r="H192" i="10"/>
  <c r="H193" i="10"/>
  <c r="H194" i="10"/>
  <c r="H195" i="10"/>
  <c r="H190" i="10"/>
  <c r="G191" i="10"/>
  <c r="G192" i="10"/>
  <c r="C191" i="10"/>
  <c r="C192" i="10"/>
  <c r="C193" i="10"/>
  <c r="C194" i="10"/>
  <c r="B227" i="9"/>
  <c r="L52" i="2"/>
  <c r="A227" i="9"/>
  <c r="L42" i="2"/>
  <c r="L47" i="2"/>
  <c r="L46" i="2"/>
  <c r="L45" i="2"/>
  <c r="L43" i="2"/>
  <c r="L33" i="2"/>
  <c r="L34" i="2"/>
  <c r="L35" i="2"/>
  <c r="G193" i="10" s="1"/>
  <c r="L36" i="2"/>
  <c r="G194" i="10" s="1"/>
  <c r="L37" i="2"/>
  <c r="G195" i="10" s="1"/>
  <c r="L32" i="2"/>
  <c r="G190" i="10" s="1"/>
  <c r="G14" i="2"/>
  <c r="L341" i="11" s="1"/>
  <c r="T44" i="4"/>
  <c r="U44" i="4"/>
  <c r="V44" i="4"/>
  <c r="W44" i="4"/>
  <c r="X44" i="4"/>
  <c r="T45" i="4"/>
  <c r="U45" i="4"/>
  <c r="V45" i="4"/>
  <c r="W45" i="4"/>
  <c r="X45" i="4"/>
  <c r="T46" i="4"/>
  <c r="U46" i="4"/>
  <c r="V46" i="4"/>
  <c r="W46" i="4"/>
  <c r="X46" i="4"/>
  <c r="T47" i="4"/>
  <c r="U47" i="4"/>
  <c r="V47" i="4"/>
  <c r="W47" i="4"/>
  <c r="X47" i="4"/>
  <c r="T48" i="4"/>
  <c r="U48" i="4"/>
  <c r="V48" i="4"/>
  <c r="W48" i="4"/>
  <c r="X48" i="4"/>
  <c r="S45" i="4"/>
  <c r="S46" i="4"/>
  <c r="S47" i="4"/>
  <c r="S48" i="4"/>
  <c r="S49" i="4"/>
  <c r="S44" i="4"/>
  <c r="T33" i="4"/>
  <c r="U33" i="4"/>
  <c r="V33" i="4"/>
  <c r="W33" i="4"/>
  <c r="X33" i="4"/>
  <c r="U34" i="4"/>
  <c r="V34" i="4"/>
  <c r="W34" i="4"/>
  <c r="X34" i="4"/>
  <c r="U35" i="4"/>
  <c r="V35" i="4"/>
  <c r="W35" i="4"/>
  <c r="X35" i="4"/>
  <c r="U36" i="4"/>
  <c r="V36" i="4"/>
  <c r="W36" i="4"/>
  <c r="X36" i="4"/>
  <c r="U37" i="4"/>
  <c r="V37" i="4"/>
  <c r="W37" i="4"/>
  <c r="X37" i="4"/>
  <c r="S37" i="4"/>
  <c r="S36" i="4"/>
  <c r="S35" i="4"/>
  <c r="S34" i="4"/>
  <c r="S33" i="4"/>
  <c r="J374" i="11"/>
  <c r="I374" i="11"/>
  <c r="J373" i="11"/>
  <c r="I373" i="11"/>
  <c r="J372" i="11"/>
  <c r="I372" i="11"/>
  <c r="J371" i="11"/>
  <c r="I371" i="11"/>
  <c r="J370" i="11"/>
  <c r="I370" i="11"/>
  <c r="J369" i="11"/>
  <c r="I369" i="11"/>
  <c r="J368" i="11"/>
  <c r="I368" i="11"/>
  <c r="J367" i="11"/>
  <c r="I367" i="11"/>
  <c r="J366" i="11"/>
  <c r="I366" i="11"/>
  <c r="J365" i="11"/>
  <c r="I365" i="11"/>
  <c r="J364" i="11"/>
  <c r="I364" i="11"/>
  <c r="J363" i="11"/>
  <c r="I363" i="11"/>
  <c r="J362" i="11"/>
  <c r="I362" i="11"/>
  <c r="J361" i="11"/>
  <c r="I361" i="11"/>
  <c r="J360" i="11"/>
  <c r="I360" i="11"/>
  <c r="J359" i="11"/>
  <c r="I359" i="11"/>
  <c r="J358" i="11"/>
  <c r="I358" i="11"/>
  <c r="J357" i="11"/>
  <c r="I357" i="11"/>
  <c r="A375" i="11"/>
  <c r="A337" i="11" s="1"/>
  <c r="A350" i="11"/>
  <c r="L335" i="11"/>
  <c r="K335" i="11"/>
  <c r="J335" i="11"/>
  <c r="E335" i="11"/>
  <c r="D335" i="11"/>
  <c r="C335" i="11"/>
  <c r="L334" i="11"/>
  <c r="K334" i="11"/>
  <c r="J334" i="11"/>
  <c r="E334" i="11"/>
  <c r="D334" i="11"/>
  <c r="C334" i="11"/>
  <c r="L333" i="11"/>
  <c r="K333" i="11"/>
  <c r="J333" i="11"/>
  <c r="F333" i="11"/>
  <c r="E333" i="11"/>
  <c r="D333" i="11"/>
  <c r="C333" i="11"/>
  <c r="L332" i="11"/>
  <c r="K332" i="11"/>
  <c r="J332" i="11"/>
  <c r="E332" i="11"/>
  <c r="D332" i="11"/>
  <c r="C332" i="11"/>
  <c r="L331" i="11"/>
  <c r="K331" i="11"/>
  <c r="J331" i="11"/>
  <c r="E331" i="11"/>
  <c r="D331" i="11"/>
  <c r="C331" i="11"/>
  <c r="L330" i="11"/>
  <c r="K330" i="11"/>
  <c r="J330" i="11"/>
  <c r="E330" i="11"/>
  <c r="D330" i="11"/>
  <c r="C330" i="11"/>
  <c r="L329" i="11"/>
  <c r="K329" i="11"/>
  <c r="J329" i="11"/>
  <c r="E329" i="11"/>
  <c r="D329" i="11"/>
  <c r="C329" i="11"/>
  <c r="L328" i="11"/>
  <c r="K328" i="11"/>
  <c r="J328" i="11"/>
  <c r="E328" i="11"/>
  <c r="D328" i="11"/>
  <c r="C328" i="11"/>
  <c r="L327" i="11"/>
  <c r="K327" i="11"/>
  <c r="J327" i="11"/>
  <c r="E327" i="11"/>
  <c r="D327" i="11"/>
  <c r="C327" i="11"/>
  <c r="L326" i="11"/>
  <c r="K326" i="11"/>
  <c r="J326" i="11"/>
  <c r="E326" i="11"/>
  <c r="D326" i="11"/>
  <c r="C326" i="11"/>
  <c r="L325" i="11"/>
  <c r="K325" i="11"/>
  <c r="J325" i="11"/>
  <c r="E325" i="11"/>
  <c r="D325" i="11"/>
  <c r="C325" i="11"/>
  <c r="L324" i="11"/>
  <c r="K324" i="11"/>
  <c r="J324" i="11"/>
  <c r="E324" i="11"/>
  <c r="D324" i="11"/>
  <c r="C324" i="11"/>
  <c r="L323" i="11"/>
  <c r="K323" i="11"/>
  <c r="J323" i="11"/>
  <c r="E323" i="11"/>
  <c r="D323" i="11"/>
  <c r="C323" i="11"/>
  <c r="L322" i="11"/>
  <c r="K322" i="11"/>
  <c r="J322" i="11"/>
  <c r="E322" i="11"/>
  <c r="D322" i="11"/>
  <c r="C322" i="11"/>
  <c r="L321" i="11"/>
  <c r="K321" i="11"/>
  <c r="J321" i="11"/>
  <c r="E321" i="11"/>
  <c r="D321" i="11"/>
  <c r="C321" i="11"/>
  <c r="L320" i="11"/>
  <c r="K320" i="11"/>
  <c r="J320" i="11"/>
  <c r="E320" i="11"/>
  <c r="D320" i="11"/>
  <c r="C320" i="11"/>
  <c r="L319" i="11"/>
  <c r="K319" i="11"/>
  <c r="J319" i="11"/>
  <c r="E319" i="11"/>
  <c r="D319" i="11"/>
  <c r="C319" i="11"/>
  <c r="L318" i="11"/>
  <c r="K318" i="11"/>
  <c r="J318" i="11"/>
  <c r="E318" i="11"/>
  <c r="D318" i="11"/>
  <c r="C318" i="11"/>
  <c r="L316" i="11"/>
  <c r="K316" i="11"/>
  <c r="J316" i="11"/>
  <c r="E316" i="11"/>
  <c r="D316" i="11"/>
  <c r="C316" i="11"/>
  <c r="L315" i="11"/>
  <c r="K315" i="11"/>
  <c r="J315" i="11"/>
  <c r="F315" i="11"/>
  <c r="E315" i="11"/>
  <c r="D315" i="11"/>
  <c r="C315" i="11"/>
  <c r="L314" i="11"/>
  <c r="K314" i="11"/>
  <c r="J314" i="11"/>
  <c r="E314" i="11"/>
  <c r="D314" i="11"/>
  <c r="C314" i="11"/>
  <c r="L313" i="11"/>
  <c r="K313" i="11"/>
  <c r="J313" i="11"/>
  <c r="E313" i="11"/>
  <c r="D313" i="11"/>
  <c r="C313" i="11"/>
  <c r="L312" i="11"/>
  <c r="K312" i="11"/>
  <c r="J312" i="11"/>
  <c r="E312" i="11"/>
  <c r="D312" i="11"/>
  <c r="C312" i="11"/>
  <c r="L311" i="11"/>
  <c r="K311" i="11"/>
  <c r="J311" i="11"/>
  <c r="E311" i="11"/>
  <c r="D311" i="11"/>
  <c r="C311" i="11"/>
  <c r="L310" i="11"/>
  <c r="K310" i="11"/>
  <c r="J310" i="11"/>
  <c r="E310" i="11"/>
  <c r="D310" i="11"/>
  <c r="C310" i="11"/>
  <c r="L309" i="11"/>
  <c r="K309" i="11"/>
  <c r="J309" i="11"/>
  <c r="E309" i="11"/>
  <c r="D309" i="11"/>
  <c r="C309" i="11"/>
  <c r="L308" i="11"/>
  <c r="K308" i="11"/>
  <c r="J308" i="11"/>
  <c r="E308" i="11"/>
  <c r="D308" i="11"/>
  <c r="C308" i="11"/>
  <c r="L307" i="11"/>
  <c r="K307" i="11"/>
  <c r="J307" i="11"/>
  <c r="F307" i="11"/>
  <c r="E307" i="11"/>
  <c r="D307" i="11"/>
  <c r="C307" i="11"/>
  <c r="L306" i="11"/>
  <c r="K306" i="11"/>
  <c r="J306" i="11"/>
  <c r="E306" i="11"/>
  <c r="D306" i="11"/>
  <c r="C306" i="11"/>
  <c r="L305" i="11"/>
  <c r="K305" i="11"/>
  <c r="J305" i="11"/>
  <c r="E305" i="11"/>
  <c r="D305" i="11"/>
  <c r="C305" i="11"/>
  <c r="L304" i="11"/>
  <c r="K304" i="11"/>
  <c r="J304" i="11"/>
  <c r="E304" i="11"/>
  <c r="D304" i="11"/>
  <c r="C304" i="11"/>
  <c r="L303" i="11"/>
  <c r="K303" i="11"/>
  <c r="J303" i="11"/>
  <c r="E303" i="11"/>
  <c r="D303" i="11"/>
  <c r="C303" i="11"/>
  <c r="L302" i="11"/>
  <c r="K302" i="11"/>
  <c r="J302" i="11"/>
  <c r="E302" i="11"/>
  <c r="D302" i="11"/>
  <c r="C302" i="11"/>
  <c r="L301" i="11"/>
  <c r="K301" i="11"/>
  <c r="J301" i="11"/>
  <c r="E301" i="11"/>
  <c r="D301" i="11"/>
  <c r="C301" i="11"/>
  <c r="L300" i="11"/>
  <c r="K300" i="11"/>
  <c r="J300" i="11"/>
  <c r="E300" i="11"/>
  <c r="D300" i="11"/>
  <c r="C300" i="11"/>
  <c r="L299" i="11"/>
  <c r="K299" i="11"/>
  <c r="J299" i="11"/>
  <c r="E299" i="11"/>
  <c r="D299" i="11"/>
  <c r="C299" i="11"/>
  <c r="L297" i="11"/>
  <c r="K297" i="11"/>
  <c r="J297" i="11"/>
  <c r="E297" i="11"/>
  <c r="D297" i="11"/>
  <c r="C297" i="11"/>
  <c r="L296" i="11"/>
  <c r="K296" i="11"/>
  <c r="J296" i="11"/>
  <c r="E296" i="11"/>
  <c r="D296" i="11"/>
  <c r="C296" i="11"/>
  <c r="L295" i="11"/>
  <c r="K295" i="11"/>
  <c r="J295" i="11"/>
  <c r="E295" i="11"/>
  <c r="D295" i="11"/>
  <c r="C295" i="11"/>
  <c r="L294" i="11"/>
  <c r="K294" i="11"/>
  <c r="J294" i="11"/>
  <c r="E294" i="11"/>
  <c r="D294" i="11"/>
  <c r="C294" i="11"/>
  <c r="L293" i="11"/>
  <c r="K293" i="11"/>
  <c r="J293" i="11"/>
  <c r="E293" i="11"/>
  <c r="D293" i="11"/>
  <c r="C293" i="11"/>
  <c r="L292" i="11"/>
  <c r="K292" i="11"/>
  <c r="J292" i="11"/>
  <c r="E292" i="11"/>
  <c r="D292" i="11"/>
  <c r="C292" i="11"/>
  <c r="L291" i="11"/>
  <c r="K291" i="11"/>
  <c r="J291" i="11"/>
  <c r="E291" i="11"/>
  <c r="D291" i="11"/>
  <c r="C291" i="11"/>
  <c r="L290" i="11"/>
  <c r="K290" i="11"/>
  <c r="J290" i="11"/>
  <c r="E290" i="11"/>
  <c r="D290" i="11"/>
  <c r="C290" i="11"/>
  <c r="L289" i="11"/>
  <c r="K289" i="11"/>
  <c r="J289" i="11"/>
  <c r="F289" i="11"/>
  <c r="E289" i="11"/>
  <c r="D289" i="11"/>
  <c r="C289" i="11"/>
  <c r="L288" i="11"/>
  <c r="K288" i="11"/>
  <c r="J288" i="11"/>
  <c r="E288" i="11"/>
  <c r="D288" i="11"/>
  <c r="C288" i="11"/>
  <c r="L287" i="11"/>
  <c r="K287" i="11"/>
  <c r="J287" i="11"/>
  <c r="E287" i="11"/>
  <c r="D287" i="11"/>
  <c r="C287" i="11"/>
  <c r="L286" i="11"/>
  <c r="K286" i="11"/>
  <c r="J286" i="11"/>
  <c r="E286" i="11"/>
  <c r="D286" i="11"/>
  <c r="C286" i="11"/>
  <c r="L285" i="11"/>
  <c r="K285" i="11"/>
  <c r="J285" i="11"/>
  <c r="E285" i="11"/>
  <c r="D285" i="11"/>
  <c r="C285" i="11"/>
  <c r="L284" i="11"/>
  <c r="K284" i="11"/>
  <c r="J284" i="11"/>
  <c r="E284" i="11"/>
  <c r="D284" i="11"/>
  <c r="C284" i="11"/>
  <c r="L283" i="11"/>
  <c r="K283" i="11"/>
  <c r="J283" i="11"/>
  <c r="E283" i="11"/>
  <c r="D283" i="11"/>
  <c r="C283" i="11"/>
  <c r="L282" i="11"/>
  <c r="K282" i="11"/>
  <c r="J282" i="11"/>
  <c r="F282" i="11"/>
  <c r="E282" i="11"/>
  <c r="D282" i="11"/>
  <c r="C282" i="11"/>
  <c r="L281" i="11"/>
  <c r="K281" i="11"/>
  <c r="J281" i="11"/>
  <c r="E281" i="11"/>
  <c r="D281" i="11"/>
  <c r="C281" i="11"/>
  <c r="L280" i="11"/>
  <c r="K280" i="11"/>
  <c r="J280" i="11"/>
  <c r="E280" i="11"/>
  <c r="D280" i="11"/>
  <c r="C280" i="11"/>
  <c r="L278" i="11"/>
  <c r="K278" i="11"/>
  <c r="J278" i="11"/>
  <c r="E278" i="11"/>
  <c r="D278" i="11"/>
  <c r="C278" i="11"/>
  <c r="L277" i="11"/>
  <c r="K277" i="11"/>
  <c r="J277" i="11"/>
  <c r="E277" i="11"/>
  <c r="D277" i="11"/>
  <c r="C277" i="11"/>
  <c r="L276" i="11"/>
  <c r="K276" i="11"/>
  <c r="J276" i="11"/>
  <c r="E276" i="11"/>
  <c r="D276" i="11"/>
  <c r="C276" i="11"/>
  <c r="L275" i="11"/>
  <c r="K275" i="11"/>
  <c r="J275" i="11"/>
  <c r="E275" i="11"/>
  <c r="D275" i="11"/>
  <c r="C275" i="11"/>
  <c r="L274" i="11"/>
  <c r="K274" i="11"/>
  <c r="J274" i="11"/>
  <c r="E274" i="11"/>
  <c r="D274" i="11"/>
  <c r="C274" i="11"/>
  <c r="L273" i="11"/>
  <c r="K273" i="11"/>
  <c r="J273" i="11"/>
  <c r="E273" i="11"/>
  <c r="D273" i="11"/>
  <c r="C273" i="11"/>
  <c r="L272" i="11"/>
  <c r="K272" i="11"/>
  <c r="J272" i="11"/>
  <c r="E272" i="11"/>
  <c r="D272" i="11"/>
  <c r="C272" i="11"/>
  <c r="L271" i="11"/>
  <c r="K271" i="11"/>
  <c r="J271" i="11"/>
  <c r="E271" i="11"/>
  <c r="D271" i="11"/>
  <c r="C271" i="11"/>
  <c r="L270" i="11"/>
  <c r="K270" i="11"/>
  <c r="J270" i="11"/>
  <c r="E270" i="11"/>
  <c r="D270" i="11"/>
  <c r="C270" i="11"/>
  <c r="L269" i="11"/>
  <c r="K269" i="11"/>
  <c r="J269" i="11"/>
  <c r="E269" i="11"/>
  <c r="D269" i="11"/>
  <c r="C269" i="11"/>
  <c r="L268" i="11"/>
  <c r="K268" i="11"/>
  <c r="J268" i="11"/>
  <c r="E268" i="11"/>
  <c r="D268" i="11"/>
  <c r="C268" i="11"/>
  <c r="L267" i="11"/>
  <c r="K267" i="11"/>
  <c r="J267" i="11"/>
  <c r="E267" i="11"/>
  <c r="D267" i="11"/>
  <c r="C267" i="11"/>
  <c r="L266" i="11"/>
  <c r="K266" i="11"/>
  <c r="J266" i="11"/>
  <c r="E266" i="11"/>
  <c r="D266" i="11"/>
  <c r="C266" i="11"/>
  <c r="L265" i="11"/>
  <c r="K265" i="11"/>
  <c r="J265" i="11"/>
  <c r="F265" i="11"/>
  <c r="E265" i="11"/>
  <c r="D265" i="11"/>
  <c r="C265" i="11"/>
  <c r="L264" i="11"/>
  <c r="K264" i="11"/>
  <c r="J264" i="11"/>
  <c r="E264" i="11"/>
  <c r="D264" i="11"/>
  <c r="C264" i="11"/>
  <c r="L263" i="11"/>
  <c r="K263" i="11"/>
  <c r="J263" i="11"/>
  <c r="E263" i="11"/>
  <c r="D263" i="11"/>
  <c r="C263" i="11"/>
  <c r="L262" i="11"/>
  <c r="K262" i="11"/>
  <c r="J262" i="11"/>
  <c r="E262" i="11"/>
  <c r="D262" i="11"/>
  <c r="C262" i="11"/>
  <c r="L261" i="11"/>
  <c r="K261" i="11"/>
  <c r="J261" i="11"/>
  <c r="E261" i="11"/>
  <c r="D261" i="11"/>
  <c r="C261" i="11"/>
  <c r="L259" i="11"/>
  <c r="K259" i="11"/>
  <c r="J259" i="11"/>
  <c r="E259" i="11"/>
  <c r="D259" i="11"/>
  <c r="C259" i="11"/>
  <c r="L258" i="11"/>
  <c r="K258" i="11"/>
  <c r="J258" i="11"/>
  <c r="E258" i="11"/>
  <c r="D258" i="11"/>
  <c r="C258" i="11"/>
  <c r="L257" i="11"/>
  <c r="K257" i="11"/>
  <c r="J257" i="11"/>
  <c r="E257" i="11"/>
  <c r="D257" i="11"/>
  <c r="C257" i="11"/>
  <c r="L256" i="11"/>
  <c r="K256" i="11"/>
  <c r="J256" i="11"/>
  <c r="E256" i="11"/>
  <c r="D256" i="11"/>
  <c r="C256" i="11"/>
  <c r="L255" i="11"/>
  <c r="K255" i="11"/>
  <c r="J255" i="11"/>
  <c r="E255" i="11"/>
  <c r="D255" i="11"/>
  <c r="C255" i="11"/>
  <c r="L254" i="11"/>
  <c r="K254" i="11"/>
  <c r="J254" i="11"/>
  <c r="E254" i="11"/>
  <c r="D254" i="11"/>
  <c r="C254" i="11"/>
  <c r="L253" i="11"/>
  <c r="K253" i="11"/>
  <c r="J253" i="11"/>
  <c r="E253" i="11"/>
  <c r="D253" i="11"/>
  <c r="C253" i="11"/>
  <c r="L252" i="11"/>
  <c r="K252" i="11"/>
  <c r="J252" i="11"/>
  <c r="E252" i="11"/>
  <c r="D252" i="11"/>
  <c r="C252" i="11"/>
  <c r="L251" i="11"/>
  <c r="K251" i="11"/>
  <c r="J251" i="11"/>
  <c r="E251" i="11"/>
  <c r="D251" i="11"/>
  <c r="C251" i="11"/>
  <c r="L250" i="11"/>
  <c r="K250" i="11"/>
  <c r="J250" i="11"/>
  <c r="E250" i="11"/>
  <c r="D250" i="11"/>
  <c r="C250" i="11"/>
  <c r="L249" i="11"/>
  <c r="K249" i="11"/>
  <c r="J249" i="11"/>
  <c r="E249" i="11"/>
  <c r="D249" i="11"/>
  <c r="C249" i="11"/>
  <c r="L248" i="11"/>
  <c r="K248" i="11"/>
  <c r="J248" i="11"/>
  <c r="E248" i="11"/>
  <c r="D248" i="11"/>
  <c r="C248" i="11"/>
  <c r="L247" i="11"/>
  <c r="K247" i="11"/>
  <c r="J247" i="11"/>
  <c r="F247" i="11"/>
  <c r="E247" i="11"/>
  <c r="D247" i="11"/>
  <c r="C247" i="11"/>
  <c r="L246" i="11"/>
  <c r="K246" i="11"/>
  <c r="J246" i="11"/>
  <c r="E246" i="11"/>
  <c r="D246" i="11"/>
  <c r="C246" i="11"/>
  <c r="L245" i="11"/>
  <c r="K245" i="11"/>
  <c r="J245" i="11"/>
  <c r="E245" i="11"/>
  <c r="D245" i="11"/>
  <c r="C245" i="11"/>
  <c r="L244" i="11"/>
  <c r="K244" i="11"/>
  <c r="J244" i="11"/>
  <c r="E244" i="11"/>
  <c r="D244" i="11"/>
  <c r="C244" i="11"/>
  <c r="L243" i="11"/>
  <c r="K243" i="11"/>
  <c r="J243" i="11"/>
  <c r="E243" i="11"/>
  <c r="D243" i="11"/>
  <c r="C243" i="11"/>
  <c r="L242" i="11"/>
  <c r="K242" i="11"/>
  <c r="J242" i="11"/>
  <c r="E242" i="11"/>
  <c r="D242" i="11"/>
  <c r="C242" i="11"/>
  <c r="L240" i="11"/>
  <c r="K240" i="11"/>
  <c r="J240" i="11"/>
  <c r="E240" i="11"/>
  <c r="D240" i="11"/>
  <c r="C240" i="11"/>
  <c r="L239" i="11"/>
  <c r="K239" i="11"/>
  <c r="J239" i="11"/>
  <c r="E239" i="11"/>
  <c r="D239" i="11"/>
  <c r="C239" i="11"/>
  <c r="L238" i="11"/>
  <c r="K238" i="11"/>
  <c r="J238" i="11"/>
  <c r="E238" i="11"/>
  <c r="D238" i="11"/>
  <c r="C238" i="11"/>
  <c r="L237" i="11"/>
  <c r="K237" i="11"/>
  <c r="J237" i="11"/>
  <c r="E237" i="11"/>
  <c r="D237" i="11"/>
  <c r="C237" i="11"/>
  <c r="L236" i="11"/>
  <c r="K236" i="11"/>
  <c r="J236" i="11"/>
  <c r="F236" i="11"/>
  <c r="E236" i="11"/>
  <c r="D236" i="11"/>
  <c r="C236" i="11"/>
  <c r="L235" i="11"/>
  <c r="K235" i="11"/>
  <c r="J235" i="11"/>
  <c r="E235" i="11"/>
  <c r="D235" i="11"/>
  <c r="C235" i="11"/>
  <c r="L234" i="11"/>
  <c r="K234" i="11"/>
  <c r="J234" i="11"/>
  <c r="E234" i="11"/>
  <c r="D234" i="11"/>
  <c r="C234" i="11"/>
  <c r="L233" i="11"/>
  <c r="K233" i="11"/>
  <c r="J233" i="11"/>
  <c r="E233" i="11"/>
  <c r="D233" i="11"/>
  <c r="C233" i="11"/>
  <c r="L232" i="11"/>
  <c r="K232" i="11"/>
  <c r="J232" i="11"/>
  <c r="E232" i="11"/>
  <c r="D232" i="11"/>
  <c r="C232" i="11"/>
  <c r="L231" i="11"/>
  <c r="K231" i="11"/>
  <c r="J231" i="11"/>
  <c r="E231" i="11"/>
  <c r="D231" i="11"/>
  <c r="C231" i="11"/>
  <c r="L230" i="11"/>
  <c r="K230" i="11"/>
  <c r="J230" i="11"/>
  <c r="E230" i="11"/>
  <c r="D230" i="11"/>
  <c r="C230" i="11"/>
  <c r="L229" i="11"/>
  <c r="K229" i="11"/>
  <c r="J229" i="11"/>
  <c r="E229" i="11"/>
  <c r="D229" i="11"/>
  <c r="C229" i="11"/>
  <c r="L228" i="11"/>
  <c r="K228" i="11"/>
  <c r="J228" i="11"/>
  <c r="E228" i="11"/>
  <c r="D228" i="11"/>
  <c r="C228" i="11"/>
  <c r="L227" i="11"/>
  <c r="K227" i="11"/>
  <c r="J227" i="11"/>
  <c r="E227" i="11"/>
  <c r="D227" i="11"/>
  <c r="C227" i="11"/>
  <c r="L226" i="11"/>
  <c r="K226" i="11"/>
  <c r="J226" i="11"/>
  <c r="E226" i="11"/>
  <c r="D226" i="11"/>
  <c r="C226" i="11"/>
  <c r="L225" i="11"/>
  <c r="K225" i="11"/>
  <c r="J225" i="11"/>
  <c r="E225" i="11"/>
  <c r="D225" i="11"/>
  <c r="C225" i="11"/>
  <c r="L224" i="11"/>
  <c r="K224" i="11"/>
  <c r="J224" i="11"/>
  <c r="E224" i="11"/>
  <c r="D224" i="11"/>
  <c r="C224" i="11"/>
  <c r="L223" i="11"/>
  <c r="K223" i="11"/>
  <c r="J223" i="11"/>
  <c r="E223" i="11"/>
  <c r="D223" i="11"/>
  <c r="C223" i="11"/>
  <c r="L221" i="11"/>
  <c r="K221" i="11"/>
  <c r="J221" i="11"/>
  <c r="F221" i="11"/>
  <c r="E221" i="11"/>
  <c r="D221" i="11"/>
  <c r="C221" i="11"/>
  <c r="Q220" i="11"/>
  <c r="P220" i="11"/>
  <c r="L220" i="11"/>
  <c r="K220" i="11"/>
  <c r="J220" i="11"/>
  <c r="E220" i="11"/>
  <c r="D220" i="11"/>
  <c r="C220" i="11"/>
  <c r="Q219" i="11"/>
  <c r="P219" i="11"/>
  <c r="L219" i="11"/>
  <c r="K219" i="11"/>
  <c r="J219" i="11"/>
  <c r="E219" i="11"/>
  <c r="D219" i="11"/>
  <c r="C219" i="11"/>
  <c r="Q218" i="11"/>
  <c r="P218" i="11"/>
  <c r="L218" i="11"/>
  <c r="K218" i="11"/>
  <c r="J218" i="11"/>
  <c r="E218" i="11"/>
  <c r="D218" i="11"/>
  <c r="C218" i="11"/>
  <c r="Q217" i="11"/>
  <c r="P217" i="11"/>
  <c r="L217" i="11"/>
  <c r="K217" i="11"/>
  <c r="J217" i="11"/>
  <c r="E217" i="11"/>
  <c r="D217" i="11"/>
  <c r="C217" i="11"/>
  <c r="Q216" i="11"/>
  <c r="P216" i="11"/>
  <c r="L216" i="11"/>
  <c r="K216" i="11"/>
  <c r="J216" i="11"/>
  <c r="E216" i="11"/>
  <c r="D216" i="11"/>
  <c r="C216" i="11"/>
  <c r="Q215" i="11"/>
  <c r="P215" i="11"/>
  <c r="L215" i="11"/>
  <c r="K215" i="11"/>
  <c r="J215" i="11"/>
  <c r="E215" i="11"/>
  <c r="D215" i="11"/>
  <c r="C215" i="11"/>
  <c r="Q214" i="11"/>
  <c r="P214" i="11"/>
  <c r="L214" i="11"/>
  <c r="K214" i="11"/>
  <c r="J214" i="11"/>
  <c r="E214" i="11"/>
  <c r="D214" i="11"/>
  <c r="C214" i="11"/>
  <c r="Q213" i="11"/>
  <c r="P213" i="11"/>
  <c r="L213" i="11"/>
  <c r="K213" i="11"/>
  <c r="J213" i="11"/>
  <c r="E213" i="11"/>
  <c r="D213" i="11"/>
  <c r="C213" i="11"/>
  <c r="Q212" i="11"/>
  <c r="P212" i="11"/>
  <c r="L212" i="11"/>
  <c r="K212" i="11"/>
  <c r="J212" i="11"/>
  <c r="E212" i="11"/>
  <c r="D212" i="11"/>
  <c r="C212" i="11"/>
  <c r="Q211" i="11"/>
  <c r="P211" i="11"/>
  <c r="L211" i="11"/>
  <c r="K211" i="11"/>
  <c r="J211" i="11"/>
  <c r="E211" i="11"/>
  <c r="D211" i="11"/>
  <c r="C211" i="11"/>
  <c r="Q210" i="11"/>
  <c r="P210" i="11"/>
  <c r="L210" i="11"/>
  <c r="K210" i="11"/>
  <c r="J210" i="11"/>
  <c r="E210" i="11"/>
  <c r="D210" i="11"/>
  <c r="C210" i="11"/>
  <c r="Q209" i="11"/>
  <c r="P209" i="11"/>
  <c r="L209" i="11"/>
  <c r="K209" i="11"/>
  <c r="J209" i="11"/>
  <c r="E209" i="11"/>
  <c r="D209" i="11"/>
  <c r="C209" i="11"/>
  <c r="Q208" i="11"/>
  <c r="P208" i="11"/>
  <c r="L208" i="11"/>
  <c r="K208" i="11"/>
  <c r="J208" i="11"/>
  <c r="E208" i="11"/>
  <c r="D208" i="11"/>
  <c r="C208" i="11"/>
  <c r="Q207" i="11"/>
  <c r="P207" i="11"/>
  <c r="L207" i="11"/>
  <c r="K207" i="11"/>
  <c r="J207" i="11"/>
  <c r="E207" i="11"/>
  <c r="D207" i="11"/>
  <c r="C207" i="11"/>
  <c r="Q206" i="11"/>
  <c r="P206" i="11"/>
  <c r="L206" i="11"/>
  <c r="K206" i="11"/>
  <c r="J206" i="11"/>
  <c r="E206" i="11"/>
  <c r="D206" i="11"/>
  <c r="C206" i="11"/>
  <c r="Q205" i="11"/>
  <c r="P205" i="11"/>
  <c r="L205" i="11"/>
  <c r="K205" i="11"/>
  <c r="J205" i="11"/>
  <c r="E205" i="11"/>
  <c r="D205" i="11"/>
  <c r="C205" i="11"/>
  <c r="Q204" i="11"/>
  <c r="P204" i="11"/>
  <c r="M204" i="11"/>
  <c r="L204" i="11"/>
  <c r="K204" i="11"/>
  <c r="J204" i="11"/>
  <c r="E204" i="11"/>
  <c r="D204" i="11"/>
  <c r="C204" i="11"/>
  <c r="Q203" i="11"/>
  <c r="P203" i="11"/>
  <c r="L198" i="11"/>
  <c r="M335" i="11" s="1"/>
  <c r="F198" i="11"/>
  <c r="F335" i="11" s="1"/>
  <c r="L197" i="11"/>
  <c r="M316" i="11" s="1"/>
  <c r="F197" i="11"/>
  <c r="F316" i="11" s="1"/>
  <c r="L196" i="11"/>
  <c r="M297" i="11" s="1"/>
  <c r="F196" i="11"/>
  <c r="F297" i="11" s="1"/>
  <c r="L195" i="11"/>
  <c r="M278" i="11" s="1"/>
  <c r="F195" i="11"/>
  <c r="F278" i="11" s="1"/>
  <c r="L194" i="11"/>
  <c r="M259" i="11" s="1"/>
  <c r="F194" i="11"/>
  <c r="F259" i="11" s="1"/>
  <c r="L193" i="11"/>
  <c r="M240" i="11" s="1"/>
  <c r="F193" i="11"/>
  <c r="F240" i="11" s="1"/>
  <c r="L192" i="11"/>
  <c r="M221" i="11" s="1"/>
  <c r="F192" i="11"/>
  <c r="K191" i="11"/>
  <c r="J191" i="11"/>
  <c r="H189" i="11"/>
  <c r="L187" i="11"/>
  <c r="M334" i="11" s="1"/>
  <c r="F187" i="11"/>
  <c r="F334" i="11" s="1"/>
  <c r="L186" i="11"/>
  <c r="M315" i="11" s="1"/>
  <c r="F186" i="11"/>
  <c r="L185" i="11"/>
  <c r="M296" i="11" s="1"/>
  <c r="F185" i="11"/>
  <c r="F296" i="11" s="1"/>
  <c r="L184" i="11"/>
  <c r="M277" i="11" s="1"/>
  <c r="F184" i="11"/>
  <c r="F277" i="11" s="1"/>
  <c r="L183" i="11"/>
  <c r="M258" i="11" s="1"/>
  <c r="F183" i="11"/>
  <c r="F258" i="11" s="1"/>
  <c r="L182" i="11"/>
  <c r="M239" i="11" s="1"/>
  <c r="F182" i="11"/>
  <c r="F239" i="11" s="1"/>
  <c r="L181" i="11"/>
  <c r="M220" i="11" s="1"/>
  <c r="F181" i="11"/>
  <c r="F220" i="11" s="1"/>
  <c r="K180" i="11"/>
  <c r="J180" i="11"/>
  <c r="H178" i="11"/>
  <c r="L176" i="11"/>
  <c r="M333" i="11" s="1"/>
  <c r="F176" i="11"/>
  <c r="L175" i="11"/>
  <c r="M314" i="11" s="1"/>
  <c r="F175" i="11"/>
  <c r="F314" i="11" s="1"/>
  <c r="L174" i="11"/>
  <c r="M295" i="11" s="1"/>
  <c r="F174" i="11"/>
  <c r="F295" i="11" s="1"/>
  <c r="L173" i="11"/>
  <c r="M276" i="11" s="1"/>
  <c r="F173" i="11"/>
  <c r="F276" i="11" s="1"/>
  <c r="L172" i="11"/>
  <c r="M257" i="11" s="1"/>
  <c r="F172" i="11"/>
  <c r="F257" i="11" s="1"/>
  <c r="L171" i="11"/>
  <c r="M238" i="11" s="1"/>
  <c r="F171" i="11"/>
  <c r="F238" i="11" s="1"/>
  <c r="L170" i="11"/>
  <c r="M219" i="11" s="1"/>
  <c r="F170" i="11"/>
  <c r="F219" i="11" s="1"/>
  <c r="K169" i="11"/>
  <c r="J169" i="11"/>
  <c r="H167" i="11"/>
  <c r="L165" i="11"/>
  <c r="M332" i="11" s="1"/>
  <c r="F165" i="11"/>
  <c r="F332" i="11" s="1"/>
  <c r="L164" i="11"/>
  <c r="M313" i="11" s="1"/>
  <c r="F164" i="11"/>
  <c r="F313" i="11" s="1"/>
  <c r="L163" i="11"/>
  <c r="M294" i="11" s="1"/>
  <c r="F163" i="11"/>
  <c r="F294" i="11" s="1"/>
  <c r="L162" i="11"/>
  <c r="M275" i="11" s="1"/>
  <c r="F162" i="11"/>
  <c r="F275" i="11" s="1"/>
  <c r="L161" i="11"/>
  <c r="M256" i="11" s="1"/>
  <c r="F161" i="11"/>
  <c r="F256" i="11" s="1"/>
  <c r="L160" i="11"/>
  <c r="M237" i="11" s="1"/>
  <c r="F160" i="11"/>
  <c r="F237" i="11" s="1"/>
  <c r="L159" i="11"/>
  <c r="M218" i="11" s="1"/>
  <c r="F159" i="11"/>
  <c r="F218" i="11" s="1"/>
  <c r="K158" i="11"/>
  <c r="J158" i="11"/>
  <c r="H156" i="11"/>
  <c r="L154" i="11"/>
  <c r="M331" i="11" s="1"/>
  <c r="F154" i="11"/>
  <c r="F331" i="11" s="1"/>
  <c r="L153" i="11"/>
  <c r="M312" i="11" s="1"/>
  <c r="F153" i="11"/>
  <c r="F312" i="11" s="1"/>
  <c r="L152" i="11"/>
  <c r="M293" i="11" s="1"/>
  <c r="F152" i="11"/>
  <c r="F293" i="11" s="1"/>
  <c r="L151" i="11"/>
  <c r="M274" i="11" s="1"/>
  <c r="F151" i="11"/>
  <c r="F274" i="11" s="1"/>
  <c r="L150" i="11"/>
  <c r="M255" i="11" s="1"/>
  <c r="F150" i="11"/>
  <c r="F255" i="11" s="1"/>
  <c r="L149" i="11"/>
  <c r="M236" i="11" s="1"/>
  <c r="F149" i="11"/>
  <c r="L148" i="11"/>
  <c r="M217" i="11" s="1"/>
  <c r="F148" i="11"/>
  <c r="F217" i="11" s="1"/>
  <c r="K147" i="11"/>
  <c r="J147" i="11"/>
  <c r="H145" i="11"/>
  <c r="L143" i="11"/>
  <c r="M330" i="11" s="1"/>
  <c r="F143" i="11"/>
  <c r="F330" i="11" s="1"/>
  <c r="L142" i="11"/>
  <c r="M311" i="11" s="1"/>
  <c r="F142" i="11"/>
  <c r="F311" i="11" s="1"/>
  <c r="L141" i="11"/>
  <c r="M292" i="11" s="1"/>
  <c r="F141" i="11"/>
  <c r="F292" i="11" s="1"/>
  <c r="L140" i="11"/>
  <c r="M273" i="11" s="1"/>
  <c r="F140" i="11"/>
  <c r="F273" i="11" s="1"/>
  <c r="L139" i="11"/>
  <c r="M254" i="11" s="1"/>
  <c r="F139" i="11"/>
  <c r="F254" i="11" s="1"/>
  <c r="L138" i="11"/>
  <c r="M235" i="11" s="1"/>
  <c r="F138" i="11"/>
  <c r="F235" i="11" s="1"/>
  <c r="L137" i="11"/>
  <c r="M216" i="11" s="1"/>
  <c r="F137" i="11"/>
  <c r="F216" i="11" s="1"/>
  <c r="K136" i="11"/>
  <c r="J136" i="11"/>
  <c r="H134" i="11"/>
  <c r="L132" i="11"/>
  <c r="M329" i="11" s="1"/>
  <c r="F132" i="11"/>
  <c r="F329" i="11" s="1"/>
  <c r="L131" i="11"/>
  <c r="M310" i="11" s="1"/>
  <c r="F131" i="11"/>
  <c r="F310" i="11" s="1"/>
  <c r="L130" i="11"/>
  <c r="M291" i="11" s="1"/>
  <c r="F130" i="11"/>
  <c r="F291" i="11" s="1"/>
  <c r="L129" i="11"/>
  <c r="M272" i="11" s="1"/>
  <c r="F129" i="11"/>
  <c r="F272" i="11" s="1"/>
  <c r="L128" i="11"/>
  <c r="M253" i="11" s="1"/>
  <c r="F128" i="11"/>
  <c r="F253" i="11" s="1"/>
  <c r="L127" i="11"/>
  <c r="M234" i="11" s="1"/>
  <c r="F127" i="11"/>
  <c r="F234" i="11" s="1"/>
  <c r="L126" i="11"/>
  <c r="M215" i="11" s="1"/>
  <c r="F126" i="11"/>
  <c r="F215" i="11" s="1"/>
  <c r="K125" i="11"/>
  <c r="J125" i="11"/>
  <c r="H123" i="11"/>
  <c r="L121" i="11"/>
  <c r="M328" i="11" s="1"/>
  <c r="F121" i="11"/>
  <c r="F328" i="11" s="1"/>
  <c r="L120" i="11"/>
  <c r="M309" i="11" s="1"/>
  <c r="F120" i="11"/>
  <c r="F309" i="11" s="1"/>
  <c r="L119" i="11"/>
  <c r="M290" i="11" s="1"/>
  <c r="F119" i="11"/>
  <c r="F290" i="11" s="1"/>
  <c r="L118" i="11"/>
  <c r="M271" i="11" s="1"/>
  <c r="F118" i="11"/>
  <c r="F271" i="11" s="1"/>
  <c r="L117" i="11"/>
  <c r="M252" i="11" s="1"/>
  <c r="F117" i="11"/>
  <c r="F252" i="11" s="1"/>
  <c r="L116" i="11"/>
  <c r="M233" i="11" s="1"/>
  <c r="F116" i="11"/>
  <c r="F233" i="11" s="1"/>
  <c r="L115" i="11"/>
  <c r="M214" i="11" s="1"/>
  <c r="F115" i="11"/>
  <c r="F214" i="11" s="1"/>
  <c r="K114" i="11"/>
  <c r="J114" i="11"/>
  <c r="H112" i="11"/>
  <c r="L110" i="11"/>
  <c r="M327" i="11" s="1"/>
  <c r="F110" i="11"/>
  <c r="F327" i="11" s="1"/>
  <c r="L109" i="11"/>
  <c r="M308" i="11" s="1"/>
  <c r="F109" i="11"/>
  <c r="F308" i="11" s="1"/>
  <c r="L108" i="11"/>
  <c r="M289" i="11" s="1"/>
  <c r="F108" i="11"/>
  <c r="L107" i="11"/>
  <c r="M270" i="11" s="1"/>
  <c r="F107" i="11"/>
  <c r="F270" i="11" s="1"/>
  <c r="L106" i="11"/>
  <c r="M251" i="11" s="1"/>
  <c r="F106" i="11"/>
  <c r="F251" i="11" s="1"/>
  <c r="L105" i="11"/>
  <c r="M232" i="11" s="1"/>
  <c r="F105" i="11"/>
  <c r="F232" i="11" s="1"/>
  <c r="L104" i="11"/>
  <c r="M213" i="11" s="1"/>
  <c r="F104" i="11"/>
  <c r="F213" i="11" s="1"/>
  <c r="K103" i="11"/>
  <c r="J103" i="11"/>
  <c r="H101" i="11"/>
  <c r="L99" i="11"/>
  <c r="M326" i="11" s="1"/>
  <c r="F99" i="11"/>
  <c r="F326" i="11" s="1"/>
  <c r="L98" i="11"/>
  <c r="M307" i="11" s="1"/>
  <c r="F98" i="11"/>
  <c r="L97" i="11"/>
  <c r="M288" i="11" s="1"/>
  <c r="F97" i="11"/>
  <c r="F288" i="11" s="1"/>
  <c r="L96" i="11"/>
  <c r="M269" i="11" s="1"/>
  <c r="F96" i="11"/>
  <c r="F269" i="11" s="1"/>
  <c r="L95" i="11"/>
  <c r="M250" i="11" s="1"/>
  <c r="F95" i="11"/>
  <c r="F250" i="11" s="1"/>
  <c r="L94" i="11"/>
  <c r="M231" i="11" s="1"/>
  <c r="F94" i="11"/>
  <c r="F231" i="11" s="1"/>
  <c r="L93" i="11"/>
  <c r="M212" i="11" s="1"/>
  <c r="F93" i="11"/>
  <c r="F212" i="11" s="1"/>
  <c r="K92" i="11"/>
  <c r="J92" i="11"/>
  <c r="H90" i="11"/>
  <c r="L88" i="11"/>
  <c r="M325" i="11" s="1"/>
  <c r="F88" i="11"/>
  <c r="F325" i="11" s="1"/>
  <c r="L87" i="11"/>
  <c r="M306" i="11" s="1"/>
  <c r="F87" i="11"/>
  <c r="F306" i="11" s="1"/>
  <c r="L86" i="11"/>
  <c r="M287" i="11" s="1"/>
  <c r="F86" i="11"/>
  <c r="F287" i="11" s="1"/>
  <c r="L85" i="11"/>
  <c r="M268" i="11" s="1"/>
  <c r="F85" i="11"/>
  <c r="F268" i="11" s="1"/>
  <c r="L84" i="11"/>
  <c r="M249" i="11" s="1"/>
  <c r="F84" i="11"/>
  <c r="F249" i="11" s="1"/>
  <c r="L83" i="11"/>
  <c r="M230" i="11" s="1"/>
  <c r="F83" i="11"/>
  <c r="F230" i="11" s="1"/>
  <c r="L82" i="11"/>
  <c r="M211" i="11" s="1"/>
  <c r="F82" i="11"/>
  <c r="F211" i="11" s="1"/>
  <c r="K81" i="11"/>
  <c r="J81" i="11"/>
  <c r="H79" i="11"/>
  <c r="L77" i="11"/>
  <c r="M324" i="11" s="1"/>
  <c r="F77" i="11"/>
  <c r="F324" i="11" s="1"/>
  <c r="L76" i="11"/>
  <c r="M305" i="11" s="1"/>
  <c r="F76" i="11"/>
  <c r="F305" i="11" s="1"/>
  <c r="L75" i="11"/>
  <c r="M286" i="11" s="1"/>
  <c r="F75" i="11"/>
  <c r="F286" i="11" s="1"/>
  <c r="L74" i="11"/>
  <c r="M267" i="11" s="1"/>
  <c r="F74" i="11"/>
  <c r="F267" i="11" s="1"/>
  <c r="L73" i="11"/>
  <c r="M248" i="11" s="1"/>
  <c r="F73" i="11"/>
  <c r="F248" i="11" s="1"/>
  <c r="L72" i="11"/>
  <c r="M229" i="11" s="1"/>
  <c r="F72" i="11"/>
  <c r="F229" i="11" s="1"/>
  <c r="L71" i="11"/>
  <c r="M210" i="11" s="1"/>
  <c r="F71" i="11"/>
  <c r="F210" i="11" s="1"/>
  <c r="K70" i="11"/>
  <c r="J70" i="11"/>
  <c r="H68" i="11"/>
  <c r="L66" i="11"/>
  <c r="M323" i="11" s="1"/>
  <c r="F66" i="11"/>
  <c r="F323" i="11" s="1"/>
  <c r="L65" i="11"/>
  <c r="M304" i="11" s="1"/>
  <c r="F65" i="11"/>
  <c r="F304" i="11" s="1"/>
  <c r="L64" i="11"/>
  <c r="M285" i="11" s="1"/>
  <c r="F64" i="11"/>
  <c r="F285" i="11" s="1"/>
  <c r="L63" i="11"/>
  <c r="M266" i="11" s="1"/>
  <c r="F63" i="11"/>
  <c r="F266" i="11" s="1"/>
  <c r="L62" i="11"/>
  <c r="M247" i="11" s="1"/>
  <c r="F62" i="11"/>
  <c r="L61" i="11"/>
  <c r="M228" i="11" s="1"/>
  <c r="F61" i="11"/>
  <c r="F228" i="11" s="1"/>
  <c r="L60" i="11"/>
  <c r="M209" i="11" s="1"/>
  <c r="F60" i="11"/>
  <c r="F209" i="11" s="1"/>
  <c r="K59" i="11"/>
  <c r="J59" i="11"/>
  <c r="H57" i="11"/>
  <c r="L55" i="11"/>
  <c r="M322" i="11" s="1"/>
  <c r="F55" i="11"/>
  <c r="F322" i="11" s="1"/>
  <c r="L54" i="11"/>
  <c r="M303" i="11" s="1"/>
  <c r="F54" i="11"/>
  <c r="F303" i="11" s="1"/>
  <c r="L53" i="11"/>
  <c r="M284" i="11" s="1"/>
  <c r="F53" i="11"/>
  <c r="F284" i="11" s="1"/>
  <c r="L52" i="11"/>
  <c r="M265" i="11" s="1"/>
  <c r="F52" i="11"/>
  <c r="L51" i="11"/>
  <c r="M246" i="11" s="1"/>
  <c r="F51" i="11"/>
  <c r="F246" i="11" s="1"/>
  <c r="L50" i="11"/>
  <c r="F50" i="11"/>
  <c r="F227" i="11" s="1"/>
  <c r="L49" i="11"/>
  <c r="M208" i="11" s="1"/>
  <c r="F49" i="11"/>
  <c r="F208" i="11" s="1"/>
  <c r="K48" i="11"/>
  <c r="J48" i="11"/>
  <c r="H46" i="11"/>
  <c r="L44" i="11"/>
  <c r="M321" i="11" s="1"/>
  <c r="F44" i="11"/>
  <c r="F321" i="11" s="1"/>
  <c r="L43" i="11"/>
  <c r="M302" i="11" s="1"/>
  <c r="F43" i="11"/>
  <c r="F302" i="11" s="1"/>
  <c r="L42" i="11"/>
  <c r="M283" i="11" s="1"/>
  <c r="F42" i="11"/>
  <c r="F283" i="11" s="1"/>
  <c r="L41" i="11"/>
  <c r="M264" i="11" s="1"/>
  <c r="F41" i="11"/>
  <c r="F264" i="11" s="1"/>
  <c r="L40" i="11"/>
  <c r="M245" i="11" s="1"/>
  <c r="F40" i="11"/>
  <c r="F245" i="11" s="1"/>
  <c r="L39" i="11"/>
  <c r="M226" i="11" s="1"/>
  <c r="F39" i="11"/>
  <c r="F226" i="11" s="1"/>
  <c r="L38" i="11"/>
  <c r="M207" i="11" s="1"/>
  <c r="F38" i="11"/>
  <c r="F207" i="11" s="1"/>
  <c r="K37" i="11"/>
  <c r="J37" i="11"/>
  <c r="H35" i="11"/>
  <c r="L33" i="11"/>
  <c r="M320" i="11" s="1"/>
  <c r="F33" i="11"/>
  <c r="F320" i="11" s="1"/>
  <c r="L32" i="11"/>
  <c r="M301" i="11" s="1"/>
  <c r="F32" i="11"/>
  <c r="F301" i="11" s="1"/>
  <c r="L31" i="11"/>
  <c r="M282" i="11" s="1"/>
  <c r="F31" i="11"/>
  <c r="L30" i="11"/>
  <c r="M263" i="11" s="1"/>
  <c r="F30" i="11"/>
  <c r="F263" i="11" s="1"/>
  <c r="L29" i="11"/>
  <c r="M244" i="11" s="1"/>
  <c r="F29" i="11"/>
  <c r="F244" i="11" s="1"/>
  <c r="L28" i="11"/>
  <c r="M225" i="11" s="1"/>
  <c r="F28" i="11"/>
  <c r="F225" i="11" s="1"/>
  <c r="L27" i="11"/>
  <c r="M206" i="11" s="1"/>
  <c r="F27" i="11"/>
  <c r="F206" i="11" s="1"/>
  <c r="K26" i="11"/>
  <c r="J26" i="11"/>
  <c r="H24" i="11"/>
  <c r="L22" i="11"/>
  <c r="M319" i="11" s="1"/>
  <c r="F22" i="11"/>
  <c r="F319" i="11" s="1"/>
  <c r="L21" i="11"/>
  <c r="M300" i="11" s="1"/>
  <c r="F21" i="11"/>
  <c r="F300" i="11" s="1"/>
  <c r="L20" i="11"/>
  <c r="M281" i="11" s="1"/>
  <c r="F20" i="11"/>
  <c r="F281" i="11" s="1"/>
  <c r="L19" i="11"/>
  <c r="M262" i="11" s="1"/>
  <c r="F19" i="11"/>
  <c r="F262" i="11" s="1"/>
  <c r="L18" i="11"/>
  <c r="M243" i="11" s="1"/>
  <c r="F18" i="11"/>
  <c r="F243" i="11" s="1"/>
  <c r="L17" i="11"/>
  <c r="M224" i="11" s="1"/>
  <c r="F17" i="11"/>
  <c r="F224" i="11" s="1"/>
  <c r="L16" i="11"/>
  <c r="M205" i="11" s="1"/>
  <c r="F16" i="11"/>
  <c r="F205" i="11" s="1"/>
  <c r="K15" i="11"/>
  <c r="J15" i="11"/>
  <c r="H13" i="11"/>
  <c r="L11" i="11"/>
  <c r="M318" i="11" s="1"/>
  <c r="F11" i="11"/>
  <c r="F318" i="11" s="1"/>
  <c r="L10" i="11"/>
  <c r="M299" i="11" s="1"/>
  <c r="F10" i="11"/>
  <c r="F299" i="11" s="1"/>
  <c r="L9" i="11"/>
  <c r="F9" i="11"/>
  <c r="F280" i="11" s="1"/>
  <c r="L8" i="11"/>
  <c r="M261" i="11" s="1"/>
  <c r="F8" i="11"/>
  <c r="F261" i="11" s="1"/>
  <c r="L7" i="11"/>
  <c r="M242" i="11" s="1"/>
  <c r="F7" i="11"/>
  <c r="F242" i="11" s="1"/>
  <c r="L6" i="11"/>
  <c r="F6" i="11"/>
  <c r="F223" i="11" s="1"/>
  <c r="L5" i="11"/>
  <c r="F5" i="11"/>
  <c r="F204" i="11" s="1"/>
  <c r="K4" i="11"/>
  <c r="J4" i="11"/>
  <c r="H2" i="11"/>
  <c r="C344" i="11" l="1"/>
  <c r="O341" i="11"/>
  <c r="J42" i="2"/>
  <c r="A345" i="11"/>
  <c r="C340" i="11"/>
  <c r="A343" i="11"/>
  <c r="D340" i="11"/>
  <c r="B345" i="11"/>
  <c r="A341" i="11"/>
  <c r="D343" i="11"/>
  <c r="C341" i="11"/>
  <c r="D341" i="11"/>
  <c r="B344" i="11"/>
  <c r="B346" i="11"/>
  <c r="N357" i="11"/>
  <c r="F14" i="7" s="1"/>
  <c r="B343" i="11"/>
  <c r="C343" i="11"/>
  <c r="A340" i="11"/>
  <c r="O342" i="11"/>
  <c r="N358" i="11" s="1"/>
  <c r="F15" i="7" s="1"/>
  <c r="D342" i="11"/>
  <c r="B342" i="11"/>
  <c r="D346" i="11"/>
  <c r="C346" i="11"/>
  <c r="D345" i="11"/>
  <c r="C342" i="11"/>
  <c r="A342" i="11"/>
  <c r="F337" i="11"/>
  <c r="C345" i="11"/>
  <c r="B341" i="11"/>
  <c r="K337" i="11"/>
  <c r="A344" i="11"/>
  <c r="A346" i="11"/>
  <c r="M223" i="11"/>
  <c r="M227" i="11"/>
  <c r="B340" i="11"/>
  <c r="D344" i="11"/>
  <c r="M280" i="11"/>
  <c r="B337" i="11"/>
  <c r="D44" i="4" l="1"/>
  <c r="D210" i="10"/>
  <c r="L202" i="10" s="1"/>
  <c r="E350" i="11"/>
  <c r="M341" i="11" s="1"/>
  <c r="E14" i="7" s="1"/>
  <c r="H346" i="11"/>
  <c r="I345" i="11"/>
  <c r="I344" i="11"/>
  <c r="I343" i="11"/>
  <c r="I341" i="11"/>
  <c r="I340" i="11"/>
  <c r="F346" i="11"/>
  <c r="G345" i="11"/>
  <c r="G344" i="11"/>
  <c r="G343" i="11"/>
  <c r="G341" i="11"/>
  <c r="G340" i="11"/>
  <c r="F345" i="11"/>
  <c r="F343" i="11"/>
  <c r="G346" i="11"/>
  <c r="H345" i="11"/>
  <c r="H344" i="11"/>
  <c r="H343" i="11"/>
  <c r="H341" i="11"/>
  <c r="H340" i="11"/>
  <c r="F344" i="11"/>
  <c r="F341" i="11"/>
  <c r="F340" i="11"/>
  <c r="F342" i="11"/>
  <c r="I346" i="11"/>
  <c r="H342" i="11"/>
  <c r="I342" i="11"/>
  <c r="G342" i="11"/>
  <c r="C339" i="11"/>
  <c r="H339" i="11" s="1"/>
  <c r="B339" i="11"/>
  <c r="G339" i="11" s="1"/>
  <c r="G337" i="11"/>
  <c r="L337" i="11" s="1"/>
  <c r="M357" i="11" l="1"/>
  <c r="L345" i="11"/>
  <c r="M364" i="11" l="1"/>
  <c r="E14" i="4" s="1"/>
  <c r="H214" i="10"/>
  <c r="G214" i="10"/>
  <c r="H213" i="10"/>
  <c r="G213" i="10"/>
  <c r="H212" i="10"/>
  <c r="G212" i="10"/>
  <c r="H211" i="10"/>
  <c r="G211" i="10"/>
  <c r="H210" i="10"/>
  <c r="G210" i="10"/>
  <c r="W173" i="10"/>
  <c r="V173" i="10"/>
  <c r="U173" i="10"/>
  <c r="L173" i="10"/>
  <c r="W172" i="10"/>
  <c r="V172" i="10"/>
  <c r="U172" i="10"/>
  <c r="L172" i="10"/>
  <c r="L171" i="10"/>
  <c r="W170" i="10"/>
  <c r="V170" i="10"/>
  <c r="U170" i="10"/>
  <c r="L170" i="10"/>
  <c r="W169" i="10"/>
  <c r="V169" i="10"/>
  <c r="U169" i="10"/>
  <c r="L169" i="10"/>
  <c r="W168" i="10"/>
  <c r="V168" i="10"/>
  <c r="U168" i="10"/>
  <c r="L168" i="10"/>
  <c r="W167" i="10"/>
  <c r="V167" i="10"/>
  <c r="U167" i="10"/>
  <c r="L167" i="10"/>
  <c r="W166" i="10"/>
  <c r="V166" i="10"/>
  <c r="U166" i="10"/>
  <c r="L166" i="10"/>
  <c r="W165" i="10"/>
  <c r="V165" i="10"/>
  <c r="U165" i="10"/>
  <c r="L165" i="10"/>
  <c r="W164" i="10"/>
  <c r="V164" i="10"/>
  <c r="U164" i="10"/>
  <c r="L164" i="10"/>
  <c r="W163" i="10"/>
  <c r="V163" i="10"/>
  <c r="U163" i="10"/>
  <c r="L163" i="10"/>
  <c r="W162" i="10"/>
  <c r="V162" i="10"/>
  <c r="U162" i="10"/>
  <c r="L162" i="10"/>
  <c r="L161" i="10"/>
  <c r="W143" i="10"/>
  <c r="O143" i="10"/>
  <c r="G143" i="10"/>
  <c r="W142" i="10"/>
  <c r="O142" i="10"/>
  <c r="G142" i="10"/>
  <c r="W141" i="10"/>
  <c r="O141" i="10"/>
  <c r="G141" i="10"/>
  <c r="W140" i="10"/>
  <c r="O140" i="10"/>
  <c r="G140" i="10"/>
  <c r="W139" i="10"/>
  <c r="O139" i="10"/>
  <c r="G139" i="10"/>
  <c r="W138" i="10"/>
  <c r="P138" i="10"/>
  <c r="O138" i="10"/>
  <c r="G138" i="10"/>
  <c r="W137" i="10"/>
  <c r="O137" i="10"/>
  <c r="G137" i="10"/>
  <c r="W136" i="10"/>
  <c r="O136" i="10"/>
  <c r="G136" i="10"/>
  <c r="Y135" i="10"/>
  <c r="W135" i="10"/>
  <c r="Q135" i="10"/>
  <c r="O135" i="10"/>
  <c r="I135" i="10"/>
  <c r="H135" i="10"/>
  <c r="G135" i="10"/>
  <c r="W131" i="10"/>
  <c r="O131" i="10"/>
  <c r="G131" i="10"/>
  <c r="W130" i="10"/>
  <c r="O130" i="10"/>
  <c r="G130" i="10"/>
  <c r="W129" i="10"/>
  <c r="O129" i="10"/>
  <c r="G129" i="10"/>
  <c r="W128" i="10"/>
  <c r="O128" i="10"/>
  <c r="G128" i="10"/>
  <c r="W127" i="10"/>
  <c r="O127" i="10"/>
  <c r="G127" i="10"/>
  <c r="W126" i="10"/>
  <c r="O126" i="10"/>
  <c r="G126" i="10"/>
  <c r="Y125" i="10"/>
  <c r="W125" i="10"/>
  <c r="Q125" i="10"/>
  <c r="O125" i="10"/>
  <c r="I125" i="10"/>
  <c r="G125" i="10"/>
  <c r="V124" i="10"/>
  <c r="V134" i="10" s="1"/>
  <c r="U124" i="10"/>
  <c r="U134" i="10" s="1"/>
  <c r="T124" i="10"/>
  <c r="T134" i="10" s="1"/>
  <c r="N124" i="10"/>
  <c r="N134" i="10" s="1"/>
  <c r="M124" i="10"/>
  <c r="M134" i="10" s="1"/>
  <c r="L124" i="10"/>
  <c r="L134" i="10" s="1"/>
  <c r="F124" i="10"/>
  <c r="W171" i="10" s="1"/>
  <c r="E124" i="10"/>
  <c r="V171" i="10" s="1"/>
  <c r="D124" i="10"/>
  <c r="D134" i="10" s="1"/>
  <c r="W121" i="10"/>
  <c r="O121" i="10"/>
  <c r="G121" i="10"/>
  <c r="W120" i="10"/>
  <c r="O120" i="10"/>
  <c r="G120" i="10"/>
  <c r="W119" i="10"/>
  <c r="O119" i="10"/>
  <c r="G119" i="10"/>
  <c r="W118" i="10"/>
  <c r="O118" i="10"/>
  <c r="G118" i="10"/>
  <c r="W117" i="10"/>
  <c r="O117" i="10"/>
  <c r="G117" i="10"/>
  <c r="W116" i="10"/>
  <c r="O116" i="10"/>
  <c r="G116" i="10"/>
  <c r="W115" i="10"/>
  <c r="O115" i="10"/>
  <c r="G115" i="10"/>
  <c r="W114" i="10"/>
  <c r="O114" i="10"/>
  <c r="I114" i="10"/>
  <c r="Q114" i="10" s="1"/>
  <c r="Y114" i="10" s="1"/>
  <c r="G114" i="10"/>
  <c r="W107" i="10"/>
  <c r="O107" i="10"/>
  <c r="G107" i="10"/>
  <c r="W106" i="10"/>
  <c r="O106" i="10"/>
  <c r="G106" i="10"/>
  <c r="W105" i="10"/>
  <c r="O105" i="10"/>
  <c r="G105" i="10"/>
  <c r="W104" i="10"/>
  <c r="O104" i="10"/>
  <c r="G104" i="10"/>
  <c r="W103" i="10"/>
  <c r="O103" i="10"/>
  <c r="G103" i="10"/>
  <c r="W102" i="10"/>
  <c r="O102" i="10"/>
  <c r="G102" i="10"/>
  <c r="W101" i="10"/>
  <c r="O101" i="10"/>
  <c r="G101" i="10"/>
  <c r="W100" i="10"/>
  <c r="O100" i="10"/>
  <c r="G100" i="10"/>
  <c r="Y99" i="10"/>
  <c r="W99" i="10"/>
  <c r="Q99" i="10"/>
  <c r="O99" i="10"/>
  <c r="I99" i="10"/>
  <c r="G99" i="10"/>
  <c r="V95" i="10"/>
  <c r="W95" i="10" s="1"/>
  <c r="N95" i="10"/>
  <c r="O95" i="10" s="1"/>
  <c r="G95" i="10"/>
  <c r="V94" i="10"/>
  <c r="W94" i="10" s="1"/>
  <c r="O94" i="10"/>
  <c r="G94" i="10"/>
  <c r="W93" i="10"/>
  <c r="O93" i="10"/>
  <c r="G93" i="10"/>
  <c r="W92" i="10"/>
  <c r="O92" i="10"/>
  <c r="G92" i="10"/>
  <c r="W91" i="10"/>
  <c r="O91" i="10"/>
  <c r="G91" i="10"/>
  <c r="W90" i="10"/>
  <c r="O90" i="10"/>
  <c r="G90" i="10"/>
  <c r="Y89" i="10"/>
  <c r="W89" i="10"/>
  <c r="Q89" i="10"/>
  <c r="O89" i="10"/>
  <c r="I89" i="10"/>
  <c r="G89" i="10"/>
  <c r="V88" i="10"/>
  <c r="V98" i="10" s="1"/>
  <c r="U88" i="10"/>
  <c r="U98" i="10" s="1"/>
  <c r="T88" i="10"/>
  <c r="T98" i="10" s="1"/>
  <c r="N88" i="10"/>
  <c r="N98" i="10" s="1"/>
  <c r="M88" i="10"/>
  <c r="M98" i="10" s="1"/>
  <c r="L88" i="10"/>
  <c r="L98" i="10" s="1"/>
  <c r="F88" i="10"/>
  <c r="F98" i="10" s="1"/>
  <c r="E88" i="10"/>
  <c r="E98" i="10" s="1"/>
  <c r="D88" i="10"/>
  <c r="D98" i="10" s="1"/>
  <c r="W85" i="10"/>
  <c r="O85" i="10"/>
  <c r="G85" i="10"/>
  <c r="W84" i="10"/>
  <c r="O84" i="10"/>
  <c r="G84" i="10"/>
  <c r="W83" i="10"/>
  <c r="O83" i="10"/>
  <c r="G83" i="10"/>
  <c r="W82" i="10"/>
  <c r="O82" i="10"/>
  <c r="G82" i="10"/>
  <c r="W81" i="10"/>
  <c r="O81" i="10"/>
  <c r="G81" i="10"/>
  <c r="W80" i="10"/>
  <c r="O80" i="10"/>
  <c r="G80" i="10"/>
  <c r="W79" i="10"/>
  <c r="O79" i="10"/>
  <c r="G79" i="10"/>
  <c r="W78" i="10"/>
  <c r="O78" i="10"/>
  <c r="I78" i="10"/>
  <c r="Q78" i="10" s="1"/>
  <c r="Y78" i="10" s="1"/>
  <c r="G78" i="10"/>
  <c r="W71" i="10"/>
  <c r="O71" i="10"/>
  <c r="G71" i="10"/>
  <c r="W70" i="10"/>
  <c r="O70" i="10"/>
  <c r="G70" i="10"/>
  <c r="W69" i="10"/>
  <c r="O69" i="10"/>
  <c r="G69" i="10"/>
  <c r="W68" i="10"/>
  <c r="O68" i="10"/>
  <c r="G68" i="10"/>
  <c r="W67" i="10"/>
  <c r="O67" i="10"/>
  <c r="G67" i="10"/>
  <c r="W66" i="10"/>
  <c r="O66" i="10"/>
  <c r="G66" i="10"/>
  <c r="W65" i="10"/>
  <c r="O65" i="10"/>
  <c r="G65" i="10"/>
  <c r="W64" i="10"/>
  <c r="O64" i="10"/>
  <c r="G64" i="10"/>
  <c r="Y63" i="10"/>
  <c r="W63" i="10"/>
  <c r="Q63" i="10"/>
  <c r="O63" i="10"/>
  <c r="I63" i="10"/>
  <c r="G63" i="10"/>
  <c r="N62" i="10"/>
  <c r="W59" i="10"/>
  <c r="O59" i="10"/>
  <c r="G59" i="10"/>
  <c r="W58" i="10"/>
  <c r="O58" i="10"/>
  <c r="G58" i="10"/>
  <c r="W57" i="10"/>
  <c r="O57" i="10"/>
  <c r="G57" i="10"/>
  <c r="W56" i="10"/>
  <c r="O56" i="10"/>
  <c r="G56" i="10"/>
  <c r="W55" i="10"/>
  <c r="O55" i="10"/>
  <c r="G55" i="10"/>
  <c r="W54" i="10"/>
  <c r="O54" i="10"/>
  <c r="G54" i="10"/>
  <c r="Y53" i="10"/>
  <c r="W53" i="10"/>
  <c r="Q53" i="10"/>
  <c r="O53" i="10"/>
  <c r="I53" i="10"/>
  <c r="G53" i="10"/>
  <c r="V52" i="10"/>
  <c r="V62" i="10" s="1"/>
  <c r="U52" i="10"/>
  <c r="U62" i="10" s="1"/>
  <c r="T52" i="10"/>
  <c r="T62" i="10" s="1"/>
  <c r="N52" i="10"/>
  <c r="M52" i="10"/>
  <c r="M62" i="10" s="1"/>
  <c r="L52" i="10"/>
  <c r="L62" i="10" s="1"/>
  <c r="F52" i="10"/>
  <c r="F62" i="10" s="1"/>
  <c r="E52" i="10"/>
  <c r="E62" i="10" s="1"/>
  <c r="D52" i="10"/>
  <c r="D62" i="10" s="1"/>
  <c r="W49" i="10"/>
  <c r="O49" i="10"/>
  <c r="G49" i="10"/>
  <c r="W48" i="10"/>
  <c r="O48" i="10"/>
  <c r="G48" i="10"/>
  <c r="W47" i="10"/>
  <c r="O47" i="10"/>
  <c r="G47" i="10"/>
  <c r="W46" i="10"/>
  <c r="O46" i="10"/>
  <c r="G46" i="10"/>
  <c r="W45" i="10"/>
  <c r="O45" i="10"/>
  <c r="G45" i="10"/>
  <c r="W44" i="10"/>
  <c r="O44" i="10"/>
  <c r="G44" i="10"/>
  <c r="W43" i="10"/>
  <c r="O43" i="10"/>
  <c r="G43" i="10"/>
  <c r="W42" i="10"/>
  <c r="O42" i="10"/>
  <c r="G42" i="10"/>
  <c r="W35" i="10"/>
  <c r="O35" i="10"/>
  <c r="G35" i="10"/>
  <c r="W34" i="10"/>
  <c r="O34" i="10"/>
  <c r="G34" i="10"/>
  <c r="W33" i="10"/>
  <c r="O33" i="10"/>
  <c r="G33" i="10"/>
  <c r="X32" i="10"/>
  <c r="W32" i="10"/>
  <c r="O32" i="10"/>
  <c r="G32" i="10"/>
  <c r="W31" i="10"/>
  <c r="O31" i="10"/>
  <c r="G31" i="10"/>
  <c r="W30" i="10"/>
  <c r="O30" i="10"/>
  <c r="G30" i="10"/>
  <c r="W29" i="10"/>
  <c r="O29" i="10"/>
  <c r="G29" i="10"/>
  <c r="W28" i="10"/>
  <c r="O28" i="10"/>
  <c r="G28" i="10"/>
  <c r="Y27" i="10"/>
  <c r="P143" i="10" s="1"/>
  <c r="W27" i="10"/>
  <c r="O27" i="10"/>
  <c r="G27" i="10"/>
  <c r="W23" i="10"/>
  <c r="O23" i="10"/>
  <c r="G23" i="10"/>
  <c r="W22" i="10"/>
  <c r="O22" i="10"/>
  <c r="G22" i="10"/>
  <c r="W21" i="10"/>
  <c r="O21" i="10"/>
  <c r="G21" i="10"/>
  <c r="W20" i="10"/>
  <c r="O20" i="10"/>
  <c r="G20" i="10"/>
  <c r="W19" i="10"/>
  <c r="O19" i="10"/>
  <c r="G19" i="10"/>
  <c r="W18" i="10"/>
  <c r="O18" i="10"/>
  <c r="G18" i="10"/>
  <c r="Y17" i="10"/>
  <c r="X131" i="10" s="1"/>
  <c r="W17" i="10"/>
  <c r="O17" i="10"/>
  <c r="G17" i="10"/>
  <c r="V16" i="10"/>
  <c r="V26" i="10" s="1"/>
  <c r="U16" i="10"/>
  <c r="U26" i="10" s="1"/>
  <c r="T16" i="10"/>
  <c r="T26" i="10" s="1"/>
  <c r="N16" i="10"/>
  <c r="N26" i="10" s="1"/>
  <c r="M16" i="10"/>
  <c r="M26" i="10" s="1"/>
  <c r="L16" i="10"/>
  <c r="L26" i="10" s="1"/>
  <c r="F16" i="10"/>
  <c r="F26" i="10" s="1"/>
  <c r="E16" i="10"/>
  <c r="E26" i="10" s="1"/>
  <c r="D16" i="10"/>
  <c r="D26" i="10" s="1"/>
  <c r="W13" i="10"/>
  <c r="O13" i="10"/>
  <c r="G13" i="10"/>
  <c r="W12" i="10"/>
  <c r="O12" i="10"/>
  <c r="G12" i="10"/>
  <c r="W11" i="10"/>
  <c r="O11" i="10"/>
  <c r="G11" i="10"/>
  <c r="W10" i="10"/>
  <c r="O10" i="10"/>
  <c r="G10" i="10"/>
  <c r="W9" i="10"/>
  <c r="O9" i="10"/>
  <c r="G9" i="10"/>
  <c r="W8" i="10"/>
  <c r="O8" i="10"/>
  <c r="G8" i="10"/>
  <c r="W7" i="10"/>
  <c r="O7" i="10"/>
  <c r="G7" i="10"/>
  <c r="Y6" i="10"/>
  <c r="X12" i="10" s="1"/>
  <c r="W6" i="10"/>
  <c r="O6" i="10"/>
  <c r="G6" i="10"/>
  <c r="X30" i="10" l="1"/>
  <c r="H56" i="10"/>
  <c r="H64" i="10"/>
  <c r="X67" i="10"/>
  <c r="P69" i="10"/>
  <c r="P100" i="10"/>
  <c r="H104" i="10"/>
  <c r="X105" i="10"/>
  <c r="X6" i="10"/>
  <c r="X28" i="10"/>
  <c r="H63" i="10"/>
  <c r="P99" i="10"/>
  <c r="X130" i="10"/>
  <c r="X142" i="10"/>
  <c r="X58" i="10"/>
  <c r="P66" i="10"/>
  <c r="H68" i="10"/>
  <c r="X71" i="10"/>
  <c r="X102" i="10"/>
  <c r="P104" i="10"/>
  <c r="H141" i="10"/>
  <c r="X54" i="10"/>
  <c r="H95" i="10"/>
  <c r="P137" i="10"/>
  <c r="X17" i="10"/>
  <c r="X27" i="10"/>
  <c r="H65" i="10"/>
  <c r="X66" i="10"/>
  <c r="P70" i="10"/>
  <c r="P101" i="10"/>
  <c r="H103" i="10"/>
  <c r="X106" i="10"/>
  <c r="X139" i="10"/>
  <c r="P141" i="10"/>
  <c r="P57" i="10"/>
  <c r="H127" i="10"/>
  <c r="X143" i="10"/>
  <c r="P65" i="10"/>
  <c r="H69" i="10"/>
  <c r="X70" i="10"/>
  <c r="H100" i="10"/>
  <c r="X101" i="10"/>
  <c r="P105" i="10"/>
  <c r="H107" i="10"/>
  <c r="H136" i="10"/>
  <c r="H140" i="10"/>
  <c r="P90" i="10"/>
  <c r="H55" i="10"/>
  <c r="H168" i="10" s="1"/>
  <c r="X57" i="10"/>
  <c r="H131" i="10"/>
  <c r="X13" i="10"/>
  <c r="X22" i="10"/>
  <c r="P95" i="10"/>
  <c r="X11" i="10"/>
  <c r="I42" i="10"/>
  <c r="P55" i="10"/>
  <c r="P59" i="10"/>
  <c r="H125" i="10"/>
  <c r="X129" i="10"/>
  <c r="X9" i="10"/>
  <c r="X18" i="10"/>
  <c r="P64" i="10"/>
  <c r="X65" i="10"/>
  <c r="H67" i="10"/>
  <c r="H180" i="10" s="1"/>
  <c r="P68" i="10"/>
  <c r="X69" i="10"/>
  <c r="H71" i="10"/>
  <c r="X89" i="10"/>
  <c r="H93" i="10"/>
  <c r="X100" i="10"/>
  <c r="H102" i="10"/>
  <c r="P103" i="10"/>
  <c r="X104" i="10"/>
  <c r="H106" i="10"/>
  <c r="P107" i="10"/>
  <c r="E134" i="10"/>
  <c r="F184" i="10"/>
  <c r="X53" i="10"/>
  <c r="P129" i="10"/>
  <c r="X20" i="10"/>
  <c r="H54" i="10"/>
  <c r="H167" i="10" s="1"/>
  <c r="H58" i="10"/>
  <c r="X7" i="10"/>
  <c r="P53" i="10"/>
  <c r="P54" i="10"/>
  <c r="X55" i="10"/>
  <c r="H57" i="10"/>
  <c r="P58" i="10"/>
  <c r="X59" i="10"/>
  <c r="P63" i="10"/>
  <c r="X94" i="10"/>
  <c r="X95" i="10"/>
  <c r="X126" i="10"/>
  <c r="P128" i="10"/>
  <c r="F134" i="10"/>
  <c r="H137" i="10"/>
  <c r="X138" i="10"/>
  <c r="P142" i="10"/>
  <c r="H92" i="10"/>
  <c r="X125" i="10"/>
  <c r="P56" i="10"/>
  <c r="H59" i="10"/>
  <c r="H172" i="10" s="1"/>
  <c r="P89" i="10"/>
  <c r="H53" i="10"/>
  <c r="H166" i="10" s="1"/>
  <c r="X90" i="10"/>
  <c r="P94" i="10"/>
  <c r="X56" i="10"/>
  <c r="H128" i="10"/>
  <c r="X34" i="10"/>
  <c r="X64" i="10"/>
  <c r="H66" i="10"/>
  <c r="P67" i="10"/>
  <c r="X68" i="10"/>
  <c r="H70" i="10"/>
  <c r="P71" i="10"/>
  <c r="H89" i="10"/>
  <c r="X91" i="10"/>
  <c r="P93" i="10"/>
  <c r="H101" i="10"/>
  <c r="P102" i="10"/>
  <c r="X103" i="10"/>
  <c r="H105" i="10"/>
  <c r="P106" i="10"/>
  <c r="X107" i="10"/>
  <c r="X135" i="10"/>
  <c r="F176" i="10"/>
  <c r="C181" i="10"/>
  <c r="E157" i="10"/>
  <c r="C163" i="10"/>
  <c r="E182" i="10"/>
  <c r="H184" i="10"/>
  <c r="E161" i="10"/>
  <c r="C167" i="10"/>
  <c r="D157" i="10"/>
  <c r="F161" i="10"/>
  <c r="C166" i="10"/>
  <c r="D167" i="10"/>
  <c r="B151" i="10"/>
  <c r="C151" i="10"/>
  <c r="F157" i="10"/>
  <c r="C165" i="10"/>
  <c r="G176" i="10"/>
  <c r="F159" i="10"/>
  <c r="G155" i="10"/>
  <c r="G182" i="10"/>
  <c r="C168" i="10"/>
  <c r="G169" i="10"/>
  <c r="F170" i="10"/>
  <c r="G180" i="10"/>
  <c r="F183" i="10"/>
  <c r="D166" i="10"/>
  <c r="F182" i="10"/>
  <c r="D153" i="10"/>
  <c r="E158" i="10"/>
  <c r="C162" i="10"/>
  <c r="D165" i="10"/>
  <c r="E166" i="10"/>
  <c r="C171" i="10"/>
  <c r="E178" i="10"/>
  <c r="F154" i="10"/>
  <c r="E165" i="10"/>
  <c r="D170" i="10"/>
  <c r="D171" i="10"/>
  <c r="F178" i="10"/>
  <c r="D183" i="10"/>
  <c r="F155" i="10"/>
  <c r="G159" i="10"/>
  <c r="C164" i="10"/>
  <c r="F169" i="10"/>
  <c r="E170" i="10"/>
  <c r="E171" i="10"/>
  <c r="D179" i="10"/>
  <c r="E183" i="10"/>
  <c r="H176" i="10"/>
  <c r="C156" i="10"/>
  <c r="D160" i="10"/>
  <c r="G168" i="10"/>
  <c r="H169" i="10"/>
  <c r="G172" i="10"/>
  <c r="G184" i="10"/>
  <c r="H44" i="10"/>
  <c r="H157" i="10" s="1"/>
  <c r="H80" i="10"/>
  <c r="H118" i="10"/>
  <c r="C152" i="10"/>
  <c r="H155" i="10"/>
  <c r="D158" i="10"/>
  <c r="C160" i="10"/>
  <c r="D164" i="10"/>
  <c r="F165" i="10"/>
  <c r="F166" i="10"/>
  <c r="E167" i="10"/>
  <c r="G170" i="10"/>
  <c r="C177" i="10"/>
  <c r="E179" i="10"/>
  <c r="D181" i="10"/>
  <c r="F160" i="10"/>
  <c r="D159" i="10"/>
  <c r="F156" i="10"/>
  <c r="D155" i="10"/>
  <c r="H152" i="10"/>
  <c r="G166" i="10"/>
  <c r="U171" i="10"/>
  <c r="C175" i="10"/>
  <c r="D177" i="10"/>
  <c r="F179" i="10"/>
  <c r="H181" i="10"/>
  <c r="H182" i="10"/>
  <c r="H43" i="10"/>
  <c r="H47" i="10"/>
  <c r="H160" i="10" s="1"/>
  <c r="H84" i="10"/>
  <c r="C154" i="10"/>
  <c r="D156" i="10"/>
  <c r="F158" i="10"/>
  <c r="D162" i="10"/>
  <c r="G163" i="10"/>
  <c r="D175" i="10"/>
  <c r="H177" i="10"/>
  <c r="G179" i="10"/>
  <c r="H120" i="10"/>
  <c r="H116" i="10"/>
  <c r="H85" i="10"/>
  <c r="H81" i="10"/>
  <c r="H42" i="10"/>
  <c r="H48" i="10"/>
  <c r="H161" i="10" s="1"/>
  <c r="H121" i="10"/>
  <c r="H117" i="10"/>
  <c r="H82" i="10"/>
  <c r="H114" i="10"/>
  <c r="D154" i="10"/>
  <c r="H156" i="10"/>
  <c r="G158" i="10"/>
  <c r="C161" i="10"/>
  <c r="E162" i="10"/>
  <c r="G160" i="10"/>
  <c r="H173" i="10"/>
  <c r="E175" i="10"/>
  <c r="C178" i="10"/>
  <c r="H179" i="10"/>
  <c r="H79" i="10"/>
  <c r="H119" i="10"/>
  <c r="E154" i="10"/>
  <c r="C157" i="10"/>
  <c r="D161" i="10"/>
  <c r="F162" i="10"/>
  <c r="E169" i="10"/>
  <c r="C170" i="10"/>
  <c r="C172" i="10"/>
  <c r="F175" i="10"/>
  <c r="D178" i="10"/>
  <c r="F180" i="10"/>
  <c r="C183" i="10"/>
  <c r="C184" i="10"/>
  <c r="X8" i="10"/>
  <c r="X10" i="10"/>
  <c r="X29" i="10"/>
  <c r="X31" i="10"/>
  <c r="X33" i="10"/>
  <c r="X35" i="10"/>
  <c r="H91" i="10"/>
  <c r="P92" i="10"/>
  <c r="X93" i="10"/>
  <c r="X99" i="10"/>
  <c r="H126" i="10"/>
  <c r="P127" i="10"/>
  <c r="X128" i="10"/>
  <c r="H130" i="10"/>
  <c r="P131" i="10"/>
  <c r="P135" i="10"/>
  <c r="P136" i="10"/>
  <c r="X137" i="10"/>
  <c r="H139" i="10"/>
  <c r="P140" i="10"/>
  <c r="X141" i="10"/>
  <c r="H143" i="10"/>
  <c r="G152" i="10"/>
  <c r="C155" i="10"/>
  <c r="E156" i="10"/>
  <c r="G157" i="10"/>
  <c r="C159" i="10"/>
  <c r="E160" i="10"/>
  <c r="G161" i="10"/>
  <c r="G162" i="10"/>
  <c r="H163" i="10"/>
  <c r="F167" i="10"/>
  <c r="D168" i="10"/>
  <c r="H170" i="10"/>
  <c r="F171" i="10"/>
  <c r="D172" i="10"/>
  <c r="C174" i="10"/>
  <c r="C176" i="10"/>
  <c r="E177" i="10"/>
  <c r="G178" i="10"/>
  <c r="C180" i="10"/>
  <c r="E181" i="10"/>
  <c r="G183" i="10"/>
  <c r="D184" i="10"/>
  <c r="G167" i="10"/>
  <c r="E168" i="10"/>
  <c r="C169" i="10"/>
  <c r="G171" i="10"/>
  <c r="E172" i="10"/>
  <c r="C173" i="10"/>
  <c r="D174" i="10"/>
  <c r="D176" i="10"/>
  <c r="F177" i="10"/>
  <c r="H178" i="10"/>
  <c r="D180" i="10"/>
  <c r="F181" i="10"/>
  <c r="C182" i="10"/>
  <c r="H183" i="10"/>
  <c r="E184" i="10"/>
  <c r="X19" i="10"/>
  <c r="X21" i="10"/>
  <c r="X23" i="10"/>
  <c r="X63" i="10"/>
  <c r="H90" i="10"/>
  <c r="P91" i="10"/>
  <c r="X92" i="10"/>
  <c r="H94" i="10"/>
  <c r="H99" i="10"/>
  <c r="P125" i="10"/>
  <c r="P126" i="10"/>
  <c r="X127" i="10"/>
  <c r="H129" i="10"/>
  <c r="P130" i="10"/>
  <c r="X136" i="10"/>
  <c r="H138" i="10"/>
  <c r="P139" i="10"/>
  <c r="X140" i="10"/>
  <c r="H142" i="10"/>
  <c r="C153" i="10"/>
  <c r="E155" i="10"/>
  <c r="G156" i="10"/>
  <c r="C158" i="10"/>
  <c r="E159" i="10"/>
  <c r="F168" i="10"/>
  <c r="D169" i="10"/>
  <c r="H171" i="10"/>
  <c r="F172" i="10"/>
  <c r="G173" i="10"/>
  <c r="L174" i="10"/>
  <c r="Y161" i="10" s="1"/>
  <c r="Y174" i="10" s="1"/>
  <c r="B57" i="2" s="1"/>
  <c r="E176" i="10"/>
  <c r="G177" i="10"/>
  <c r="C179" i="10"/>
  <c r="E180" i="10"/>
  <c r="G181" i="10"/>
  <c r="D182" i="10"/>
  <c r="H115" i="10" l="1"/>
  <c r="Q42" i="10"/>
  <c r="H83" i="10"/>
  <c r="H45" i="10"/>
  <c r="H158" i="10" s="1"/>
  <c r="H49" i="10"/>
  <c r="H162" i="10" s="1"/>
  <c r="H46" i="10"/>
  <c r="H159" i="10" s="1"/>
  <c r="H78" i="10"/>
  <c r="M202" i="10"/>
  <c r="E210" i="10" s="1"/>
  <c r="F210" i="10" s="1"/>
  <c r="P116" i="10" l="1"/>
  <c r="P42" i="10"/>
  <c r="P85" i="10"/>
  <c r="P82" i="10"/>
  <c r="P46" i="10"/>
  <c r="P47" i="10"/>
  <c r="P119" i="10"/>
  <c r="P79" i="10"/>
  <c r="P78" i="10"/>
  <c r="P80" i="10"/>
  <c r="P49" i="10"/>
  <c r="P120" i="10"/>
  <c r="P43" i="10"/>
  <c r="P81" i="10"/>
  <c r="P83" i="10"/>
  <c r="P114" i="10"/>
  <c r="P84" i="10"/>
  <c r="P44" i="10"/>
  <c r="P45" i="10"/>
  <c r="P121" i="10"/>
  <c r="P48" i="10"/>
  <c r="P118" i="10"/>
  <c r="Y42" i="10"/>
  <c r="P115" i="10"/>
  <c r="P117" i="10"/>
  <c r="N202" i="10"/>
  <c r="K42" i="2"/>
  <c r="L210" i="10"/>
  <c r="K210" i="10"/>
  <c r="I210" i="10"/>
  <c r="J210" i="10" s="1"/>
  <c r="X118" i="10" l="1"/>
  <c r="X42" i="10"/>
  <c r="X78" i="10"/>
  <c r="X46" i="10"/>
  <c r="X45" i="10"/>
  <c r="X83" i="10"/>
  <c r="X120" i="10"/>
  <c r="X117" i="10"/>
  <c r="X119" i="10"/>
  <c r="X48" i="10"/>
  <c r="X79" i="10"/>
  <c r="X82" i="10"/>
  <c r="X47" i="10"/>
  <c r="X114" i="10"/>
  <c r="X44" i="10"/>
  <c r="X121" i="10"/>
  <c r="X81" i="10"/>
  <c r="X115" i="10"/>
  <c r="X116" i="10"/>
  <c r="X49" i="10"/>
  <c r="X84" i="10"/>
  <c r="X85" i="10"/>
  <c r="X80" i="10"/>
  <c r="X43" i="10"/>
  <c r="P202" i="10"/>
  <c r="P10" i="3" s="1"/>
  <c r="O202" i="10"/>
  <c r="P11" i="3" s="1"/>
  <c r="M210" i="10" l="1"/>
  <c r="O248" i="9"/>
  <c r="B58" i="2" s="1"/>
  <c r="L247" i="9"/>
  <c r="K247" i="9"/>
  <c r="J247" i="9"/>
  <c r="L246" i="9"/>
  <c r="K246" i="9"/>
  <c r="J246" i="9"/>
  <c r="L245" i="9"/>
  <c r="K245" i="9"/>
  <c r="J245" i="9"/>
  <c r="L244" i="9"/>
  <c r="K244" i="9"/>
  <c r="J244" i="9"/>
  <c r="L243" i="9"/>
  <c r="K243" i="9"/>
  <c r="J243" i="9"/>
  <c r="L242" i="9"/>
  <c r="K242" i="9"/>
  <c r="J242" i="9"/>
  <c r="L241" i="9"/>
  <c r="K241" i="9"/>
  <c r="J241" i="9"/>
  <c r="L240" i="9"/>
  <c r="K240" i="9"/>
  <c r="J240" i="9"/>
  <c r="L239" i="9"/>
  <c r="K239" i="9"/>
  <c r="J239" i="9"/>
  <c r="L238" i="9"/>
  <c r="K238" i="9"/>
  <c r="J238" i="9"/>
  <c r="L237" i="9"/>
  <c r="K237" i="9"/>
  <c r="J237" i="9"/>
  <c r="L236" i="9"/>
  <c r="K236" i="9"/>
  <c r="J236" i="9"/>
  <c r="L235" i="9"/>
  <c r="K235" i="9"/>
  <c r="J235" i="9"/>
  <c r="L234" i="9"/>
  <c r="K234" i="9"/>
  <c r="J234" i="9"/>
  <c r="L233" i="9"/>
  <c r="K233" i="9"/>
  <c r="J233" i="9"/>
  <c r="L232" i="9"/>
  <c r="K232" i="9"/>
  <c r="J232" i="9"/>
  <c r="L231" i="9"/>
  <c r="K231" i="9"/>
  <c r="J231" i="9"/>
  <c r="A248" i="9"/>
  <c r="A205" i="9" s="1"/>
  <c r="K227" i="9"/>
  <c r="D90" i="3" s="1"/>
  <c r="E227" i="9"/>
  <c r="H202" i="9"/>
  <c r="F202" i="9"/>
  <c r="E202" i="9"/>
  <c r="D202" i="9"/>
  <c r="C202" i="9"/>
  <c r="H201" i="9"/>
  <c r="F201" i="9"/>
  <c r="E201" i="9"/>
  <c r="D201" i="9"/>
  <c r="C201" i="9"/>
  <c r="H200" i="9"/>
  <c r="F200" i="9"/>
  <c r="E200" i="9"/>
  <c r="D200" i="9"/>
  <c r="C200" i="9"/>
  <c r="H199" i="9"/>
  <c r="F199" i="9"/>
  <c r="E199" i="9"/>
  <c r="D199" i="9"/>
  <c r="C199" i="9"/>
  <c r="H198" i="9"/>
  <c r="F198" i="9"/>
  <c r="E198" i="9"/>
  <c r="D198" i="9"/>
  <c r="C198" i="9"/>
  <c r="H197" i="9"/>
  <c r="F197" i="9"/>
  <c r="E197" i="9"/>
  <c r="D197" i="9"/>
  <c r="C197" i="9"/>
  <c r="H196" i="9"/>
  <c r="F196" i="9"/>
  <c r="E196" i="9"/>
  <c r="D196" i="9"/>
  <c r="C196" i="9"/>
  <c r="H195" i="9"/>
  <c r="F195" i="9"/>
  <c r="E195" i="9"/>
  <c r="D195" i="9"/>
  <c r="C195" i="9"/>
  <c r="H194" i="9"/>
  <c r="F194" i="9"/>
  <c r="E194" i="9"/>
  <c r="D194" i="9"/>
  <c r="C194" i="9"/>
  <c r="H193" i="9"/>
  <c r="F193" i="9"/>
  <c r="E193" i="9"/>
  <c r="D193" i="9"/>
  <c r="C193" i="9"/>
  <c r="H192" i="9"/>
  <c r="F192" i="9"/>
  <c r="E192" i="9"/>
  <c r="D192" i="9"/>
  <c r="C192" i="9"/>
  <c r="H191" i="9"/>
  <c r="F191" i="9"/>
  <c r="E191" i="9"/>
  <c r="D191" i="9"/>
  <c r="C191" i="9"/>
  <c r="H190" i="9"/>
  <c r="F190" i="9"/>
  <c r="E190" i="9"/>
  <c r="D190" i="9"/>
  <c r="C190" i="9"/>
  <c r="H189" i="9"/>
  <c r="F189" i="9"/>
  <c r="E189" i="9"/>
  <c r="D189" i="9"/>
  <c r="C189" i="9"/>
  <c r="H188" i="9"/>
  <c r="F188" i="9"/>
  <c r="E188" i="9"/>
  <c r="D188" i="9"/>
  <c r="C188" i="9"/>
  <c r="H187" i="9"/>
  <c r="F187" i="9"/>
  <c r="E187" i="9"/>
  <c r="D187" i="9"/>
  <c r="C187" i="9"/>
  <c r="H186" i="9"/>
  <c r="F186" i="9"/>
  <c r="E186" i="9"/>
  <c r="D186" i="9"/>
  <c r="C186" i="9"/>
  <c r="S185" i="9"/>
  <c r="R185" i="9"/>
  <c r="P185" i="9"/>
  <c r="O185" i="9"/>
  <c r="N185" i="9"/>
  <c r="M185" i="9"/>
  <c r="H185" i="9"/>
  <c r="F185" i="9"/>
  <c r="E185" i="9"/>
  <c r="D185" i="9"/>
  <c r="C185" i="9"/>
  <c r="R184" i="9"/>
  <c r="P184" i="9"/>
  <c r="O184" i="9"/>
  <c r="N184" i="9"/>
  <c r="M184" i="9"/>
  <c r="H184" i="9"/>
  <c r="F184" i="9"/>
  <c r="E184" i="9"/>
  <c r="D184" i="9"/>
  <c r="C184" i="9"/>
  <c r="R183" i="9"/>
  <c r="P183" i="9"/>
  <c r="O183" i="9"/>
  <c r="N183" i="9"/>
  <c r="M183" i="9"/>
  <c r="H183" i="9"/>
  <c r="F183" i="9"/>
  <c r="E183" i="9"/>
  <c r="D183" i="9"/>
  <c r="C183" i="9"/>
  <c r="R182" i="9"/>
  <c r="Q182" i="9"/>
  <c r="P182" i="9"/>
  <c r="O182" i="9"/>
  <c r="N182" i="9"/>
  <c r="M182" i="9"/>
  <c r="H182" i="9"/>
  <c r="F182" i="9"/>
  <c r="E182" i="9"/>
  <c r="D182" i="9"/>
  <c r="C182" i="9"/>
  <c r="R181" i="9"/>
  <c r="P181" i="9"/>
  <c r="O181" i="9"/>
  <c r="N181" i="9"/>
  <c r="M181" i="9"/>
  <c r="H181" i="9"/>
  <c r="G181" i="9"/>
  <c r="F181" i="9"/>
  <c r="E181" i="9"/>
  <c r="D181" i="9"/>
  <c r="C181" i="9"/>
  <c r="R180" i="9"/>
  <c r="P180" i="9"/>
  <c r="O180" i="9"/>
  <c r="N180" i="9"/>
  <c r="M180" i="9"/>
  <c r="H180" i="9"/>
  <c r="F180" i="9"/>
  <c r="E180" i="9"/>
  <c r="D180" i="9"/>
  <c r="C180" i="9"/>
  <c r="R179" i="9"/>
  <c r="P179" i="9"/>
  <c r="O179" i="9"/>
  <c r="N179" i="9"/>
  <c r="M179" i="9"/>
  <c r="H179" i="9"/>
  <c r="F179" i="9"/>
  <c r="E179" i="9"/>
  <c r="D179" i="9"/>
  <c r="C179" i="9"/>
  <c r="R178" i="9"/>
  <c r="P178" i="9"/>
  <c r="O178" i="9"/>
  <c r="N178" i="9"/>
  <c r="M178" i="9"/>
  <c r="H178" i="9"/>
  <c r="F178" i="9"/>
  <c r="E178" i="9"/>
  <c r="D178" i="9"/>
  <c r="C178" i="9"/>
  <c r="R177" i="9"/>
  <c r="P177" i="9"/>
  <c r="O177" i="9"/>
  <c r="N177" i="9"/>
  <c r="M177" i="9"/>
  <c r="H177" i="9"/>
  <c r="F177" i="9"/>
  <c r="E177" i="9"/>
  <c r="D177" i="9"/>
  <c r="C177" i="9"/>
  <c r="R176" i="9"/>
  <c r="P176" i="9"/>
  <c r="O176" i="9"/>
  <c r="N176" i="9"/>
  <c r="M176" i="9"/>
  <c r="H176" i="9"/>
  <c r="F176" i="9"/>
  <c r="E176" i="9"/>
  <c r="D176" i="9"/>
  <c r="C176" i="9"/>
  <c r="R175" i="9"/>
  <c r="P175" i="9"/>
  <c r="O175" i="9"/>
  <c r="N175" i="9"/>
  <c r="M175" i="9"/>
  <c r="H175" i="9"/>
  <c r="F175" i="9"/>
  <c r="E175" i="9"/>
  <c r="D175" i="9"/>
  <c r="C175" i="9"/>
  <c r="R174" i="9"/>
  <c r="P174" i="9"/>
  <c r="O174" i="9"/>
  <c r="N174" i="9"/>
  <c r="M174" i="9"/>
  <c r="H174" i="9"/>
  <c r="F174" i="9"/>
  <c r="E174" i="9"/>
  <c r="D174" i="9"/>
  <c r="C174" i="9"/>
  <c r="R173" i="9"/>
  <c r="P173" i="9"/>
  <c r="O173" i="9"/>
  <c r="N173" i="9"/>
  <c r="M173" i="9"/>
  <c r="H173" i="9"/>
  <c r="F173" i="9"/>
  <c r="E173" i="9"/>
  <c r="D173" i="9"/>
  <c r="C173" i="9"/>
  <c r="R172" i="9"/>
  <c r="P172" i="9"/>
  <c r="O172" i="9"/>
  <c r="N172" i="9"/>
  <c r="M172" i="9"/>
  <c r="H172" i="9"/>
  <c r="F172" i="9"/>
  <c r="E172" i="9"/>
  <c r="D172" i="9"/>
  <c r="C172" i="9"/>
  <c r="R171" i="9"/>
  <c r="P171" i="9"/>
  <c r="O171" i="9"/>
  <c r="N171" i="9"/>
  <c r="M171" i="9"/>
  <c r="H171" i="9"/>
  <c r="F171" i="9"/>
  <c r="E171" i="9"/>
  <c r="D171" i="9"/>
  <c r="C171" i="9"/>
  <c r="R170" i="9"/>
  <c r="P170" i="9"/>
  <c r="O170" i="9"/>
  <c r="N170" i="9"/>
  <c r="M170" i="9"/>
  <c r="H170" i="9"/>
  <c r="F170" i="9"/>
  <c r="E170" i="9"/>
  <c r="D170" i="9"/>
  <c r="C170" i="9"/>
  <c r="R169" i="9"/>
  <c r="P169" i="9"/>
  <c r="O169" i="9"/>
  <c r="N169" i="9"/>
  <c r="M169" i="9"/>
  <c r="H169" i="9"/>
  <c r="F169" i="9"/>
  <c r="E169" i="9"/>
  <c r="D169" i="9"/>
  <c r="C169" i="9"/>
  <c r="R168" i="9"/>
  <c r="P168" i="9"/>
  <c r="O168" i="9"/>
  <c r="N168" i="9"/>
  <c r="M168" i="9"/>
  <c r="H168" i="9"/>
  <c r="F168" i="9"/>
  <c r="E168" i="9"/>
  <c r="D168" i="9"/>
  <c r="C168" i="9"/>
  <c r="R167" i="9"/>
  <c r="P167" i="9"/>
  <c r="O167" i="9"/>
  <c r="N167" i="9"/>
  <c r="M167" i="9"/>
  <c r="H167" i="9"/>
  <c r="F167" i="9"/>
  <c r="E167" i="9"/>
  <c r="D167" i="9"/>
  <c r="C167" i="9"/>
  <c r="R166" i="9"/>
  <c r="P166" i="9"/>
  <c r="O166" i="9"/>
  <c r="N166" i="9"/>
  <c r="M166" i="9"/>
  <c r="H166" i="9"/>
  <c r="F166" i="9"/>
  <c r="E166" i="9"/>
  <c r="D166" i="9"/>
  <c r="C166" i="9"/>
  <c r="R165" i="9"/>
  <c r="P165" i="9"/>
  <c r="O165" i="9"/>
  <c r="N165" i="9"/>
  <c r="M165" i="9"/>
  <c r="H165" i="9"/>
  <c r="F165" i="9"/>
  <c r="E165" i="9"/>
  <c r="D165" i="9"/>
  <c r="C165" i="9"/>
  <c r="R164" i="9"/>
  <c r="P164" i="9"/>
  <c r="O164" i="9"/>
  <c r="N164" i="9"/>
  <c r="M164" i="9"/>
  <c r="H164" i="9"/>
  <c r="F164" i="9"/>
  <c r="E164" i="9"/>
  <c r="D164" i="9"/>
  <c r="C164" i="9"/>
  <c r="R163" i="9"/>
  <c r="P163" i="9"/>
  <c r="O163" i="9"/>
  <c r="N163" i="9"/>
  <c r="M163" i="9"/>
  <c r="H163" i="9"/>
  <c r="F163" i="9"/>
  <c r="E163" i="9"/>
  <c r="D163" i="9"/>
  <c r="C163" i="9"/>
  <c r="R162" i="9"/>
  <c r="P162" i="9"/>
  <c r="O162" i="9"/>
  <c r="N162" i="9"/>
  <c r="M162" i="9"/>
  <c r="H162" i="9"/>
  <c r="F162" i="9"/>
  <c r="E162" i="9"/>
  <c r="D162" i="9"/>
  <c r="C162" i="9"/>
  <c r="R161" i="9"/>
  <c r="P161" i="9"/>
  <c r="O161" i="9"/>
  <c r="N161" i="9"/>
  <c r="M161" i="9"/>
  <c r="H161" i="9"/>
  <c r="F161" i="9"/>
  <c r="E161" i="9"/>
  <c r="D161" i="9"/>
  <c r="C161" i="9"/>
  <c r="R160" i="9"/>
  <c r="P160" i="9"/>
  <c r="O160" i="9"/>
  <c r="N160" i="9"/>
  <c r="M160" i="9"/>
  <c r="H160" i="9"/>
  <c r="F160" i="9"/>
  <c r="E160" i="9"/>
  <c r="D160" i="9"/>
  <c r="C160" i="9"/>
  <c r="R159" i="9"/>
  <c r="P159" i="9"/>
  <c r="O159" i="9"/>
  <c r="N159" i="9"/>
  <c r="M159" i="9"/>
  <c r="H159" i="9"/>
  <c r="F159" i="9"/>
  <c r="E159" i="9"/>
  <c r="D159" i="9"/>
  <c r="C159" i="9"/>
  <c r="R158" i="9"/>
  <c r="P158" i="9"/>
  <c r="O158" i="9"/>
  <c r="N158" i="9"/>
  <c r="M158" i="9"/>
  <c r="H158" i="9"/>
  <c r="F158" i="9"/>
  <c r="E158" i="9"/>
  <c r="D158" i="9"/>
  <c r="C158" i="9"/>
  <c r="R157" i="9"/>
  <c r="P157" i="9"/>
  <c r="O157" i="9"/>
  <c r="N157" i="9"/>
  <c r="M157" i="9"/>
  <c r="H157" i="9"/>
  <c r="F157" i="9"/>
  <c r="E157" i="9"/>
  <c r="D157" i="9"/>
  <c r="C157" i="9"/>
  <c r="R156" i="9"/>
  <c r="P156" i="9"/>
  <c r="O156" i="9"/>
  <c r="N156" i="9"/>
  <c r="M156" i="9"/>
  <c r="H156" i="9"/>
  <c r="F156" i="9"/>
  <c r="E156" i="9"/>
  <c r="D156" i="9"/>
  <c r="C156" i="9"/>
  <c r="R155" i="9"/>
  <c r="P155" i="9"/>
  <c r="O155" i="9"/>
  <c r="N155" i="9"/>
  <c r="M155" i="9"/>
  <c r="H155" i="9"/>
  <c r="F155" i="9"/>
  <c r="E155" i="9"/>
  <c r="D155" i="9"/>
  <c r="C155" i="9"/>
  <c r="R154" i="9"/>
  <c r="P154" i="9"/>
  <c r="O154" i="9"/>
  <c r="N154" i="9"/>
  <c r="M154" i="9"/>
  <c r="H154" i="9"/>
  <c r="F154" i="9"/>
  <c r="E154" i="9"/>
  <c r="D154" i="9"/>
  <c r="C154" i="9"/>
  <c r="R153" i="9"/>
  <c r="P153" i="9"/>
  <c r="O153" i="9"/>
  <c r="N153" i="9"/>
  <c r="M153" i="9"/>
  <c r="H153" i="9"/>
  <c r="F153" i="9"/>
  <c r="E153" i="9"/>
  <c r="D153" i="9"/>
  <c r="C153" i="9"/>
  <c r="R152" i="9"/>
  <c r="P152" i="9"/>
  <c r="O152" i="9"/>
  <c r="N152" i="9"/>
  <c r="M152" i="9"/>
  <c r="H152" i="9"/>
  <c r="F152" i="9"/>
  <c r="E152" i="9"/>
  <c r="D152" i="9"/>
  <c r="C152" i="9"/>
  <c r="R151" i="9"/>
  <c r="P151" i="9"/>
  <c r="O151" i="9"/>
  <c r="N151" i="9"/>
  <c r="M151" i="9"/>
  <c r="H151" i="9"/>
  <c r="F151" i="9"/>
  <c r="E151" i="9"/>
  <c r="D151" i="9"/>
  <c r="C151" i="9"/>
  <c r="R150" i="9"/>
  <c r="P150" i="9"/>
  <c r="O150" i="9"/>
  <c r="N150" i="9"/>
  <c r="M150" i="9"/>
  <c r="H150" i="9"/>
  <c r="F150" i="9"/>
  <c r="E150" i="9"/>
  <c r="D150" i="9"/>
  <c r="C150" i="9"/>
  <c r="R149" i="9"/>
  <c r="P149" i="9"/>
  <c r="O149" i="9"/>
  <c r="N149" i="9"/>
  <c r="M149" i="9"/>
  <c r="H149" i="9"/>
  <c r="F149" i="9"/>
  <c r="E149" i="9"/>
  <c r="D149" i="9"/>
  <c r="C149" i="9"/>
  <c r="R148" i="9"/>
  <c r="P148" i="9"/>
  <c r="O148" i="9"/>
  <c r="N148" i="9"/>
  <c r="M148" i="9"/>
  <c r="H148" i="9"/>
  <c r="F148" i="9"/>
  <c r="E148" i="9"/>
  <c r="D148" i="9"/>
  <c r="C148" i="9"/>
  <c r="R147" i="9"/>
  <c r="P147" i="9"/>
  <c r="O147" i="9"/>
  <c r="N147" i="9"/>
  <c r="M147" i="9"/>
  <c r="H147" i="9"/>
  <c r="F147" i="9"/>
  <c r="E147" i="9"/>
  <c r="D147" i="9"/>
  <c r="C147" i="9"/>
  <c r="R146" i="9"/>
  <c r="P146" i="9"/>
  <c r="O146" i="9"/>
  <c r="N146" i="9"/>
  <c r="M146" i="9"/>
  <c r="H146" i="9"/>
  <c r="F146" i="9"/>
  <c r="E146" i="9"/>
  <c r="D146" i="9"/>
  <c r="C146" i="9"/>
  <c r="R145" i="9"/>
  <c r="P145" i="9"/>
  <c r="O145" i="9"/>
  <c r="N145" i="9"/>
  <c r="M145" i="9"/>
  <c r="H145" i="9"/>
  <c r="F145" i="9"/>
  <c r="E145" i="9"/>
  <c r="D145" i="9"/>
  <c r="C145" i="9"/>
  <c r="R144" i="9"/>
  <c r="P144" i="9"/>
  <c r="O144" i="9"/>
  <c r="N144" i="9"/>
  <c r="M144" i="9"/>
  <c r="H144" i="9"/>
  <c r="F144" i="9"/>
  <c r="E144" i="9"/>
  <c r="D144" i="9"/>
  <c r="C144" i="9"/>
  <c r="R143" i="9"/>
  <c r="P143" i="9"/>
  <c r="O143" i="9"/>
  <c r="N143" i="9"/>
  <c r="M143" i="9"/>
  <c r="H143" i="9"/>
  <c r="F143" i="9"/>
  <c r="E143" i="9"/>
  <c r="D143" i="9"/>
  <c r="C143" i="9"/>
  <c r="R142" i="9"/>
  <c r="P142" i="9"/>
  <c r="O142" i="9"/>
  <c r="N142" i="9"/>
  <c r="M142" i="9"/>
  <c r="H142" i="9"/>
  <c r="F142" i="9"/>
  <c r="E142" i="9"/>
  <c r="D142" i="9"/>
  <c r="C142" i="9"/>
  <c r="R141" i="9"/>
  <c r="P141" i="9"/>
  <c r="O141" i="9"/>
  <c r="N141" i="9"/>
  <c r="M141" i="9"/>
  <c r="H141" i="9"/>
  <c r="F141" i="9"/>
  <c r="E141" i="9"/>
  <c r="D141" i="9"/>
  <c r="C141" i="9"/>
  <c r="R140" i="9"/>
  <c r="P140" i="9"/>
  <c r="O140" i="9"/>
  <c r="N140" i="9"/>
  <c r="M140" i="9"/>
  <c r="H140" i="9"/>
  <c r="F140" i="9"/>
  <c r="E140" i="9"/>
  <c r="D140" i="9"/>
  <c r="C140" i="9"/>
  <c r="R139" i="9"/>
  <c r="P139" i="9"/>
  <c r="O139" i="9"/>
  <c r="N139" i="9"/>
  <c r="M139" i="9"/>
  <c r="H139" i="9"/>
  <c r="F139" i="9"/>
  <c r="E139" i="9"/>
  <c r="D139" i="9"/>
  <c r="C139" i="9"/>
  <c r="R138" i="9"/>
  <c r="P138" i="9"/>
  <c r="O138" i="9"/>
  <c r="N138" i="9"/>
  <c r="M138" i="9"/>
  <c r="H138" i="9"/>
  <c r="F138" i="9"/>
  <c r="E138" i="9"/>
  <c r="D138" i="9"/>
  <c r="C138" i="9"/>
  <c r="R137" i="9"/>
  <c r="P137" i="9"/>
  <c r="O137" i="9"/>
  <c r="N137" i="9"/>
  <c r="M137" i="9"/>
  <c r="H137" i="9"/>
  <c r="F137" i="9"/>
  <c r="E137" i="9"/>
  <c r="D137" i="9"/>
  <c r="C137" i="9"/>
  <c r="R136" i="9"/>
  <c r="P136" i="9"/>
  <c r="O136" i="9"/>
  <c r="N136" i="9"/>
  <c r="M136" i="9"/>
  <c r="H136" i="9"/>
  <c r="F136" i="9"/>
  <c r="E136" i="9"/>
  <c r="D136" i="9"/>
  <c r="C136" i="9"/>
  <c r="R135" i="9"/>
  <c r="P135" i="9"/>
  <c r="O135" i="9"/>
  <c r="N135" i="9"/>
  <c r="M135" i="9"/>
  <c r="H135" i="9"/>
  <c r="F135" i="9"/>
  <c r="E135" i="9"/>
  <c r="D135" i="9"/>
  <c r="C135" i="9"/>
  <c r="R134" i="9"/>
  <c r="Q134" i="9"/>
  <c r="P134" i="9"/>
  <c r="O134" i="9"/>
  <c r="N134" i="9"/>
  <c r="M134" i="9"/>
  <c r="H134" i="9"/>
  <c r="F134" i="9"/>
  <c r="E134" i="9"/>
  <c r="D134" i="9"/>
  <c r="C134" i="9"/>
  <c r="R133" i="9"/>
  <c r="P133" i="9"/>
  <c r="O133" i="9"/>
  <c r="N133" i="9"/>
  <c r="M133" i="9"/>
  <c r="H133" i="9"/>
  <c r="F133" i="9"/>
  <c r="E133" i="9"/>
  <c r="D133" i="9"/>
  <c r="C133" i="9"/>
  <c r="R132" i="9"/>
  <c r="P132" i="9"/>
  <c r="O132" i="9"/>
  <c r="N132" i="9"/>
  <c r="M132" i="9"/>
  <c r="H132" i="9"/>
  <c r="F132" i="9"/>
  <c r="E132" i="9"/>
  <c r="D132" i="9"/>
  <c r="C132" i="9"/>
  <c r="R131" i="9"/>
  <c r="P131" i="9"/>
  <c r="O131" i="9"/>
  <c r="N131" i="9"/>
  <c r="M131" i="9"/>
  <c r="H131" i="9"/>
  <c r="F131" i="9"/>
  <c r="E131" i="9"/>
  <c r="D131" i="9"/>
  <c r="C131" i="9"/>
  <c r="R130" i="9"/>
  <c r="P130" i="9"/>
  <c r="O130" i="9"/>
  <c r="N130" i="9"/>
  <c r="M130" i="9"/>
  <c r="H130" i="9"/>
  <c r="F130" i="9"/>
  <c r="E130" i="9"/>
  <c r="D130" i="9"/>
  <c r="C130" i="9"/>
  <c r="R129" i="9"/>
  <c r="P129" i="9"/>
  <c r="O129" i="9"/>
  <c r="N129" i="9"/>
  <c r="M129" i="9"/>
  <c r="H129" i="9"/>
  <c r="F129" i="9"/>
  <c r="E129" i="9"/>
  <c r="D129" i="9"/>
  <c r="C129" i="9"/>
  <c r="R128" i="9"/>
  <c r="P128" i="9"/>
  <c r="O128" i="9"/>
  <c r="N128" i="9"/>
  <c r="M128" i="9"/>
  <c r="H128" i="9"/>
  <c r="F128" i="9"/>
  <c r="E128" i="9"/>
  <c r="D128" i="9"/>
  <c r="C128" i="9"/>
  <c r="R127" i="9"/>
  <c r="P127" i="9"/>
  <c r="O127" i="9"/>
  <c r="N127" i="9"/>
  <c r="M127" i="9"/>
  <c r="H127" i="9"/>
  <c r="F127" i="9"/>
  <c r="E127" i="9"/>
  <c r="D127" i="9"/>
  <c r="C127" i="9"/>
  <c r="R126" i="9"/>
  <c r="P126" i="9"/>
  <c r="O126" i="9"/>
  <c r="N126" i="9"/>
  <c r="M126" i="9"/>
  <c r="H126" i="9"/>
  <c r="F126" i="9"/>
  <c r="E126" i="9"/>
  <c r="D126" i="9"/>
  <c r="C126" i="9"/>
  <c r="R125" i="9"/>
  <c r="P125" i="9"/>
  <c r="O125" i="9"/>
  <c r="N125" i="9"/>
  <c r="M125" i="9"/>
  <c r="H125" i="9"/>
  <c r="F125" i="9"/>
  <c r="E125" i="9"/>
  <c r="D125" i="9"/>
  <c r="C125" i="9"/>
  <c r="R124" i="9"/>
  <c r="P124" i="9"/>
  <c r="O124" i="9"/>
  <c r="N124" i="9"/>
  <c r="M124" i="9"/>
  <c r="H124" i="9"/>
  <c r="F124" i="9"/>
  <c r="E124" i="9"/>
  <c r="D124" i="9"/>
  <c r="C124" i="9"/>
  <c r="R123" i="9"/>
  <c r="P123" i="9"/>
  <c r="O123" i="9"/>
  <c r="N123" i="9"/>
  <c r="M123" i="9"/>
  <c r="H123" i="9"/>
  <c r="F123" i="9"/>
  <c r="E123" i="9"/>
  <c r="D123" i="9"/>
  <c r="C123" i="9"/>
  <c r="R122" i="9"/>
  <c r="P122" i="9"/>
  <c r="O122" i="9"/>
  <c r="N122" i="9"/>
  <c r="M122" i="9"/>
  <c r="H122" i="9"/>
  <c r="F122" i="9"/>
  <c r="E122" i="9"/>
  <c r="D122" i="9"/>
  <c r="C122" i="9"/>
  <c r="R121" i="9"/>
  <c r="P121" i="9"/>
  <c r="O121" i="9"/>
  <c r="N121" i="9"/>
  <c r="M121" i="9"/>
  <c r="H121" i="9"/>
  <c r="F121" i="9"/>
  <c r="E121" i="9"/>
  <c r="D121" i="9"/>
  <c r="C121" i="9"/>
  <c r="R120" i="9"/>
  <c r="P120" i="9"/>
  <c r="O120" i="9"/>
  <c r="N120" i="9"/>
  <c r="M120" i="9"/>
  <c r="H120" i="9"/>
  <c r="F120" i="9"/>
  <c r="E120" i="9"/>
  <c r="D120" i="9"/>
  <c r="C120" i="9"/>
  <c r="R119" i="9"/>
  <c r="P119" i="9"/>
  <c r="O119" i="9"/>
  <c r="N119" i="9"/>
  <c r="M119" i="9"/>
  <c r="H119" i="9"/>
  <c r="F119" i="9"/>
  <c r="E119" i="9"/>
  <c r="D119" i="9"/>
  <c r="C119" i="9"/>
  <c r="R118" i="9"/>
  <c r="P118" i="9"/>
  <c r="O118" i="9"/>
  <c r="N118" i="9"/>
  <c r="M118" i="9"/>
  <c r="H118" i="9"/>
  <c r="F118" i="9"/>
  <c r="E118" i="9"/>
  <c r="D118" i="9"/>
  <c r="C118" i="9"/>
  <c r="R117" i="9"/>
  <c r="P117" i="9"/>
  <c r="O117" i="9"/>
  <c r="N117" i="9"/>
  <c r="M117" i="9"/>
  <c r="H117" i="9"/>
  <c r="F117" i="9"/>
  <c r="E117" i="9"/>
  <c r="D117" i="9"/>
  <c r="C117" i="9"/>
  <c r="R116" i="9"/>
  <c r="P116" i="9"/>
  <c r="O116" i="9"/>
  <c r="N116" i="9"/>
  <c r="M116" i="9"/>
  <c r="H116" i="9"/>
  <c r="F116" i="9"/>
  <c r="E116" i="9"/>
  <c r="D116" i="9"/>
  <c r="C116" i="9"/>
  <c r="R115" i="9"/>
  <c r="P115" i="9"/>
  <c r="O115" i="9"/>
  <c r="N115" i="9"/>
  <c r="M115" i="9"/>
  <c r="H115" i="9"/>
  <c r="F115" i="9"/>
  <c r="E115" i="9"/>
  <c r="D115" i="9"/>
  <c r="C115" i="9"/>
  <c r="R114" i="9"/>
  <c r="P114" i="9"/>
  <c r="O114" i="9"/>
  <c r="N114" i="9"/>
  <c r="M114" i="9"/>
  <c r="H114" i="9"/>
  <c r="F114" i="9"/>
  <c r="E114" i="9"/>
  <c r="D114" i="9"/>
  <c r="C114" i="9"/>
  <c r="R113" i="9"/>
  <c r="P113" i="9"/>
  <c r="O113" i="9"/>
  <c r="N113" i="9"/>
  <c r="M113" i="9"/>
  <c r="H113" i="9"/>
  <c r="F113" i="9"/>
  <c r="E113" i="9"/>
  <c r="D113" i="9"/>
  <c r="C113" i="9"/>
  <c r="R112" i="9"/>
  <c r="P112" i="9"/>
  <c r="O112" i="9"/>
  <c r="N112" i="9"/>
  <c r="M112" i="9"/>
  <c r="H112" i="9"/>
  <c r="F112" i="9"/>
  <c r="E112" i="9"/>
  <c r="D112" i="9"/>
  <c r="C112" i="9"/>
  <c r="R111" i="9"/>
  <c r="P111" i="9"/>
  <c r="O111" i="9"/>
  <c r="N111" i="9"/>
  <c r="M111" i="9"/>
  <c r="H111" i="9"/>
  <c r="F111" i="9"/>
  <c r="E111" i="9"/>
  <c r="D111" i="9"/>
  <c r="C111" i="9"/>
  <c r="R110" i="9"/>
  <c r="P110" i="9"/>
  <c r="O110" i="9"/>
  <c r="N110" i="9"/>
  <c r="M110" i="9"/>
  <c r="H110" i="9"/>
  <c r="F110" i="9"/>
  <c r="E110" i="9"/>
  <c r="D110" i="9"/>
  <c r="C110" i="9"/>
  <c r="R109" i="9"/>
  <c r="P109" i="9"/>
  <c r="O109" i="9"/>
  <c r="N109" i="9"/>
  <c r="M109" i="9"/>
  <c r="H109" i="9"/>
  <c r="F109" i="9"/>
  <c r="E109" i="9"/>
  <c r="D109" i="9"/>
  <c r="C109" i="9"/>
  <c r="R108" i="9"/>
  <c r="P108" i="9"/>
  <c r="O108" i="9"/>
  <c r="N108" i="9"/>
  <c r="M108" i="9"/>
  <c r="H108" i="9"/>
  <c r="F108" i="9"/>
  <c r="E108" i="9"/>
  <c r="D108" i="9"/>
  <c r="C108" i="9"/>
  <c r="R107" i="9"/>
  <c r="P107" i="9"/>
  <c r="O107" i="9"/>
  <c r="N107" i="9"/>
  <c r="M107" i="9"/>
  <c r="H107" i="9"/>
  <c r="F107" i="9"/>
  <c r="E107" i="9"/>
  <c r="D107" i="9"/>
  <c r="C107" i="9"/>
  <c r="R106" i="9"/>
  <c r="P106" i="9"/>
  <c r="O106" i="9"/>
  <c r="N106" i="9"/>
  <c r="M106" i="9"/>
  <c r="H106" i="9"/>
  <c r="F106" i="9"/>
  <c r="E106" i="9"/>
  <c r="D106" i="9"/>
  <c r="C106" i="9"/>
  <c r="R105" i="9"/>
  <c r="P105" i="9"/>
  <c r="O105" i="9"/>
  <c r="N105" i="9"/>
  <c r="M105" i="9"/>
  <c r="H105" i="9"/>
  <c r="F105" i="9"/>
  <c r="E105" i="9"/>
  <c r="D105" i="9"/>
  <c r="C105" i="9"/>
  <c r="R104" i="9"/>
  <c r="P104" i="9"/>
  <c r="O104" i="9"/>
  <c r="N104" i="9"/>
  <c r="M104" i="9"/>
  <c r="H104" i="9"/>
  <c r="F104" i="9"/>
  <c r="E104" i="9"/>
  <c r="D104" i="9"/>
  <c r="C104" i="9"/>
  <c r="R103" i="9"/>
  <c r="P103" i="9"/>
  <c r="O103" i="9"/>
  <c r="N103" i="9"/>
  <c r="M103" i="9"/>
  <c r="H103" i="9"/>
  <c r="F103" i="9"/>
  <c r="E103" i="9"/>
  <c r="D103" i="9"/>
  <c r="C103" i="9"/>
  <c r="R102" i="9"/>
  <c r="P102" i="9"/>
  <c r="O102" i="9"/>
  <c r="N102" i="9"/>
  <c r="M102" i="9"/>
  <c r="H102" i="9"/>
  <c r="F102" i="9"/>
  <c r="E102" i="9"/>
  <c r="D102" i="9"/>
  <c r="C102" i="9"/>
  <c r="R101" i="9"/>
  <c r="P101" i="9"/>
  <c r="O101" i="9"/>
  <c r="N101" i="9"/>
  <c r="M101" i="9"/>
  <c r="H101" i="9"/>
  <c r="F101" i="9"/>
  <c r="E101" i="9"/>
  <c r="D101" i="9"/>
  <c r="C101" i="9"/>
  <c r="K98" i="9"/>
  <c r="L91" i="9"/>
  <c r="Q185" i="9" s="1"/>
  <c r="E91" i="9"/>
  <c r="Q184" i="9" s="1"/>
  <c r="L90" i="9"/>
  <c r="Q168" i="9" s="1"/>
  <c r="E90" i="9"/>
  <c r="Q167" i="9" s="1"/>
  <c r="L89" i="9"/>
  <c r="Q151" i="9" s="1"/>
  <c r="E89" i="9"/>
  <c r="Q150" i="9" s="1"/>
  <c r="L88" i="9"/>
  <c r="E88" i="9"/>
  <c r="Q133" i="9" s="1"/>
  <c r="L87" i="9"/>
  <c r="Q117" i="9" s="1"/>
  <c r="E87" i="9"/>
  <c r="Q116" i="9" s="1"/>
  <c r="L86" i="9"/>
  <c r="G202" i="9" s="1"/>
  <c r="E86" i="9"/>
  <c r="G201" i="9" s="1"/>
  <c r="L85" i="9"/>
  <c r="G185" i="9" s="1"/>
  <c r="E85" i="9"/>
  <c r="G184" i="9" s="1"/>
  <c r="L84" i="9"/>
  <c r="G168" i="9" s="1"/>
  <c r="E84" i="9"/>
  <c r="G167" i="9" s="1"/>
  <c r="L83" i="9"/>
  <c r="G151" i="9" s="1"/>
  <c r="E83" i="9"/>
  <c r="G150" i="9" s="1"/>
  <c r="L82" i="9"/>
  <c r="G134" i="9" s="1"/>
  <c r="E82" i="9"/>
  <c r="G133" i="9" s="1"/>
  <c r="L81" i="9"/>
  <c r="G117" i="9" s="1"/>
  <c r="E81" i="9"/>
  <c r="G116" i="9" s="1"/>
  <c r="S76" i="9"/>
  <c r="Q183" i="9" s="1"/>
  <c r="L76" i="9"/>
  <c r="E76" i="9"/>
  <c r="Q181" i="9" s="1"/>
  <c r="S75" i="9"/>
  <c r="Q166" i="9" s="1"/>
  <c r="L75" i="9"/>
  <c r="Q165" i="9" s="1"/>
  <c r="E75" i="9"/>
  <c r="Q164" i="9" s="1"/>
  <c r="S74" i="9"/>
  <c r="Q149" i="9" s="1"/>
  <c r="L74" i="9"/>
  <c r="Q148" i="9" s="1"/>
  <c r="E74" i="9"/>
  <c r="Q147" i="9" s="1"/>
  <c r="S73" i="9"/>
  <c r="Q132" i="9" s="1"/>
  <c r="L73" i="9"/>
  <c r="Q131" i="9" s="1"/>
  <c r="E73" i="9"/>
  <c r="Q130" i="9" s="1"/>
  <c r="S72" i="9"/>
  <c r="Q115" i="9" s="1"/>
  <c r="L72" i="9"/>
  <c r="Q114" i="9" s="1"/>
  <c r="E72" i="9"/>
  <c r="Q113" i="9" s="1"/>
  <c r="S71" i="9"/>
  <c r="G200" i="9" s="1"/>
  <c r="L71" i="9"/>
  <c r="G199" i="9" s="1"/>
  <c r="E71" i="9"/>
  <c r="G198" i="9" s="1"/>
  <c r="S70" i="9"/>
  <c r="G183" i="9" s="1"/>
  <c r="L70" i="9"/>
  <c r="G182" i="9" s="1"/>
  <c r="E70" i="9"/>
  <c r="S69" i="9"/>
  <c r="G166" i="9" s="1"/>
  <c r="L69" i="9"/>
  <c r="G165" i="9" s="1"/>
  <c r="E69" i="9"/>
  <c r="G164" i="9" s="1"/>
  <c r="S68" i="9"/>
  <c r="G149" i="9" s="1"/>
  <c r="L68" i="9"/>
  <c r="G148" i="9" s="1"/>
  <c r="E68" i="9"/>
  <c r="G147" i="9" s="1"/>
  <c r="S67" i="9"/>
  <c r="G132" i="9" s="1"/>
  <c r="L67" i="9"/>
  <c r="G131" i="9" s="1"/>
  <c r="E67" i="9"/>
  <c r="G130" i="9" s="1"/>
  <c r="S66" i="9"/>
  <c r="G115" i="9" s="1"/>
  <c r="L66" i="9"/>
  <c r="G114" i="9" s="1"/>
  <c r="E66" i="9"/>
  <c r="G113" i="9" s="1"/>
  <c r="S61" i="9"/>
  <c r="Q180" i="9" s="1"/>
  <c r="L61" i="9"/>
  <c r="Q179" i="9" s="1"/>
  <c r="E61" i="9"/>
  <c r="Q178" i="9" s="1"/>
  <c r="S60" i="9"/>
  <c r="Q163" i="9" s="1"/>
  <c r="L60" i="9"/>
  <c r="Q162" i="9" s="1"/>
  <c r="E60" i="9"/>
  <c r="Q161" i="9" s="1"/>
  <c r="S59" i="9"/>
  <c r="Q146" i="9" s="1"/>
  <c r="L59" i="9"/>
  <c r="Q145" i="9" s="1"/>
  <c r="E59" i="9"/>
  <c r="Q144" i="9" s="1"/>
  <c r="S58" i="9"/>
  <c r="Q129" i="9" s="1"/>
  <c r="L58" i="9"/>
  <c r="Q128" i="9" s="1"/>
  <c r="E58" i="9"/>
  <c r="Q127" i="9" s="1"/>
  <c r="S57" i="9"/>
  <c r="Q112" i="9" s="1"/>
  <c r="L57" i="9"/>
  <c r="Q111" i="9" s="1"/>
  <c r="E57" i="9"/>
  <c r="Q110" i="9" s="1"/>
  <c r="S56" i="9"/>
  <c r="G197" i="9" s="1"/>
  <c r="L56" i="9"/>
  <c r="G196" i="9" s="1"/>
  <c r="E56" i="9"/>
  <c r="G195" i="9" s="1"/>
  <c r="S55" i="9"/>
  <c r="G180" i="9" s="1"/>
  <c r="L55" i="9"/>
  <c r="G179" i="9" s="1"/>
  <c r="E55" i="9"/>
  <c r="G178" i="9" s="1"/>
  <c r="S54" i="9"/>
  <c r="G163" i="9" s="1"/>
  <c r="L54" i="9"/>
  <c r="G162" i="9" s="1"/>
  <c r="E54" i="9"/>
  <c r="G161" i="9" s="1"/>
  <c r="S53" i="9"/>
  <c r="G146" i="9" s="1"/>
  <c r="L53" i="9"/>
  <c r="G145" i="9" s="1"/>
  <c r="E53" i="9"/>
  <c r="G144" i="9" s="1"/>
  <c r="S52" i="9"/>
  <c r="G129" i="9" s="1"/>
  <c r="L52" i="9"/>
  <c r="G128" i="9" s="1"/>
  <c r="E52" i="9"/>
  <c r="G127" i="9" s="1"/>
  <c r="S51" i="9"/>
  <c r="G112" i="9" s="1"/>
  <c r="L51" i="9"/>
  <c r="G111" i="9" s="1"/>
  <c r="E51" i="9"/>
  <c r="G110" i="9" s="1"/>
  <c r="S46" i="9"/>
  <c r="Q177" i="9" s="1"/>
  <c r="L46" i="9"/>
  <c r="Q176" i="9" s="1"/>
  <c r="E46" i="9"/>
  <c r="Q175" i="9" s="1"/>
  <c r="S45" i="9"/>
  <c r="Q160" i="9" s="1"/>
  <c r="L45" i="9"/>
  <c r="Q159" i="9" s="1"/>
  <c r="E45" i="9"/>
  <c r="Q158" i="9" s="1"/>
  <c r="S44" i="9"/>
  <c r="Q143" i="9" s="1"/>
  <c r="L44" i="9"/>
  <c r="Q142" i="9" s="1"/>
  <c r="E44" i="9"/>
  <c r="Q141" i="9" s="1"/>
  <c r="S43" i="9"/>
  <c r="Q126" i="9" s="1"/>
  <c r="L43" i="9"/>
  <c r="Q125" i="9" s="1"/>
  <c r="E43" i="9"/>
  <c r="Q124" i="9" s="1"/>
  <c r="S42" i="9"/>
  <c r="Q109" i="9" s="1"/>
  <c r="L42" i="9"/>
  <c r="Q108" i="9" s="1"/>
  <c r="E42" i="9"/>
  <c r="Q107" i="9" s="1"/>
  <c r="S41" i="9"/>
  <c r="G194" i="9" s="1"/>
  <c r="L41" i="9"/>
  <c r="G193" i="9" s="1"/>
  <c r="E41" i="9"/>
  <c r="G192" i="9" s="1"/>
  <c r="S40" i="9"/>
  <c r="G177" i="9" s="1"/>
  <c r="L40" i="9"/>
  <c r="G176" i="9" s="1"/>
  <c r="E40" i="9"/>
  <c r="G175" i="9" s="1"/>
  <c r="S39" i="9"/>
  <c r="G160" i="9" s="1"/>
  <c r="L39" i="9"/>
  <c r="G159" i="9" s="1"/>
  <c r="E39" i="9"/>
  <c r="G158" i="9" s="1"/>
  <c r="S38" i="9"/>
  <c r="G143" i="9" s="1"/>
  <c r="L38" i="9"/>
  <c r="G142" i="9" s="1"/>
  <c r="E38" i="9"/>
  <c r="G141" i="9" s="1"/>
  <c r="S37" i="9"/>
  <c r="G126" i="9" s="1"/>
  <c r="L37" i="9"/>
  <c r="G125" i="9" s="1"/>
  <c r="E37" i="9"/>
  <c r="G124" i="9" s="1"/>
  <c r="S36" i="9"/>
  <c r="G109" i="9" s="1"/>
  <c r="L36" i="9"/>
  <c r="G108" i="9" s="1"/>
  <c r="E36" i="9"/>
  <c r="G107" i="9" s="1"/>
  <c r="S30" i="9"/>
  <c r="Q174" i="9" s="1"/>
  <c r="L30" i="9"/>
  <c r="Q173" i="9" s="1"/>
  <c r="E30" i="9"/>
  <c r="Q172" i="9" s="1"/>
  <c r="S29" i="9"/>
  <c r="Q157" i="9" s="1"/>
  <c r="L29" i="9"/>
  <c r="Q156" i="9" s="1"/>
  <c r="E29" i="9"/>
  <c r="Q155" i="9" s="1"/>
  <c r="S28" i="9"/>
  <c r="Q140" i="9" s="1"/>
  <c r="L28" i="9"/>
  <c r="Q139" i="9" s="1"/>
  <c r="E28" i="9"/>
  <c r="Q138" i="9" s="1"/>
  <c r="S27" i="9"/>
  <c r="Q123" i="9" s="1"/>
  <c r="L27" i="9"/>
  <c r="Q122" i="9" s="1"/>
  <c r="E27" i="9"/>
  <c r="Q121" i="9" s="1"/>
  <c r="S26" i="9"/>
  <c r="Q106" i="9" s="1"/>
  <c r="L26" i="9"/>
  <c r="Q105" i="9" s="1"/>
  <c r="E26" i="9"/>
  <c r="Q104" i="9" s="1"/>
  <c r="S25" i="9"/>
  <c r="G191" i="9" s="1"/>
  <c r="L25" i="9"/>
  <c r="G190" i="9" s="1"/>
  <c r="E25" i="9"/>
  <c r="G189" i="9" s="1"/>
  <c r="S24" i="9"/>
  <c r="G174" i="9" s="1"/>
  <c r="L24" i="9"/>
  <c r="G173" i="9" s="1"/>
  <c r="E24" i="9"/>
  <c r="G172" i="9" s="1"/>
  <c r="S23" i="9"/>
  <c r="G157" i="9" s="1"/>
  <c r="L23" i="9"/>
  <c r="G156" i="9" s="1"/>
  <c r="E23" i="9"/>
  <c r="G155" i="9" s="1"/>
  <c r="S22" i="9"/>
  <c r="G140" i="9" s="1"/>
  <c r="L22" i="9"/>
  <c r="G139" i="9" s="1"/>
  <c r="E22" i="9"/>
  <c r="G138" i="9" s="1"/>
  <c r="S21" i="9"/>
  <c r="G123" i="9" s="1"/>
  <c r="L21" i="9"/>
  <c r="G122" i="9" s="1"/>
  <c r="E21" i="9"/>
  <c r="G121" i="9" s="1"/>
  <c r="S20" i="9"/>
  <c r="G106" i="9" s="1"/>
  <c r="L20" i="9"/>
  <c r="G105" i="9" s="1"/>
  <c r="E20" i="9"/>
  <c r="G104" i="9" s="1"/>
  <c r="A19" i="9"/>
  <c r="H19" i="9" s="1"/>
  <c r="O19" i="9" s="1"/>
  <c r="A18" i="9"/>
  <c r="F17" i="9"/>
  <c r="M17" i="9" s="1"/>
  <c r="T17" i="9" s="1"/>
  <c r="S15" i="9"/>
  <c r="Q171" i="9" s="1"/>
  <c r="L15" i="9"/>
  <c r="Q170" i="9" s="1"/>
  <c r="E15" i="9"/>
  <c r="Q169" i="9" s="1"/>
  <c r="S14" i="9"/>
  <c r="Q154" i="9" s="1"/>
  <c r="L14" i="9"/>
  <c r="Q153" i="9" s="1"/>
  <c r="E14" i="9"/>
  <c r="Q152" i="9" s="1"/>
  <c r="S13" i="9"/>
  <c r="Q137" i="9" s="1"/>
  <c r="L13" i="9"/>
  <c r="Q136" i="9" s="1"/>
  <c r="E13" i="9"/>
  <c r="Q135" i="9" s="1"/>
  <c r="S12" i="9"/>
  <c r="Q120" i="9" s="1"/>
  <c r="L12" i="9"/>
  <c r="Q119" i="9" s="1"/>
  <c r="E12" i="9"/>
  <c r="Q118" i="9" s="1"/>
  <c r="S11" i="9"/>
  <c r="Q103" i="9" s="1"/>
  <c r="L11" i="9"/>
  <c r="Q102" i="9" s="1"/>
  <c r="E11" i="9"/>
  <c r="Q101" i="9" s="1"/>
  <c r="S10" i="9"/>
  <c r="G188" i="9" s="1"/>
  <c r="L10" i="9"/>
  <c r="G187" i="9" s="1"/>
  <c r="E10" i="9"/>
  <c r="G186" i="9" s="1"/>
  <c r="S9" i="9"/>
  <c r="G171" i="9" s="1"/>
  <c r="L9" i="9"/>
  <c r="G170" i="9" s="1"/>
  <c r="E9" i="9"/>
  <c r="G169" i="9" s="1"/>
  <c r="S8" i="9"/>
  <c r="G154" i="9" s="1"/>
  <c r="L8" i="9"/>
  <c r="G153" i="9" s="1"/>
  <c r="E8" i="9"/>
  <c r="G152" i="9" s="1"/>
  <c r="S7" i="9"/>
  <c r="G137" i="9" s="1"/>
  <c r="L7" i="9"/>
  <c r="G136" i="9" s="1"/>
  <c r="E7" i="9"/>
  <c r="G135" i="9" s="1"/>
  <c r="S6" i="9"/>
  <c r="G120" i="9" s="1"/>
  <c r="L6" i="9"/>
  <c r="G119" i="9" s="1"/>
  <c r="E6" i="9"/>
  <c r="G118" i="9" s="1"/>
  <c r="S5" i="9"/>
  <c r="G103" i="9" s="1"/>
  <c r="L5" i="9"/>
  <c r="G102" i="9" s="1"/>
  <c r="E5" i="9"/>
  <c r="G101" i="9" s="1"/>
  <c r="H4" i="9"/>
  <c r="O4" i="9" s="1"/>
  <c r="H3" i="9"/>
  <c r="O3" i="9" s="1"/>
  <c r="M2" i="9"/>
  <c r="T2" i="9" s="1"/>
  <c r="L26" i="2"/>
  <c r="L27" i="2"/>
  <c r="L25" i="2"/>
  <c r="L24" i="2"/>
  <c r="M26" i="2"/>
  <c r="L26" i="4" s="1"/>
  <c r="L26" i="7" s="1"/>
  <c r="R39" i="2"/>
  <c r="M25" i="2" s="1"/>
  <c r="K178" i="8"/>
  <c r="J178" i="8"/>
  <c r="I178" i="8"/>
  <c r="K177" i="8"/>
  <c r="J177" i="8"/>
  <c r="I177" i="8"/>
  <c r="K176" i="8"/>
  <c r="J176" i="8"/>
  <c r="I176" i="8"/>
  <c r="K175" i="8"/>
  <c r="J175" i="8"/>
  <c r="I175" i="8"/>
  <c r="K174" i="8"/>
  <c r="J174" i="8"/>
  <c r="I174" i="8"/>
  <c r="K173" i="8"/>
  <c r="J173" i="8"/>
  <c r="I173" i="8"/>
  <c r="K172" i="8"/>
  <c r="J172" i="8"/>
  <c r="I172" i="8"/>
  <c r="K171" i="8"/>
  <c r="J171" i="8"/>
  <c r="I171" i="8"/>
  <c r="K170" i="8"/>
  <c r="J170" i="8"/>
  <c r="I170" i="8"/>
  <c r="K169" i="8"/>
  <c r="J169" i="8"/>
  <c r="I169" i="8"/>
  <c r="K168" i="8"/>
  <c r="J168" i="8"/>
  <c r="I168" i="8"/>
  <c r="K167" i="8"/>
  <c r="J167" i="8"/>
  <c r="I167" i="8"/>
  <c r="E155" i="8"/>
  <c r="C144" i="8"/>
  <c r="I139" i="8"/>
  <c r="I137" i="8"/>
  <c r="I135" i="8"/>
  <c r="E137" i="8"/>
  <c r="V124" i="8"/>
  <c r="N124" i="8"/>
  <c r="F124" i="8"/>
  <c r="V123" i="8"/>
  <c r="N123" i="8"/>
  <c r="F123" i="8"/>
  <c r="V122" i="8"/>
  <c r="N122" i="8"/>
  <c r="F122" i="8"/>
  <c r="V121" i="8"/>
  <c r="N121" i="8"/>
  <c r="F121" i="8"/>
  <c r="U120" i="8"/>
  <c r="T120" i="8"/>
  <c r="S120" i="8"/>
  <c r="M120" i="8"/>
  <c r="L120" i="8"/>
  <c r="K120" i="8"/>
  <c r="E120" i="8"/>
  <c r="D120" i="8"/>
  <c r="C120" i="8"/>
  <c r="R119" i="8"/>
  <c r="V118" i="8"/>
  <c r="N118" i="8"/>
  <c r="F118" i="8"/>
  <c r="V117" i="8"/>
  <c r="N117" i="8"/>
  <c r="F117" i="8"/>
  <c r="V116" i="8"/>
  <c r="N116" i="8"/>
  <c r="F116" i="8"/>
  <c r="V115" i="8"/>
  <c r="N115" i="8"/>
  <c r="F115" i="8"/>
  <c r="U114" i="8"/>
  <c r="T114" i="8"/>
  <c r="S114" i="8"/>
  <c r="M114" i="8"/>
  <c r="L114" i="8"/>
  <c r="K114" i="8"/>
  <c r="V112" i="8"/>
  <c r="N112" i="8"/>
  <c r="F112" i="8"/>
  <c r="V111" i="8"/>
  <c r="N111" i="8"/>
  <c r="F111" i="8"/>
  <c r="V110" i="8"/>
  <c r="N110" i="8"/>
  <c r="F110" i="8"/>
  <c r="V109" i="8"/>
  <c r="N109" i="8"/>
  <c r="F109" i="8"/>
  <c r="V108" i="8"/>
  <c r="N108" i="8"/>
  <c r="F108" i="8"/>
  <c r="V107" i="8"/>
  <c r="N107" i="8"/>
  <c r="F107" i="8"/>
  <c r="U106" i="8"/>
  <c r="T106" i="8"/>
  <c r="S106" i="8"/>
  <c r="M106" i="8"/>
  <c r="L106" i="8"/>
  <c r="K106" i="8"/>
  <c r="E106" i="8"/>
  <c r="D106" i="8"/>
  <c r="C106" i="8"/>
  <c r="V104" i="8"/>
  <c r="N104" i="8"/>
  <c r="F104" i="8"/>
  <c r="V103" i="8"/>
  <c r="N103" i="8"/>
  <c r="F103" i="8"/>
  <c r="V102" i="8"/>
  <c r="N102" i="8"/>
  <c r="F102" i="8"/>
  <c r="V101" i="8"/>
  <c r="N101" i="8"/>
  <c r="F101" i="8"/>
  <c r="V100" i="8"/>
  <c r="N100" i="8"/>
  <c r="F100" i="8"/>
  <c r="V99" i="8"/>
  <c r="N99" i="8"/>
  <c r="F99" i="8"/>
  <c r="R95" i="8"/>
  <c r="J95" i="8"/>
  <c r="B95" i="8"/>
  <c r="V93" i="8"/>
  <c r="O93" i="8"/>
  <c r="N93" i="8"/>
  <c r="F93" i="8"/>
  <c r="V92" i="8"/>
  <c r="N92" i="8"/>
  <c r="F92" i="8"/>
  <c r="V91" i="8"/>
  <c r="O91" i="8"/>
  <c r="N91" i="8"/>
  <c r="F91" i="8"/>
  <c r="X90" i="8"/>
  <c r="V90" i="8"/>
  <c r="P90" i="8"/>
  <c r="O92" i="8" s="1"/>
  <c r="O90" i="8"/>
  <c r="N90" i="8"/>
  <c r="H90" i="8"/>
  <c r="G93" i="8" s="1"/>
  <c r="F90" i="8"/>
  <c r="U89" i="8"/>
  <c r="T89" i="8"/>
  <c r="S89" i="8"/>
  <c r="M89" i="8"/>
  <c r="L89" i="8"/>
  <c r="K89" i="8"/>
  <c r="E89" i="8"/>
  <c r="D89" i="8"/>
  <c r="C89" i="8"/>
  <c r="R88" i="8"/>
  <c r="W87" i="8"/>
  <c r="V87" i="8"/>
  <c r="N87" i="8"/>
  <c r="G87" i="8"/>
  <c r="F87" i="8"/>
  <c r="W86" i="8"/>
  <c r="V86" i="8"/>
  <c r="N86" i="8"/>
  <c r="F86" i="8"/>
  <c r="W85" i="8"/>
  <c r="V85" i="8"/>
  <c r="N85" i="8"/>
  <c r="F85" i="8"/>
  <c r="W84" i="8"/>
  <c r="V84" i="8"/>
  <c r="P84" i="8"/>
  <c r="O84" i="8" s="1"/>
  <c r="N84" i="8"/>
  <c r="H84" i="8"/>
  <c r="G85" i="8" s="1"/>
  <c r="F84" i="8"/>
  <c r="U83" i="8"/>
  <c r="T83" i="8"/>
  <c r="S83" i="8"/>
  <c r="M83" i="8"/>
  <c r="L83" i="8"/>
  <c r="K83" i="8"/>
  <c r="R82" i="8"/>
  <c r="V81" i="8"/>
  <c r="N81" i="8"/>
  <c r="F81" i="8"/>
  <c r="V80" i="8"/>
  <c r="N80" i="8"/>
  <c r="F80" i="8"/>
  <c r="V79" i="8"/>
  <c r="N79" i="8"/>
  <c r="G79" i="8"/>
  <c r="F79" i="8"/>
  <c r="V78" i="8"/>
  <c r="N78" i="8"/>
  <c r="F78" i="8"/>
  <c r="V77" i="8"/>
  <c r="N77" i="8"/>
  <c r="F77" i="8"/>
  <c r="X76" i="8"/>
  <c r="W78" i="8" s="1"/>
  <c r="V76" i="8"/>
  <c r="P76" i="8"/>
  <c r="N76" i="8"/>
  <c r="H76" i="8"/>
  <c r="G80" i="8" s="1"/>
  <c r="G76" i="8"/>
  <c r="F76" i="8"/>
  <c r="U75" i="8"/>
  <c r="T75" i="8"/>
  <c r="S75" i="8"/>
  <c r="M75" i="8"/>
  <c r="L75" i="8"/>
  <c r="K75" i="8"/>
  <c r="E75" i="8"/>
  <c r="E83" i="8" s="1"/>
  <c r="D75" i="8"/>
  <c r="D83" i="8" s="1"/>
  <c r="C75" i="8"/>
  <c r="C83" i="8" s="1"/>
  <c r="V73" i="8"/>
  <c r="N73" i="8"/>
  <c r="F73" i="8"/>
  <c r="V72" i="8"/>
  <c r="N72" i="8"/>
  <c r="F72" i="8"/>
  <c r="V71" i="8"/>
  <c r="N71" i="8"/>
  <c r="F71" i="8"/>
  <c r="V70" i="8"/>
  <c r="N70" i="8"/>
  <c r="F70" i="8"/>
  <c r="V69" i="8"/>
  <c r="N69" i="8"/>
  <c r="F69" i="8"/>
  <c r="X68" i="8"/>
  <c r="W72" i="8" s="1"/>
  <c r="W68" i="8"/>
  <c r="V68" i="8"/>
  <c r="P68" i="8"/>
  <c r="O73" i="8" s="1"/>
  <c r="N68" i="8"/>
  <c r="H68" i="8"/>
  <c r="G73" i="8" s="1"/>
  <c r="F68" i="8"/>
  <c r="R64" i="8"/>
  <c r="J64" i="8"/>
  <c r="B64" i="8"/>
  <c r="V62" i="8"/>
  <c r="N62" i="8"/>
  <c r="F62" i="8"/>
  <c r="V61" i="8"/>
  <c r="O61" i="8"/>
  <c r="N61" i="8"/>
  <c r="F61" i="8"/>
  <c r="V60" i="8"/>
  <c r="O60" i="8"/>
  <c r="N60" i="8"/>
  <c r="G60" i="8"/>
  <c r="F60" i="8"/>
  <c r="X59" i="8"/>
  <c r="W59" i="8" s="1"/>
  <c r="V59" i="8"/>
  <c r="P59" i="8"/>
  <c r="O62" i="8" s="1"/>
  <c r="N59" i="8"/>
  <c r="H59" i="8"/>
  <c r="F59" i="8"/>
  <c r="U58" i="8"/>
  <c r="T58" i="8"/>
  <c r="S58" i="8"/>
  <c r="M58" i="8"/>
  <c r="L58" i="8"/>
  <c r="K58" i="8"/>
  <c r="E58" i="8"/>
  <c r="D58" i="8"/>
  <c r="C58" i="8"/>
  <c r="B57" i="8"/>
  <c r="J57" i="8" s="1"/>
  <c r="R57" i="8" s="1"/>
  <c r="W56" i="8"/>
  <c r="V56" i="8"/>
  <c r="N56" i="8"/>
  <c r="F56" i="8"/>
  <c r="V55" i="8"/>
  <c r="N55" i="8"/>
  <c r="F55" i="8"/>
  <c r="V54" i="8"/>
  <c r="N54" i="8"/>
  <c r="F54" i="8"/>
  <c r="X53" i="8"/>
  <c r="W54" i="8" s="1"/>
  <c r="W53" i="8"/>
  <c r="V53" i="8"/>
  <c r="P53" i="8"/>
  <c r="O56" i="8" s="1"/>
  <c r="N53" i="8"/>
  <c r="H53" i="8"/>
  <c r="G53" i="8" s="1"/>
  <c r="F53" i="8"/>
  <c r="U52" i="8"/>
  <c r="T52" i="8"/>
  <c r="S52" i="8"/>
  <c r="M52" i="8"/>
  <c r="L52" i="8"/>
  <c r="K52" i="8"/>
  <c r="E52" i="8"/>
  <c r="D52" i="8"/>
  <c r="C52" i="8"/>
  <c r="B51" i="8"/>
  <c r="J51" i="8" s="1"/>
  <c r="R51" i="8" s="1"/>
  <c r="V50" i="8"/>
  <c r="N50" i="8"/>
  <c r="F50" i="8"/>
  <c r="V49" i="8"/>
  <c r="N49" i="8"/>
  <c r="F49" i="8"/>
  <c r="V48" i="8"/>
  <c r="N48" i="8"/>
  <c r="F48" i="8"/>
  <c r="V47" i="8"/>
  <c r="N47" i="8"/>
  <c r="G47" i="8"/>
  <c r="F47" i="8"/>
  <c r="V46" i="8"/>
  <c r="N46" i="8"/>
  <c r="F46" i="8"/>
  <c r="X45" i="8"/>
  <c r="W48" i="8" s="1"/>
  <c r="V45" i="8"/>
  <c r="P45" i="8"/>
  <c r="O50" i="8" s="1"/>
  <c r="N45" i="8"/>
  <c r="H45" i="8"/>
  <c r="G50" i="8" s="1"/>
  <c r="F45" i="8"/>
  <c r="U44" i="8"/>
  <c r="T44" i="8"/>
  <c r="S44" i="8"/>
  <c r="M44" i="8"/>
  <c r="L44" i="8"/>
  <c r="K44" i="8"/>
  <c r="E44" i="8"/>
  <c r="D44" i="8"/>
  <c r="C44" i="8"/>
  <c r="W42" i="8"/>
  <c r="V42" i="8"/>
  <c r="N42" i="8"/>
  <c r="F42" i="8"/>
  <c r="V41" i="8"/>
  <c r="N41" i="8"/>
  <c r="F41" i="8"/>
  <c r="V40" i="8"/>
  <c r="N40" i="8"/>
  <c r="G40" i="8"/>
  <c r="F40" i="8"/>
  <c r="V39" i="8"/>
  <c r="N39" i="8"/>
  <c r="F39" i="8"/>
  <c r="W38" i="8"/>
  <c r="V38" i="8"/>
  <c r="N38" i="8"/>
  <c r="F38" i="8"/>
  <c r="X37" i="8"/>
  <c r="W40" i="8" s="1"/>
  <c r="V37" i="8"/>
  <c r="P37" i="8"/>
  <c r="O37" i="8" s="1"/>
  <c r="N37" i="8"/>
  <c r="H37" i="8"/>
  <c r="G42" i="8" s="1"/>
  <c r="F37" i="8"/>
  <c r="R33" i="8"/>
  <c r="J33" i="8"/>
  <c r="B33" i="8"/>
  <c r="V31" i="8"/>
  <c r="N31" i="8"/>
  <c r="F31" i="8"/>
  <c r="V30" i="8"/>
  <c r="N30" i="8"/>
  <c r="F30" i="8"/>
  <c r="V29" i="8"/>
  <c r="N29" i="8"/>
  <c r="G29" i="8"/>
  <c r="F29" i="8"/>
  <c r="X28" i="8"/>
  <c r="W28" i="8" s="1"/>
  <c r="V28" i="8"/>
  <c r="P28" i="8"/>
  <c r="O31" i="8" s="1"/>
  <c r="N28" i="8"/>
  <c r="H28" i="8"/>
  <c r="F28" i="8"/>
  <c r="U27" i="8"/>
  <c r="T27" i="8"/>
  <c r="S27" i="8"/>
  <c r="M27" i="8"/>
  <c r="L27" i="8"/>
  <c r="K27" i="8"/>
  <c r="E27" i="8"/>
  <c r="D27" i="8"/>
  <c r="C27" i="8"/>
  <c r="R26" i="8"/>
  <c r="J26" i="8"/>
  <c r="W25" i="8"/>
  <c r="V25" i="8"/>
  <c r="N25" i="8"/>
  <c r="F25" i="8"/>
  <c r="V24" i="8"/>
  <c r="N24" i="8"/>
  <c r="F24" i="8"/>
  <c r="W23" i="8"/>
  <c r="V23" i="8"/>
  <c r="N23" i="8"/>
  <c r="F23" i="8"/>
  <c r="X22" i="8"/>
  <c r="W24" i="8" s="1"/>
  <c r="W22" i="8"/>
  <c r="V22" i="8"/>
  <c r="P22" i="8"/>
  <c r="O25" i="8" s="1"/>
  <c r="N22" i="8"/>
  <c r="F22" i="8"/>
  <c r="U21" i="8"/>
  <c r="T21" i="8"/>
  <c r="S21" i="8"/>
  <c r="M21" i="8"/>
  <c r="L21" i="8"/>
  <c r="K21" i="8"/>
  <c r="R20" i="8"/>
  <c r="J20" i="8"/>
  <c r="V19" i="8"/>
  <c r="N19" i="8"/>
  <c r="F19" i="8"/>
  <c r="V18" i="8"/>
  <c r="N18" i="8"/>
  <c r="F18" i="8"/>
  <c r="V17" i="8"/>
  <c r="N17" i="8"/>
  <c r="F17" i="8"/>
  <c r="V16" i="8"/>
  <c r="N16" i="8"/>
  <c r="F16" i="8"/>
  <c r="V15" i="8"/>
  <c r="N15" i="8"/>
  <c r="F15" i="8"/>
  <c r="X14" i="8"/>
  <c r="W18" i="8" s="1"/>
  <c r="V14" i="8"/>
  <c r="P14" i="8"/>
  <c r="O17" i="8" s="1"/>
  <c r="N14" i="8"/>
  <c r="H14" i="8"/>
  <c r="G19" i="8" s="1"/>
  <c r="F14" i="8"/>
  <c r="U13" i="8"/>
  <c r="T13" i="8"/>
  <c r="S13" i="8"/>
  <c r="M13" i="8"/>
  <c r="L13" i="8"/>
  <c r="K13" i="8"/>
  <c r="E13" i="8"/>
  <c r="D13" i="8"/>
  <c r="C13" i="8"/>
  <c r="V11" i="8"/>
  <c r="N11" i="8"/>
  <c r="F11" i="8"/>
  <c r="V10" i="8"/>
  <c r="N10" i="8"/>
  <c r="F10" i="8"/>
  <c r="V9" i="8"/>
  <c r="N9" i="8"/>
  <c r="F9" i="8"/>
  <c r="V8" i="8"/>
  <c r="O8" i="8"/>
  <c r="N8" i="8"/>
  <c r="F8" i="8"/>
  <c r="V7" i="8"/>
  <c r="O7" i="8"/>
  <c r="N7" i="8"/>
  <c r="F7" i="8"/>
  <c r="X6" i="8"/>
  <c r="W10" i="8" s="1"/>
  <c r="W6" i="8"/>
  <c r="V6" i="8"/>
  <c r="P6" i="8"/>
  <c r="O9" i="8" s="1"/>
  <c r="N6" i="8"/>
  <c r="H6" i="8"/>
  <c r="G7" i="8" s="1"/>
  <c r="F6" i="8"/>
  <c r="R2" i="8"/>
  <c r="J2" i="8"/>
  <c r="B2" i="8"/>
  <c r="O16" i="8" l="1"/>
  <c r="W31" i="8"/>
  <c r="G39" i="8"/>
  <c r="G41" i="8"/>
  <c r="F33" i="9"/>
  <c r="O28" i="8"/>
  <c r="W29" i="8"/>
  <c r="W37" i="8"/>
  <c r="O46" i="8"/>
  <c r="W50" i="8"/>
  <c r="G72" i="8"/>
  <c r="A35" i="9"/>
  <c r="O35" i="9" s="1"/>
  <c r="O50" i="9" s="1"/>
  <c r="O65" i="9" s="1"/>
  <c r="G70" i="8"/>
  <c r="O6" i="8"/>
  <c r="O15" i="8"/>
  <c r="G49" i="8"/>
  <c r="O59" i="8"/>
  <c r="W62" i="8"/>
  <c r="O14" i="8"/>
  <c r="W45" i="8"/>
  <c r="G90" i="8"/>
  <c r="W8" i="8"/>
  <c r="W81" i="8"/>
  <c r="W70" i="8"/>
  <c r="O11" i="8"/>
  <c r="W15" i="8"/>
  <c r="O19" i="8"/>
  <c r="A50" i="9"/>
  <c r="A65" i="9" s="1"/>
  <c r="A80" i="9" s="1"/>
  <c r="O30" i="8"/>
  <c r="W47" i="8"/>
  <c r="W55" i="8"/>
  <c r="W61" i="8"/>
  <c r="W7" i="8"/>
  <c r="W17" i="8"/>
  <c r="W30" i="8"/>
  <c r="W39" i="8"/>
  <c r="G48" i="8"/>
  <c r="O54" i="8"/>
  <c r="G71" i="8"/>
  <c r="G78" i="8"/>
  <c r="W16" i="8"/>
  <c r="O55" i="8"/>
  <c r="W77" i="8"/>
  <c r="W9" i="8"/>
  <c r="W11" i="8"/>
  <c r="W14" i="8"/>
  <c r="W19" i="8"/>
  <c r="O29" i="8"/>
  <c r="O38" i="8"/>
  <c r="W46" i="8"/>
  <c r="O53" i="8"/>
  <c r="W60" i="8"/>
  <c r="O68" i="8"/>
  <c r="W69" i="8"/>
  <c r="W76" i="8"/>
  <c r="G86" i="8"/>
  <c r="G92" i="8"/>
  <c r="K25" i="4"/>
  <c r="K25" i="7"/>
  <c r="K27" i="7"/>
  <c r="K27" i="4"/>
  <c r="K24" i="7"/>
  <c r="K24" i="4"/>
  <c r="K26" i="4"/>
  <c r="K26" i="7"/>
  <c r="F137" i="8"/>
  <c r="B159" i="8"/>
  <c r="P138" i="8"/>
  <c r="J24" i="4" s="1"/>
  <c r="N24" i="4" s="1"/>
  <c r="I143" i="8"/>
  <c r="D160" i="8"/>
  <c r="B205" i="9"/>
  <c r="B207" i="9" s="1"/>
  <c r="F149" i="8"/>
  <c r="B144" i="8"/>
  <c r="F161" i="8"/>
  <c r="E141" i="8"/>
  <c r="D148" i="8"/>
  <c r="C145" i="8"/>
  <c r="E148" i="8"/>
  <c r="C218" i="9"/>
  <c r="C217" i="9"/>
  <c r="C216" i="9"/>
  <c r="C215" i="9"/>
  <c r="C214" i="9"/>
  <c r="C213" i="9"/>
  <c r="C212" i="9"/>
  <c r="C211" i="9"/>
  <c r="C210" i="9"/>
  <c r="C209" i="9"/>
  <c r="C208" i="9"/>
  <c r="B218" i="9"/>
  <c r="B217" i="9"/>
  <c r="B216" i="9"/>
  <c r="B215" i="9"/>
  <c r="B214" i="9"/>
  <c r="B213" i="9"/>
  <c r="B212" i="9"/>
  <c r="B211" i="9"/>
  <c r="B210" i="9"/>
  <c r="B209" i="9"/>
  <c r="B208" i="9"/>
  <c r="H218" i="9"/>
  <c r="G218" i="9" s="1"/>
  <c r="H217" i="9"/>
  <c r="G217" i="9" s="1"/>
  <c r="H216" i="9"/>
  <c r="G216" i="9" s="1"/>
  <c r="H215" i="9"/>
  <c r="G215" i="9" s="1"/>
  <c r="H214" i="9"/>
  <c r="G214" i="9" s="1"/>
  <c r="H213" i="9"/>
  <c r="G213" i="9" s="1"/>
  <c r="H212" i="9"/>
  <c r="G212" i="9" s="1"/>
  <c r="H211" i="9"/>
  <c r="G211" i="9" s="1"/>
  <c r="H210" i="9"/>
  <c r="G210" i="9" s="1"/>
  <c r="H209" i="9"/>
  <c r="G209" i="9" s="1"/>
  <c r="H208" i="9"/>
  <c r="G208" i="9" s="1"/>
  <c r="A218" i="9"/>
  <c r="A217" i="9"/>
  <c r="A216" i="9"/>
  <c r="A215" i="9"/>
  <c r="A214" i="9"/>
  <c r="A213" i="9"/>
  <c r="A212" i="9"/>
  <c r="A211" i="9"/>
  <c r="A210" i="9"/>
  <c r="A209" i="9"/>
  <c r="A208" i="9"/>
  <c r="D215" i="9"/>
  <c r="D214" i="9"/>
  <c r="D213" i="9"/>
  <c r="D210" i="9"/>
  <c r="D212" i="9"/>
  <c r="D217" i="9"/>
  <c r="D209" i="9"/>
  <c r="D211" i="9"/>
  <c r="D216" i="9"/>
  <c r="D208" i="9"/>
  <c r="D218" i="9"/>
  <c r="O230" i="9"/>
  <c r="T33" i="9"/>
  <c r="T48" i="9" s="1"/>
  <c r="T63" i="9" s="1"/>
  <c r="M33" i="9"/>
  <c r="M48" i="9" s="1"/>
  <c r="M63" i="9" s="1"/>
  <c r="M78" i="9" s="1"/>
  <c r="F48" i="9"/>
  <c r="F63" i="9" s="1"/>
  <c r="F78" i="9" s="1"/>
  <c r="A34" i="9"/>
  <c r="H18" i="9"/>
  <c r="O18" i="9" s="1"/>
  <c r="O85" i="8"/>
  <c r="O87" i="8"/>
  <c r="O86" i="8"/>
  <c r="G134" i="8"/>
  <c r="B142" i="8"/>
  <c r="D145" i="8"/>
  <c r="G149" i="8"/>
  <c r="B135" i="8"/>
  <c r="E140" i="8"/>
  <c r="C146" i="8"/>
  <c r="E151" i="8"/>
  <c r="G14" i="8"/>
  <c r="G17" i="8"/>
  <c r="G18" i="8"/>
  <c r="G16" i="8"/>
  <c r="G15" i="8"/>
  <c r="G145" i="8" s="1"/>
  <c r="O45" i="8"/>
  <c r="G144" i="8" s="1"/>
  <c r="G55" i="8"/>
  <c r="G56" i="8"/>
  <c r="G54" i="8"/>
  <c r="G59" i="8"/>
  <c r="G61" i="8"/>
  <c r="G62" i="8"/>
  <c r="W90" i="8"/>
  <c r="W91" i="8"/>
  <c r="W92" i="8"/>
  <c r="W93" i="8"/>
  <c r="B138" i="8"/>
  <c r="F140" i="8"/>
  <c r="C143" i="8"/>
  <c r="D146" i="8"/>
  <c r="C154" i="8"/>
  <c r="G6" i="8"/>
  <c r="G136" i="8" s="1"/>
  <c r="G10" i="8"/>
  <c r="G8" i="8"/>
  <c r="G9" i="8"/>
  <c r="O22" i="8"/>
  <c r="O23" i="8"/>
  <c r="O24" i="8"/>
  <c r="O39" i="8"/>
  <c r="O40" i="8"/>
  <c r="O41" i="8"/>
  <c r="C136" i="8"/>
  <c r="D143" i="8"/>
  <c r="E147" i="8"/>
  <c r="O81" i="8"/>
  <c r="O77" i="8"/>
  <c r="O76" i="8"/>
  <c r="O79" i="8"/>
  <c r="O78" i="8"/>
  <c r="O72" i="8"/>
  <c r="O70" i="8"/>
  <c r="O71" i="8"/>
  <c r="G28" i="8"/>
  <c r="G30" i="8"/>
  <c r="G31" i="8"/>
  <c r="O80" i="8"/>
  <c r="G162" i="8"/>
  <c r="E161" i="8"/>
  <c r="C160" i="8"/>
  <c r="E158" i="8"/>
  <c r="F156" i="8"/>
  <c r="D155" i="8"/>
  <c r="B154" i="8"/>
  <c r="D151" i="8"/>
  <c r="E149" i="8"/>
  <c r="C148" i="8"/>
  <c r="D147" i="8"/>
  <c r="B146" i="8"/>
  <c r="B145" i="8"/>
  <c r="B143" i="8"/>
  <c r="C141" i="8"/>
  <c r="D140" i="8"/>
  <c r="D137" i="8"/>
  <c r="B136" i="8"/>
  <c r="F134" i="8"/>
  <c r="B161" i="8"/>
  <c r="C156" i="8"/>
  <c r="G150" i="8"/>
  <c r="E138" i="8"/>
  <c r="E135" i="8"/>
  <c r="E159" i="8"/>
  <c r="B156" i="8"/>
  <c r="F154" i="8"/>
  <c r="F150" i="8"/>
  <c r="F146" i="8"/>
  <c r="E144" i="8"/>
  <c r="G142" i="8"/>
  <c r="C139" i="8"/>
  <c r="D138" i="8"/>
  <c r="D135" i="8"/>
  <c r="B162" i="8"/>
  <c r="D159" i="8"/>
  <c r="G155" i="8"/>
  <c r="C153" i="8"/>
  <c r="F148" i="8"/>
  <c r="D144" i="8"/>
  <c r="F142" i="8"/>
  <c r="B139" i="8"/>
  <c r="G137" i="8"/>
  <c r="C135" i="8"/>
  <c r="G161" i="8"/>
  <c r="E160" i="8"/>
  <c r="B157" i="8"/>
  <c r="D154" i="8"/>
  <c r="A179" i="8"/>
  <c r="N166" i="8" s="1"/>
  <c r="O179" i="8" s="1"/>
  <c r="F162" i="8"/>
  <c r="D161" i="8"/>
  <c r="B160" i="8"/>
  <c r="D158" i="8"/>
  <c r="E156" i="8"/>
  <c r="C155" i="8"/>
  <c r="G153" i="8"/>
  <c r="C151" i="8"/>
  <c r="D149" i="8"/>
  <c r="B148" i="8"/>
  <c r="C147" i="8"/>
  <c r="B141" i="8"/>
  <c r="C140" i="8"/>
  <c r="F139" i="8"/>
  <c r="C137" i="8"/>
  <c r="B134" i="8"/>
  <c r="D162" i="8"/>
  <c r="F159" i="8"/>
  <c r="B158" i="8"/>
  <c r="G154" i="8"/>
  <c r="B149" i="8"/>
  <c r="D139" i="8"/>
  <c r="E146" i="8"/>
  <c r="C138" i="8"/>
  <c r="E162" i="8"/>
  <c r="C161" i="8"/>
  <c r="G159" i="8"/>
  <c r="C158" i="8"/>
  <c r="D156" i="8"/>
  <c r="B155" i="8"/>
  <c r="F153" i="8"/>
  <c r="B151" i="8"/>
  <c r="C149" i="8"/>
  <c r="B147" i="8"/>
  <c r="B140" i="8"/>
  <c r="E139" i="8"/>
  <c r="F138" i="8"/>
  <c r="B137" i="8"/>
  <c r="B133" i="8"/>
  <c r="E153" i="8"/>
  <c r="F144" i="8"/>
  <c r="B132" i="8"/>
  <c r="C162" i="8"/>
  <c r="G160" i="8"/>
  <c r="G157" i="8"/>
  <c r="D153" i="8"/>
  <c r="F145" i="8"/>
  <c r="F136" i="8"/>
  <c r="A132" i="8"/>
  <c r="F160" i="8"/>
  <c r="F157" i="8"/>
  <c r="E154" i="8"/>
  <c r="B150" i="8"/>
  <c r="E145" i="8"/>
  <c r="E143" i="8"/>
  <c r="F141" i="8"/>
  <c r="E136" i="8"/>
  <c r="C159" i="8"/>
  <c r="F155" i="8"/>
  <c r="B153" i="8"/>
  <c r="G11" i="8"/>
  <c r="O42" i="8"/>
  <c r="G141" i="8" s="1"/>
  <c r="O48" i="8"/>
  <c r="G147" i="8" s="1"/>
  <c r="O49" i="8"/>
  <c r="G148" i="8" s="1"/>
  <c r="O47" i="8"/>
  <c r="G146" i="8" s="1"/>
  <c r="O69" i="8"/>
  <c r="D136" i="8"/>
  <c r="D141" i="8"/>
  <c r="F147" i="8"/>
  <c r="G156" i="8"/>
  <c r="G91" i="8"/>
  <c r="W80" i="8"/>
  <c r="O10" i="8"/>
  <c r="O18" i="8"/>
  <c r="W41" i="8"/>
  <c r="W49" i="8"/>
  <c r="G37" i="8"/>
  <c r="G45" i="8"/>
  <c r="G68" i="8"/>
  <c r="G77" i="8"/>
  <c r="W79" i="8"/>
  <c r="G81" i="8"/>
  <c r="G84" i="8"/>
  <c r="I145" i="8"/>
  <c r="I141" i="8"/>
  <c r="G38" i="8"/>
  <c r="G46" i="8"/>
  <c r="G69" i="8"/>
  <c r="W71" i="8"/>
  <c r="G138" i="8" l="1"/>
  <c r="H35" i="9"/>
  <c r="H50" i="9" s="1"/>
  <c r="H65" i="9" s="1"/>
  <c r="H80" i="9" s="1"/>
  <c r="G139" i="8"/>
  <c r="G140" i="8"/>
  <c r="K143" i="8"/>
  <c r="O141" i="8" s="1"/>
  <c r="P141" i="8" s="1"/>
  <c r="J27" i="4" s="1"/>
  <c r="N27" i="4" s="1"/>
  <c r="C207" i="9"/>
  <c r="D207" i="9"/>
  <c r="K137" i="8"/>
  <c r="K141" i="8"/>
  <c r="O140" i="8" s="1"/>
  <c r="P140" i="8" s="1"/>
  <c r="J26" i="4" s="1"/>
  <c r="K139" i="8"/>
  <c r="O139" i="8" s="1"/>
  <c r="F214" i="9"/>
  <c r="E214" i="9"/>
  <c r="F208" i="9"/>
  <c r="E208" i="9"/>
  <c r="F218" i="9"/>
  <c r="E218" i="9"/>
  <c r="E211" i="9"/>
  <c r="F211" i="9"/>
  <c r="F215" i="9"/>
  <c r="E215" i="9"/>
  <c r="F217" i="9"/>
  <c r="E217" i="9"/>
  <c r="F210" i="9"/>
  <c r="E210" i="9"/>
  <c r="E212" i="9"/>
  <c r="F212" i="9"/>
  <c r="E216" i="9"/>
  <c r="F216" i="9"/>
  <c r="A49" i="9"/>
  <c r="A64" i="9" s="1"/>
  <c r="A79" i="9" s="1"/>
  <c r="O34" i="9"/>
  <c r="O49" i="9" s="1"/>
  <c r="O64" i="9" s="1"/>
  <c r="H34" i="9"/>
  <c r="H49" i="9" s="1"/>
  <c r="H64" i="9" s="1"/>
  <c r="H79" i="9" s="1"/>
  <c r="F209" i="9"/>
  <c r="E209" i="9"/>
  <c r="F213" i="9"/>
  <c r="E213" i="9"/>
  <c r="K145" i="8"/>
  <c r="O142" i="8" s="1"/>
  <c r="P142" i="8" s="1"/>
  <c r="V20" i="4" s="1"/>
  <c r="K135" i="8"/>
  <c r="O137" i="8" s="1"/>
  <c r="P137" i="8" s="1"/>
  <c r="O147" i="8" l="1"/>
  <c r="P139" i="8"/>
  <c r="J25" i="4" s="1"/>
  <c r="C227" i="9"/>
  <c r="D227" i="9" s="1"/>
  <c r="K52" i="2" s="1"/>
  <c r="N143" i="8"/>
  <c r="Q137" i="8"/>
  <c r="E16" i="7" s="1"/>
  <c r="N25" i="4" l="1"/>
  <c r="J25" i="7"/>
  <c r="J227" i="9"/>
  <c r="D91" i="3" s="1"/>
  <c r="H227" i="9"/>
  <c r="I227" i="9"/>
  <c r="F227" i="9"/>
  <c r="G227" i="9" s="1"/>
  <c r="L227" i="9"/>
  <c r="D92" i="3" s="1"/>
  <c r="O143" i="8"/>
  <c r="Q143" i="8" s="1"/>
  <c r="F16" i="7" s="1"/>
  <c r="N144" i="8" l="1"/>
  <c r="N147" i="8" l="1"/>
  <c r="P147" i="8" s="1"/>
  <c r="E16" i="4"/>
  <c r="D7" i="7"/>
  <c r="A7" i="7"/>
  <c r="J91" i="7" l="1"/>
  <c r="W54" i="4"/>
  <c r="U54" i="4"/>
  <c r="G54" i="7"/>
  <c r="H54" i="7"/>
  <c r="A1" i="7"/>
  <c r="B40" i="7"/>
  <c r="B29" i="7"/>
  <c r="D5" i="7"/>
  <c r="D6" i="7"/>
  <c r="D8" i="7"/>
  <c r="D9" i="7"/>
  <c r="D10" i="7"/>
  <c r="D11" i="7"/>
  <c r="D4" i="7"/>
  <c r="Q80" i="3"/>
  <c r="E80" i="3"/>
  <c r="P60" i="3"/>
  <c r="P59" i="3"/>
  <c r="D60" i="3"/>
  <c r="D59" i="3"/>
  <c r="Q56" i="3"/>
  <c r="T61" i="3" s="1"/>
  <c r="E56" i="3"/>
  <c r="Q63" i="3"/>
  <c r="E63" i="3"/>
  <c r="Q61" i="3"/>
  <c r="E61" i="3"/>
  <c r="P47" i="3"/>
  <c r="D47" i="3"/>
  <c r="G47" i="3" s="1"/>
  <c r="H50" i="3"/>
  <c r="D46" i="3"/>
  <c r="Q43" i="3"/>
  <c r="T47" i="3" s="1"/>
  <c r="E43" i="3"/>
  <c r="H48" i="3" s="1"/>
  <c r="Q50" i="3"/>
  <c r="E50" i="3"/>
  <c r="Q48" i="3"/>
  <c r="E48" i="3"/>
  <c r="P21" i="3"/>
  <c r="S21" i="3" s="1"/>
  <c r="P20" i="3"/>
  <c r="D34" i="3"/>
  <c r="G34" i="3" s="1"/>
  <c r="D33" i="3"/>
  <c r="Q30" i="3"/>
  <c r="H36" i="3"/>
  <c r="E30" i="3"/>
  <c r="H34" i="3" s="1"/>
  <c r="Q37" i="3"/>
  <c r="E37" i="3"/>
  <c r="T36" i="3"/>
  <c r="Q35" i="3"/>
  <c r="E35" i="3"/>
  <c r="Q17" i="3"/>
  <c r="T21" i="3" s="1"/>
  <c r="D21" i="3"/>
  <c r="E17" i="3"/>
  <c r="H21" i="3" s="1"/>
  <c r="Q24" i="3"/>
  <c r="E24" i="3"/>
  <c r="Q22" i="3"/>
  <c r="S22" i="3" s="1"/>
  <c r="E22" i="3"/>
  <c r="E4" i="3"/>
  <c r="Q4" i="3"/>
  <c r="T9" i="3" s="1"/>
  <c r="P8" i="3"/>
  <c r="D8" i="3"/>
  <c r="G8" i="3" s="1"/>
  <c r="T11" i="3"/>
  <c r="H23" i="3"/>
  <c r="T23" i="3"/>
  <c r="H45" i="3"/>
  <c r="H62" i="3"/>
  <c r="T49" i="3"/>
  <c r="T58" i="3"/>
  <c r="T63" i="3"/>
  <c r="H24" i="3"/>
  <c r="T19" i="3"/>
  <c r="T24" i="3"/>
  <c r="T37" i="3"/>
  <c r="H32" i="3"/>
  <c r="H37" i="3"/>
  <c r="H19" i="3"/>
  <c r="H49" i="3"/>
  <c r="T45" i="3"/>
  <c r="T50" i="3"/>
  <c r="H58" i="3"/>
  <c r="H63" i="3"/>
  <c r="T62" i="3"/>
  <c r="H11" i="3"/>
  <c r="T10" i="3"/>
  <c r="H10" i="3"/>
  <c r="T6" i="3"/>
  <c r="Q9" i="3"/>
  <c r="S9" i="3" s="1"/>
  <c r="E9" i="3"/>
  <c r="S8" i="3"/>
  <c r="G77" i="4"/>
  <c r="Q178" i="3"/>
  <c r="B61" i="4"/>
  <c r="B67" i="7" s="1"/>
  <c r="B58" i="4"/>
  <c r="B64" i="7" s="1"/>
  <c r="B59" i="4"/>
  <c r="B65" i="7" s="1"/>
  <c r="B60" i="4"/>
  <c r="B66" i="7" s="1"/>
  <c r="P61" i="3"/>
  <c r="S61" i="3" s="1"/>
  <c r="P48" i="3"/>
  <c r="S48" i="3" s="1"/>
  <c r="D35" i="3"/>
  <c r="G35" i="3" s="1"/>
  <c r="P22" i="3"/>
  <c r="D9" i="3"/>
  <c r="D61" i="3"/>
  <c r="G61" i="3" s="1"/>
  <c r="D48" i="3"/>
  <c r="G48" i="3" s="1"/>
  <c r="P35" i="3"/>
  <c r="D22" i="3"/>
  <c r="P9" i="3"/>
  <c r="S54" i="4"/>
  <c r="T49" i="4"/>
  <c r="U49" i="4"/>
  <c r="V49" i="4"/>
  <c r="W49" i="4"/>
  <c r="X49" i="4"/>
  <c r="C49" i="4"/>
  <c r="C49" i="7" s="1"/>
  <c r="C54" i="4"/>
  <c r="C54" i="7" s="1"/>
  <c r="C38" i="4"/>
  <c r="P78" i="3"/>
  <c r="D78" i="3"/>
  <c r="N75" i="3"/>
  <c r="B75" i="3"/>
  <c r="Q78" i="3"/>
  <c r="E78" i="3"/>
  <c r="Q77" i="3"/>
  <c r="P77" i="3"/>
  <c r="E77" i="3"/>
  <c r="D77" i="3"/>
  <c r="E89" i="3"/>
  <c r="C87" i="3"/>
  <c r="D89" i="3"/>
  <c r="G89" i="3" s="1"/>
  <c r="I89" i="3" s="1"/>
  <c r="J47" i="2"/>
  <c r="D215" i="10" s="1"/>
  <c r="L207" i="10" s="1"/>
  <c r="M207" i="10" s="1"/>
  <c r="J37" i="2"/>
  <c r="D195" i="10" s="1"/>
  <c r="L186" i="10" s="1"/>
  <c r="B68" i="4"/>
  <c r="B74" i="7" s="1"/>
  <c r="B40" i="4"/>
  <c r="C45" i="4"/>
  <c r="C45" i="7" s="1"/>
  <c r="C46" i="4"/>
  <c r="C46" i="7" s="1"/>
  <c r="C47" i="4"/>
  <c r="C48" i="4"/>
  <c r="C48" i="7" s="1"/>
  <c r="C44" i="4"/>
  <c r="E3" i="3"/>
  <c r="E74" i="3" s="1"/>
  <c r="Q3" i="3"/>
  <c r="Q74" i="3" s="1"/>
  <c r="B29" i="4"/>
  <c r="N56" i="3"/>
  <c r="N43" i="3"/>
  <c r="N30" i="3"/>
  <c r="N17" i="3"/>
  <c r="N4" i="3"/>
  <c r="E92" i="3"/>
  <c r="E91" i="3"/>
  <c r="E90" i="3"/>
  <c r="Q59" i="3"/>
  <c r="Q58" i="3"/>
  <c r="Q46" i="3"/>
  <c r="P46" i="3"/>
  <c r="Q45" i="3"/>
  <c r="Q33" i="3"/>
  <c r="P33" i="3"/>
  <c r="S33" i="3" s="1"/>
  <c r="U33" i="3" s="1"/>
  <c r="W33" i="3" s="1"/>
  <c r="Q32" i="3"/>
  <c r="S32" i="3" s="1"/>
  <c r="U32" i="3" s="1"/>
  <c r="V32" i="3" s="1"/>
  <c r="Q20" i="3"/>
  <c r="Q19" i="3"/>
  <c r="Q11" i="3"/>
  <c r="Q7" i="3"/>
  <c r="P7" i="3"/>
  <c r="S7" i="3" s="1"/>
  <c r="U7" i="3" s="1"/>
  <c r="V7" i="3" s="1"/>
  <c r="Q6" i="3"/>
  <c r="P58" i="3"/>
  <c r="P45" i="3"/>
  <c r="S45" i="3" s="1"/>
  <c r="U45" i="3" s="1"/>
  <c r="P19" i="3"/>
  <c r="P6" i="3"/>
  <c r="B67" i="4"/>
  <c r="B73" i="7" s="1"/>
  <c r="E11" i="3"/>
  <c r="D20" i="3"/>
  <c r="S59" i="3"/>
  <c r="U59" i="3" s="1"/>
  <c r="D19" i="3"/>
  <c r="D32" i="3"/>
  <c r="D45" i="3"/>
  <c r="D58" i="3"/>
  <c r="D6" i="3"/>
  <c r="B56" i="3"/>
  <c r="E59" i="3"/>
  <c r="E58" i="3"/>
  <c r="G60" i="3"/>
  <c r="S47" i="3"/>
  <c r="S60" i="3"/>
  <c r="S34" i="3"/>
  <c r="C37" i="4"/>
  <c r="C37" i="7" s="1"/>
  <c r="C33" i="4"/>
  <c r="C33" i="7" s="1"/>
  <c r="C34" i="4"/>
  <c r="C34" i="7" s="1"/>
  <c r="C35" i="4"/>
  <c r="C35" i="7" s="1"/>
  <c r="C36" i="4"/>
  <c r="C36" i="7" s="1"/>
  <c r="B57" i="4"/>
  <c r="B63" i="7" s="1"/>
  <c r="B65" i="4"/>
  <c r="B71" i="7" s="1"/>
  <c r="B66" i="4"/>
  <c r="B72" i="7" s="1"/>
  <c r="B74" i="4"/>
  <c r="B4" i="3"/>
  <c r="E6" i="3"/>
  <c r="D7" i="3"/>
  <c r="E7" i="3"/>
  <c r="B17" i="3"/>
  <c r="E19" i="3"/>
  <c r="E20" i="3"/>
  <c r="B30" i="3"/>
  <c r="E32" i="3"/>
  <c r="E33" i="3"/>
  <c r="B43" i="3"/>
  <c r="E45" i="3"/>
  <c r="E46" i="3"/>
  <c r="G15" i="2"/>
  <c r="G33" i="3"/>
  <c r="I33" i="3" s="1"/>
  <c r="K33" i="3" s="1"/>
  <c r="G21" i="3"/>
  <c r="G22" i="3" l="1"/>
  <c r="S20" i="3"/>
  <c r="U20" i="3" s="1"/>
  <c r="G46" i="3"/>
  <c r="I46" i="3" s="1"/>
  <c r="L342" i="11"/>
  <c r="G59" i="3"/>
  <c r="I59" i="3" s="1"/>
  <c r="G9" i="3"/>
  <c r="S78" i="3"/>
  <c r="U78" i="3" s="1"/>
  <c r="W78" i="3" s="1"/>
  <c r="J33" i="3"/>
  <c r="G20" i="3"/>
  <c r="I20" i="3" s="1"/>
  <c r="K20" i="3" s="1"/>
  <c r="G78" i="3"/>
  <c r="I78" i="3" s="1"/>
  <c r="J78" i="3" s="1"/>
  <c r="J46" i="3"/>
  <c r="K46" i="3"/>
  <c r="V59" i="3"/>
  <c r="W59" i="3"/>
  <c r="K78" i="3"/>
  <c r="S35" i="3"/>
  <c r="G77" i="3"/>
  <c r="I77" i="3" s="1"/>
  <c r="K77" i="3" s="1"/>
  <c r="T36" i="4"/>
  <c r="J35" i="2" s="1"/>
  <c r="D193" i="10" s="1"/>
  <c r="L184" i="10" s="1"/>
  <c r="M184" i="10" s="1"/>
  <c r="E193" i="10" s="1"/>
  <c r="F193" i="10" s="1"/>
  <c r="T35" i="4"/>
  <c r="T37" i="4"/>
  <c r="J36" i="2" s="1"/>
  <c r="D194" i="10" s="1"/>
  <c r="L185" i="10" s="1"/>
  <c r="M185" i="10" s="1"/>
  <c r="E194" i="10" s="1"/>
  <c r="F194" i="10" s="1"/>
  <c r="T34" i="4"/>
  <c r="V33" i="3"/>
  <c r="S77" i="3"/>
  <c r="U77" i="3" s="1"/>
  <c r="J24" i="7"/>
  <c r="M186" i="10"/>
  <c r="E195" i="10" s="1"/>
  <c r="F195" i="10" s="1"/>
  <c r="U61" i="3"/>
  <c r="V61" i="3" s="1"/>
  <c r="T35" i="3"/>
  <c r="T34" i="3"/>
  <c r="U34" i="3" s="1"/>
  <c r="H8" i="3"/>
  <c r="I8" i="3" s="1"/>
  <c r="K8" i="3" s="1"/>
  <c r="H9" i="3"/>
  <c r="I9" i="3" s="1"/>
  <c r="J9" i="3" s="1"/>
  <c r="C38" i="7"/>
  <c r="F38" i="4"/>
  <c r="F38" i="7" s="1"/>
  <c r="E38" i="4"/>
  <c r="J32" i="2"/>
  <c r="D190" i="10" s="1"/>
  <c r="L181" i="10" s="1"/>
  <c r="M181" i="10" s="1"/>
  <c r="E190" i="10" s="1"/>
  <c r="F190" i="10" s="1"/>
  <c r="U9" i="3"/>
  <c r="V9" i="3" s="1"/>
  <c r="T48" i="3"/>
  <c r="U48" i="3" s="1"/>
  <c r="W48" i="3" s="1"/>
  <c r="T22" i="3"/>
  <c r="U22" i="3" s="1"/>
  <c r="W22" i="3" s="1"/>
  <c r="G45" i="3"/>
  <c r="I45" i="3" s="1"/>
  <c r="J45" i="3" s="1"/>
  <c r="G32" i="3"/>
  <c r="I32" i="3" s="1"/>
  <c r="J32" i="3" s="1"/>
  <c r="I34" i="3"/>
  <c r="K34" i="3" s="1"/>
  <c r="I48" i="3"/>
  <c r="J48" i="3" s="1"/>
  <c r="T60" i="3"/>
  <c r="U60" i="3" s="1"/>
  <c r="W60" i="3" s="1"/>
  <c r="H35" i="3"/>
  <c r="I35" i="3" s="1"/>
  <c r="J35" i="3" s="1"/>
  <c r="J33" i="2"/>
  <c r="D191" i="10" s="1"/>
  <c r="L182" i="10" s="1"/>
  <c r="M182" i="10" s="1"/>
  <c r="E191" i="10" s="1"/>
  <c r="F191" i="10" s="1"/>
  <c r="J45" i="2"/>
  <c r="D213" i="10" s="1"/>
  <c r="L205" i="10" s="1"/>
  <c r="M205" i="10" s="1"/>
  <c r="E213" i="10" s="1"/>
  <c r="F213" i="10" s="1"/>
  <c r="I21" i="3"/>
  <c r="K21" i="3" s="1"/>
  <c r="S6" i="3"/>
  <c r="U6" i="3" s="1"/>
  <c r="V6" i="3" s="1"/>
  <c r="H22" i="3"/>
  <c r="I22" i="3" s="1"/>
  <c r="S19" i="3"/>
  <c r="U19" i="3" s="1"/>
  <c r="V19" i="3" s="1"/>
  <c r="H47" i="3"/>
  <c r="I47" i="3" s="1"/>
  <c r="W32" i="3"/>
  <c r="S58" i="3"/>
  <c r="U58" i="3" s="1"/>
  <c r="V58" i="3" s="1"/>
  <c r="G7" i="3"/>
  <c r="I7" i="3" s="1"/>
  <c r="J46" i="2"/>
  <c r="G58" i="3"/>
  <c r="I58" i="3" s="1"/>
  <c r="G19" i="3"/>
  <c r="I19" i="3" s="1"/>
  <c r="K19" i="3" s="1"/>
  <c r="S46" i="3"/>
  <c r="U46" i="3" s="1"/>
  <c r="W46" i="3" s="1"/>
  <c r="U47" i="3"/>
  <c r="W47" i="3" s="1"/>
  <c r="B80" i="7"/>
  <c r="C77" i="4"/>
  <c r="V77" i="3"/>
  <c r="W77" i="3"/>
  <c r="J34" i="3"/>
  <c r="J59" i="3"/>
  <c r="K59" i="3"/>
  <c r="K89" i="3"/>
  <c r="J89" i="3"/>
  <c r="J44" i="2"/>
  <c r="D212" i="10" s="1"/>
  <c r="L204" i="10" s="1"/>
  <c r="M204" i="10" s="1"/>
  <c r="E212" i="10" s="1"/>
  <c r="F212" i="10" s="1"/>
  <c r="V45" i="3"/>
  <c r="W45" i="3"/>
  <c r="C47" i="7"/>
  <c r="H61" i="3"/>
  <c r="I61" i="3" s="1"/>
  <c r="H60" i="3"/>
  <c r="I60" i="3" s="1"/>
  <c r="W20" i="3"/>
  <c r="V20" i="3"/>
  <c r="J20" i="3"/>
  <c r="W7" i="3"/>
  <c r="C44" i="7"/>
  <c r="T8" i="3"/>
  <c r="U8" i="3" s="1"/>
  <c r="J77" i="3"/>
  <c r="U21" i="3"/>
  <c r="J43" i="2"/>
  <c r="D211" i="10" s="1"/>
  <c r="L203" i="10" s="1"/>
  <c r="M203" i="10" s="1"/>
  <c r="E211" i="10" s="1"/>
  <c r="F211" i="10" s="1"/>
  <c r="G6" i="3"/>
  <c r="I6" i="3" s="1"/>
  <c r="J6" i="3" s="1"/>
  <c r="G90" i="3"/>
  <c r="I90" i="3" s="1"/>
  <c r="D49" i="4"/>
  <c r="J34" i="2"/>
  <c r="D192" i="10" s="1"/>
  <c r="L183" i="10" s="1"/>
  <c r="M183" i="10" s="1"/>
  <c r="E192" i="10" s="1"/>
  <c r="F192" i="10" s="1"/>
  <c r="V78" i="3" l="1"/>
  <c r="W61" i="3"/>
  <c r="F350" i="11"/>
  <c r="J350" i="11" s="1"/>
  <c r="M342" i="11" s="1"/>
  <c r="U35" i="3"/>
  <c r="V35" i="3" s="1"/>
  <c r="V46" i="3"/>
  <c r="V34" i="3"/>
  <c r="V38" i="3" s="1"/>
  <c r="V39" i="3" s="1"/>
  <c r="W34" i="3"/>
  <c r="W38" i="3" s="1"/>
  <c r="N186" i="10"/>
  <c r="L195" i="10"/>
  <c r="K195" i="10"/>
  <c r="I195" i="10"/>
  <c r="J195" i="10" s="1"/>
  <c r="W35" i="3"/>
  <c r="W9" i="3"/>
  <c r="K44" i="2"/>
  <c r="N204" i="10"/>
  <c r="L212" i="10"/>
  <c r="I212" i="10"/>
  <c r="J212" i="10" s="1"/>
  <c r="K212" i="10"/>
  <c r="L190" i="10"/>
  <c r="I190" i="10"/>
  <c r="J190" i="10" s="1"/>
  <c r="N181" i="10"/>
  <c r="K190" i="10"/>
  <c r="K32" i="2"/>
  <c r="D48" i="4"/>
  <c r="E48" i="4" s="1"/>
  <c r="E48" i="7" s="1"/>
  <c r="D214" i="10"/>
  <c r="L206" i="10" s="1"/>
  <c r="M206" i="10" s="1"/>
  <c r="N203" i="10"/>
  <c r="K43" i="2"/>
  <c r="K211" i="10"/>
  <c r="I211" i="10"/>
  <c r="J211" i="10" s="1"/>
  <c r="L211" i="10"/>
  <c r="K45" i="2"/>
  <c r="N205" i="10"/>
  <c r="I213" i="10"/>
  <c r="J213" i="10" s="1"/>
  <c r="L213" i="10"/>
  <c r="K213" i="10"/>
  <c r="K33" i="2"/>
  <c r="L191" i="10"/>
  <c r="K191" i="10"/>
  <c r="N182" i="10"/>
  <c r="I191" i="10"/>
  <c r="J191" i="10" s="1"/>
  <c r="N183" i="10"/>
  <c r="L192" i="10"/>
  <c r="K192" i="10"/>
  <c r="K34" i="2"/>
  <c r="I192" i="10"/>
  <c r="J192" i="10" s="1"/>
  <c r="K35" i="2"/>
  <c r="L193" i="10"/>
  <c r="K193" i="10"/>
  <c r="I193" i="10"/>
  <c r="J193" i="10" s="1"/>
  <c r="N184" i="10"/>
  <c r="K36" i="2"/>
  <c r="I194" i="10"/>
  <c r="J194" i="10" s="1"/>
  <c r="N185" i="10"/>
  <c r="L194" i="10"/>
  <c r="K194" i="10"/>
  <c r="W19" i="3"/>
  <c r="V22" i="3"/>
  <c r="D47" i="4"/>
  <c r="E47" i="4" s="1"/>
  <c r="E47" i="7" s="1"/>
  <c r="K45" i="3"/>
  <c r="K37" i="2"/>
  <c r="V47" i="3"/>
  <c r="V51" i="3" s="1"/>
  <c r="V52" i="3" s="1"/>
  <c r="W58" i="3"/>
  <c r="W64" i="3" s="1"/>
  <c r="K32" i="3"/>
  <c r="K38" i="3" s="1"/>
  <c r="J8" i="3"/>
  <c r="K22" i="3"/>
  <c r="J22" i="3"/>
  <c r="J38" i="3"/>
  <c r="J39" i="3" s="1"/>
  <c r="V60" i="3"/>
  <c r="V64" i="3" s="1"/>
  <c r="V65" i="3" s="1"/>
  <c r="V48" i="3"/>
  <c r="W6" i="3"/>
  <c r="J21" i="3"/>
  <c r="J27" i="7"/>
  <c r="J19" i="3"/>
  <c r="J25" i="3" s="1"/>
  <c r="J26" i="3" s="1"/>
  <c r="K48" i="3"/>
  <c r="K6" i="3"/>
  <c r="D38" i="7"/>
  <c r="K35" i="3"/>
  <c r="E38" i="7"/>
  <c r="J47" i="3"/>
  <c r="J51" i="3" s="1"/>
  <c r="J52" i="3" s="1"/>
  <c r="K47" i="3"/>
  <c r="W51" i="3"/>
  <c r="K58" i="3"/>
  <c r="J58" i="3"/>
  <c r="J7" i="3"/>
  <c r="K7" i="3"/>
  <c r="E49" i="4"/>
  <c r="E49" i="7" s="1"/>
  <c r="D49" i="7"/>
  <c r="W21" i="3"/>
  <c r="V21" i="3"/>
  <c r="V25" i="3" s="1"/>
  <c r="V26" i="3" s="1"/>
  <c r="W8" i="3"/>
  <c r="V8" i="3"/>
  <c r="J90" i="3"/>
  <c r="K90" i="3"/>
  <c r="K93" i="3" s="1"/>
  <c r="K61" i="3"/>
  <c r="J61" i="3"/>
  <c r="J60" i="3"/>
  <c r="K60" i="3"/>
  <c r="F49" i="4"/>
  <c r="F49" i="7" s="1"/>
  <c r="D45" i="4"/>
  <c r="D46" i="4"/>
  <c r="D46" i="7" s="1"/>
  <c r="J93" i="3"/>
  <c r="J94" i="3" s="1"/>
  <c r="K25" i="3"/>
  <c r="K9" i="3"/>
  <c r="E15" i="7" l="1"/>
  <c r="M358" i="11"/>
  <c r="M365" i="11" s="1"/>
  <c r="E15" i="4" s="1"/>
  <c r="L346" i="11"/>
  <c r="V40" i="3"/>
  <c r="V41" i="3" s="1"/>
  <c r="V42" i="3" s="1"/>
  <c r="P186" i="10"/>
  <c r="D79" i="3" s="1"/>
  <c r="O186" i="10"/>
  <c r="F48" i="4"/>
  <c r="J26" i="7"/>
  <c r="S18" i="4"/>
  <c r="D48" i="7"/>
  <c r="O182" i="10"/>
  <c r="P182" i="10"/>
  <c r="D23" i="3" s="1"/>
  <c r="G23" i="3" s="1"/>
  <c r="I23" i="3" s="1"/>
  <c r="O204" i="10"/>
  <c r="P204" i="10"/>
  <c r="P36" i="3" s="1"/>
  <c r="O181" i="10"/>
  <c r="P181" i="10"/>
  <c r="D10" i="3" s="1"/>
  <c r="G10" i="3" s="1"/>
  <c r="I10" i="3" s="1"/>
  <c r="P184" i="10"/>
  <c r="D49" i="3" s="1"/>
  <c r="G49" i="3" s="1"/>
  <c r="I49" i="3" s="1"/>
  <c r="J49" i="3" s="1"/>
  <c r="O184" i="10"/>
  <c r="O203" i="10"/>
  <c r="P203" i="10"/>
  <c r="P23" i="3" s="1"/>
  <c r="W25" i="3"/>
  <c r="V27" i="3" s="1"/>
  <c r="V28" i="3" s="1"/>
  <c r="V29" i="3" s="1"/>
  <c r="O183" i="10"/>
  <c r="P183" i="10"/>
  <c r="D36" i="3" s="1"/>
  <c r="E215" i="10"/>
  <c r="F215" i="10" s="1"/>
  <c r="E214" i="10"/>
  <c r="F214" i="10" s="1"/>
  <c r="P205" i="10"/>
  <c r="P49" i="3" s="1"/>
  <c r="O205" i="10"/>
  <c r="O185" i="10"/>
  <c r="P185" i="10"/>
  <c r="D62" i="3" s="1"/>
  <c r="V43" i="3"/>
  <c r="I46" i="4" s="1"/>
  <c r="I46" i="7" s="1"/>
  <c r="K51" i="3"/>
  <c r="J53" i="3" s="1"/>
  <c r="J54" i="3" s="1"/>
  <c r="J55" i="3" s="1"/>
  <c r="J40" i="3"/>
  <c r="J41" i="3" s="1"/>
  <c r="J42" i="3" s="1"/>
  <c r="F47" i="4"/>
  <c r="F47" i="7" s="1"/>
  <c r="D47" i="7"/>
  <c r="D34" i="4"/>
  <c r="D34" i="7" s="1"/>
  <c r="D37" i="4"/>
  <c r="D37" i="7" s="1"/>
  <c r="D33" i="4"/>
  <c r="F33" i="4" s="1"/>
  <c r="K64" i="3"/>
  <c r="D36" i="4"/>
  <c r="D54" i="4"/>
  <c r="F54" i="4" s="1"/>
  <c r="F54" i="7" s="1"/>
  <c r="V66" i="3"/>
  <c r="V67" i="3" s="1"/>
  <c r="V68" i="3" s="1"/>
  <c r="J64" i="3"/>
  <c r="J65" i="3" s="1"/>
  <c r="D44" i="7"/>
  <c r="E44" i="4"/>
  <c r="E44" i="7" s="1"/>
  <c r="F44" i="4"/>
  <c r="F44" i="7" s="1"/>
  <c r="F46" i="4"/>
  <c r="E46" i="4"/>
  <c r="E46" i="7" s="1"/>
  <c r="J95" i="3"/>
  <c r="J96" i="3" s="1"/>
  <c r="J97" i="3" s="1"/>
  <c r="D45" i="7"/>
  <c r="E45" i="4"/>
  <c r="E45" i="7" s="1"/>
  <c r="F45" i="4"/>
  <c r="J27" i="3"/>
  <c r="J28" i="3" s="1"/>
  <c r="J29" i="3" s="1"/>
  <c r="V53" i="3"/>
  <c r="V54" i="3" s="1"/>
  <c r="V55" i="3" s="1"/>
  <c r="G79" i="3"/>
  <c r="I79" i="3" s="1"/>
  <c r="F45" i="7" l="1"/>
  <c r="B60" i="2"/>
  <c r="B62" i="4" s="1"/>
  <c r="B68" i="7" s="1"/>
  <c r="T26" i="4"/>
  <c r="F48" i="7"/>
  <c r="F46" i="7"/>
  <c r="M46" i="4"/>
  <c r="N46" i="4" s="1"/>
  <c r="Q23" i="2"/>
  <c r="S26" i="4"/>
  <c r="D80" i="3"/>
  <c r="G80" i="3" s="1"/>
  <c r="I80" i="3" s="1"/>
  <c r="M195" i="10"/>
  <c r="J98" i="3"/>
  <c r="I54" i="4" s="1"/>
  <c r="I54" i="7" s="1"/>
  <c r="J56" i="3"/>
  <c r="I36" i="4" s="1"/>
  <c r="I36" i="7" s="1"/>
  <c r="M193" i="10"/>
  <c r="D50" i="3"/>
  <c r="G50" i="3" s="1"/>
  <c r="I50" i="3" s="1"/>
  <c r="J50" i="3" s="1"/>
  <c r="V30" i="3"/>
  <c r="I45" i="4" s="1"/>
  <c r="I45" i="7" s="1"/>
  <c r="M190" i="10"/>
  <c r="D11" i="3"/>
  <c r="G11" i="3" s="1"/>
  <c r="I11" i="3" s="1"/>
  <c r="K11" i="3" s="1"/>
  <c r="V56" i="3"/>
  <c r="I47" i="4" s="1"/>
  <c r="I47" i="7" s="1"/>
  <c r="K46" i="2"/>
  <c r="N206" i="10"/>
  <c r="K214" i="10"/>
  <c r="L214" i="10"/>
  <c r="I214" i="10"/>
  <c r="J214" i="10" s="1"/>
  <c r="J30" i="3"/>
  <c r="I34" i="4" s="1"/>
  <c r="I34" i="7" s="1"/>
  <c r="N207" i="10"/>
  <c r="K47" i="2"/>
  <c r="I215" i="10"/>
  <c r="J215" i="10" s="1"/>
  <c r="K215" i="10"/>
  <c r="L215" i="10"/>
  <c r="V69" i="3"/>
  <c r="I48" i="4" s="1"/>
  <c r="I48" i="7" s="1"/>
  <c r="M192" i="10"/>
  <c r="D37" i="3"/>
  <c r="M212" i="10"/>
  <c r="P37" i="3"/>
  <c r="M194" i="10"/>
  <c r="D63" i="3"/>
  <c r="G63" i="3" s="1"/>
  <c r="I63" i="3" s="1"/>
  <c r="J43" i="3"/>
  <c r="I35" i="4" s="1"/>
  <c r="I35" i="7" s="1"/>
  <c r="M213" i="10"/>
  <c r="P50" i="3"/>
  <c r="S50" i="3" s="1"/>
  <c r="U50" i="3" s="1"/>
  <c r="P24" i="3"/>
  <c r="M211" i="10"/>
  <c r="M191" i="10"/>
  <c r="D24" i="3"/>
  <c r="G24" i="3" s="1"/>
  <c r="I24" i="3" s="1"/>
  <c r="K24" i="3" s="1"/>
  <c r="E33" i="4"/>
  <c r="E33" i="7" s="1"/>
  <c r="F33" i="7"/>
  <c r="J66" i="3"/>
  <c r="J67" i="3" s="1"/>
  <c r="J68" i="3" s="1"/>
  <c r="G62" i="3"/>
  <c r="I62" i="3" s="1"/>
  <c r="K62" i="3" s="1"/>
  <c r="E34" i="4"/>
  <c r="E34" i="7" s="1"/>
  <c r="F34" i="4"/>
  <c r="D33" i="7"/>
  <c r="D54" i="7"/>
  <c r="E54" i="4"/>
  <c r="E54" i="7" s="1"/>
  <c r="F37" i="4"/>
  <c r="E37" i="4"/>
  <c r="E37" i="7" s="1"/>
  <c r="K49" i="3"/>
  <c r="E36" i="4"/>
  <c r="E36" i="7" s="1"/>
  <c r="F36" i="4"/>
  <c r="D36" i="7"/>
  <c r="S49" i="3"/>
  <c r="U49" i="3" s="1"/>
  <c r="V49" i="3" s="1"/>
  <c r="J23" i="3"/>
  <c r="K23" i="3"/>
  <c r="G91" i="3"/>
  <c r="I91" i="3" s="1"/>
  <c r="J91" i="3" s="1"/>
  <c r="K79" i="3"/>
  <c r="J79" i="3"/>
  <c r="D35" i="4"/>
  <c r="J80" i="3"/>
  <c r="K80" i="3"/>
  <c r="K10" i="3"/>
  <c r="K12" i="3" s="1"/>
  <c r="J10" i="3"/>
  <c r="M48" i="4" l="1"/>
  <c r="N48" i="4" s="1"/>
  <c r="N26" i="4"/>
  <c r="M47" i="4"/>
  <c r="N47" i="4" s="1"/>
  <c r="M45" i="4"/>
  <c r="N45" i="4" s="1"/>
  <c r="F37" i="7"/>
  <c r="F34" i="7"/>
  <c r="M34" i="4"/>
  <c r="N34" i="4" s="1"/>
  <c r="F36" i="7"/>
  <c r="M36" i="4"/>
  <c r="N36" i="4" s="1"/>
  <c r="P206" i="10"/>
  <c r="P62" i="3" s="1"/>
  <c r="S62" i="3" s="1"/>
  <c r="U62" i="3" s="1"/>
  <c r="W62" i="3" s="1"/>
  <c r="O206" i="10"/>
  <c r="O207" i="10"/>
  <c r="P80" i="3" s="1"/>
  <c r="S80" i="3" s="1"/>
  <c r="U80" i="3" s="1"/>
  <c r="P207" i="10"/>
  <c r="P79" i="3" s="1"/>
  <c r="S79" i="3" s="1"/>
  <c r="U79" i="3" s="1"/>
  <c r="J11" i="3"/>
  <c r="J12" i="3" s="1"/>
  <c r="J13" i="3" s="1"/>
  <c r="J14" i="3" s="1"/>
  <c r="J15" i="3" s="1"/>
  <c r="J69" i="3"/>
  <c r="I37" i="4" s="1"/>
  <c r="I37" i="7" s="1"/>
  <c r="J62" i="3"/>
  <c r="K50" i="3"/>
  <c r="J24" i="3"/>
  <c r="W49" i="3"/>
  <c r="K91" i="3"/>
  <c r="S11" i="3"/>
  <c r="U11" i="3" s="1"/>
  <c r="W11" i="3" s="1"/>
  <c r="J63" i="3"/>
  <c r="K63" i="3"/>
  <c r="G37" i="3"/>
  <c r="I37" i="3" s="1"/>
  <c r="J37" i="3" s="1"/>
  <c r="K81" i="3"/>
  <c r="G92" i="3"/>
  <c r="I92" i="3" s="1"/>
  <c r="K92" i="3" s="1"/>
  <c r="S10" i="3"/>
  <c r="U10" i="3" s="1"/>
  <c r="J81" i="3"/>
  <c r="J82" i="3" s="1"/>
  <c r="S23" i="3"/>
  <c r="U23" i="3" s="1"/>
  <c r="G36" i="3"/>
  <c r="I36" i="3" s="1"/>
  <c r="S24" i="3"/>
  <c r="U24" i="3" s="1"/>
  <c r="W50" i="3"/>
  <c r="V50" i="3"/>
  <c r="E35" i="4"/>
  <c r="E35" i="7" s="1"/>
  <c r="D35" i="7"/>
  <c r="F35" i="4"/>
  <c r="S36" i="3"/>
  <c r="U36" i="3" s="1"/>
  <c r="S37" i="3"/>
  <c r="U37" i="3" s="1"/>
  <c r="M37" i="4" l="1"/>
  <c r="N37" i="4" s="1"/>
  <c r="F35" i="7"/>
  <c r="M35" i="4"/>
  <c r="N35" i="4" s="1"/>
  <c r="M215" i="10"/>
  <c r="P63" i="3"/>
  <c r="S63" i="3" s="1"/>
  <c r="U63" i="3" s="1"/>
  <c r="V63" i="3" s="1"/>
  <c r="M214" i="10"/>
  <c r="V79" i="3"/>
  <c r="W79" i="3"/>
  <c r="W80" i="3"/>
  <c r="V80" i="3"/>
  <c r="J16" i="3"/>
  <c r="V62" i="3"/>
  <c r="V11" i="3"/>
  <c r="J92" i="3"/>
  <c r="K37" i="3"/>
  <c r="W10" i="3"/>
  <c r="W12" i="3" s="1"/>
  <c r="V10" i="3"/>
  <c r="V23" i="3"/>
  <c r="W23" i="3"/>
  <c r="W37" i="3"/>
  <c r="V37" i="3"/>
  <c r="J83" i="3"/>
  <c r="J84" i="3" s="1"/>
  <c r="J85" i="3" s="1"/>
  <c r="V36" i="3"/>
  <c r="W36" i="3"/>
  <c r="W24" i="3"/>
  <c r="V24" i="3"/>
  <c r="K36" i="3"/>
  <c r="J36" i="3"/>
  <c r="W81" i="3" l="1"/>
  <c r="W63" i="3"/>
  <c r="V81" i="3"/>
  <c r="V82" i="3" s="1"/>
  <c r="J17" i="3"/>
  <c r="I33" i="4" s="1"/>
  <c r="J86" i="3"/>
  <c r="I38" i="4" s="1"/>
  <c r="V12" i="3"/>
  <c r="V13" i="3" s="1"/>
  <c r="V14" i="3" s="1"/>
  <c r="V15" i="3" s="1"/>
  <c r="V16" i="3" s="1"/>
  <c r="V83" i="3" l="1"/>
  <c r="V84" i="3" s="1"/>
  <c r="V85" i="3" s="1"/>
  <c r="V86" i="3" s="1"/>
  <c r="I49" i="4" s="1"/>
  <c r="I49" i="7" s="1"/>
  <c r="I38" i="7"/>
  <c r="M38" i="4"/>
  <c r="N38" i="4" s="1"/>
  <c r="I33" i="7"/>
  <c r="M33" i="4"/>
  <c r="N33" i="4" s="1"/>
  <c r="V17" i="3"/>
  <c r="I44" i="4" s="1"/>
  <c r="I44" i="7" s="1"/>
  <c r="N28" i="4"/>
  <c r="M49" i="4" l="1"/>
  <c r="N49" i="4" s="1"/>
  <c r="M44" i="4"/>
  <c r="N44" i="4" s="1"/>
  <c r="O32" i="4"/>
  <c r="K77" i="4" l="1"/>
  <c r="A2" i="2" s="1"/>
  <c r="A2" i="4" l="1"/>
  <c r="A2" i="7" s="1"/>
  <c r="B70" i="2"/>
  <c r="B71" i="4" s="1"/>
  <c r="B77" i="7" s="1"/>
  <c r="H1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2" authorId="0" shapeId="0" xr:uid="{9635B9A8-0909-4FD5-92C6-9F07D1176FEE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PC-Sapras</author>
  </authors>
  <commentList>
    <comment ref="N137" authorId="0" shapeId="0" xr:uid="{9ED76D2C-AFDB-448F-AEE1-8035183C2D44}">
      <text>
        <r>
          <rPr>
            <b/>
            <sz val="16"/>
            <color indexed="81"/>
            <rFont val="Tahoma"/>
            <family val="2"/>
          </rPr>
          <t>INPUT DISINI</t>
        </r>
      </text>
    </comment>
  </commentList>
</comments>
</file>

<file path=xl/sharedStrings.xml><?xml version="1.0" encoding="utf-8"?>
<sst xmlns="http://schemas.openxmlformats.org/spreadsheetml/2006/main" count="2929" uniqueCount="472">
  <si>
    <t>LEMBAR KERJA KALIBRASI ELECTRO STIMULATOR</t>
  </si>
  <si>
    <t xml:space="preserve">No. Sertifikat / No. Surat Keterangan : 21 / ………. / ……. - ...... / E-……. </t>
  </si>
  <si>
    <t>Merek</t>
  </si>
  <si>
    <t>:</t>
  </si>
  <si>
    <t>................................................................</t>
  </si>
  <si>
    <t>Model/Type</t>
  </si>
  <si>
    <t>No. Seri</t>
  </si>
  <si>
    <t>Tanggal Kalibrasi</t>
  </si>
  <si>
    <t>Nama Ruang</t>
  </si>
  <si>
    <t>Tempat Kalibrasi</t>
  </si>
  <si>
    <t>Metode Kerja</t>
  </si>
  <si>
    <t>KL.MK - 11</t>
  </si>
  <si>
    <t xml:space="preserve">I.     </t>
  </si>
  <si>
    <t>Kondisi Ruang</t>
  </si>
  <si>
    <t>AWAL</t>
  </si>
  <si>
    <t>AKHIR</t>
  </si>
  <si>
    <t xml:space="preserve">1. Suhu </t>
  </si>
  <si>
    <t>°C</t>
  </si>
  <si>
    <t>2. Kelembaban Relatif</t>
  </si>
  <si>
    <t>%</t>
  </si>
  <si>
    <t>3. Tegangan Jala-jala</t>
  </si>
  <si>
    <t>V</t>
  </si>
  <si>
    <t xml:space="preserve">II.     </t>
  </si>
  <si>
    <t>Pemeriksaan Kondisi Fisik dan Fungsi komponen alat</t>
  </si>
  <si>
    <t>1. Fisik</t>
  </si>
  <si>
    <t>Baik / Tidak Baik</t>
  </si>
  <si>
    <t>(Pilih salah satu dan coret yang tidak perlu)</t>
  </si>
  <si>
    <t>2. Fungsi</t>
  </si>
  <si>
    <t>III.</t>
  </si>
  <si>
    <t xml:space="preserve">Hasil Pengukuran Keselamatan Listrik </t>
  </si>
  <si>
    <t>No</t>
  </si>
  <si>
    <t xml:space="preserve">Parameter </t>
  </si>
  <si>
    <t>Hasil  Ukur</t>
  </si>
  <si>
    <t>Ambang Batas yang diijinkan</t>
  </si>
  <si>
    <t>Tahanan Isolasi Kabel Catu Daya</t>
  </si>
  <si>
    <t>MΩ</t>
  </si>
  <si>
    <r>
      <rPr>
        <sz val="11"/>
        <rFont val="Calibri"/>
        <family val="2"/>
      </rPr>
      <t xml:space="preserve">≥ </t>
    </r>
    <r>
      <rPr>
        <sz val="11"/>
        <rFont val="Calibri"/>
        <family val="2"/>
      </rPr>
      <t>20</t>
    </r>
  </si>
  <si>
    <t>M Ω</t>
  </si>
  <si>
    <t>Ω</t>
  </si>
  <si>
    <t>≤ 0.2</t>
  </si>
  <si>
    <t>µA</t>
  </si>
  <si>
    <t>≤ 500</t>
  </si>
  <si>
    <t>Arus bocor kabel pentanahan polaritas terbalik</t>
  </si>
  <si>
    <t>≤ 100</t>
  </si>
  <si>
    <t>IV.</t>
  </si>
  <si>
    <t>Hasil Pengukuran Kinerja Electro Stimulator Channel .........</t>
  </si>
  <si>
    <t>No.</t>
  </si>
  <si>
    <t>Parameter</t>
  </si>
  <si>
    <t>Setting Alat</t>
  </si>
  <si>
    <t>Pembacaan Standar (V)</t>
  </si>
  <si>
    <t>Toleransi</t>
  </si>
  <si>
    <t>I</t>
  </si>
  <si>
    <t>II</t>
  </si>
  <si>
    <t>III</t>
  </si>
  <si>
    <t>IV</t>
  </si>
  <si>
    <t>VI</t>
  </si>
  <si>
    <t>Intensitas Therapy (mA)</t>
  </si>
  <si>
    <t>±30%</t>
  </si>
  <si>
    <t>Frekuensi (Hz)</t>
  </si>
  <si>
    <t>V.</t>
  </si>
  <si>
    <t>Hasil Pengukuran Kinerja Electro Stimulator Channel ........</t>
  </si>
  <si>
    <t xml:space="preserve">VI. </t>
  </si>
  <si>
    <t>Hasil Pengukuran Durasi Therapy</t>
  </si>
  <si>
    <t>Durasi Therapy (s)</t>
  </si>
  <si>
    <t>± 10%</t>
  </si>
  <si>
    <t>VII.</t>
  </si>
  <si>
    <t>Keterangan :</t>
  </si>
  <si>
    <t>1. ..............................................................................................</t>
  </si>
  <si>
    <t>2. ..............................................................................................</t>
  </si>
  <si>
    <t>VIII.</t>
  </si>
  <si>
    <t xml:space="preserve">Alat Yang Digunakan </t>
  </si>
  <si>
    <t>□</t>
  </si>
  <si>
    <t>1. Precision resistance Box, Merek : Time Electronics, Model : 1067 (1968F15)</t>
  </si>
  <si>
    <t>2. Electical Safety Analyzer, Merek : Fluke, Model : ESA 620 (1837056) / (1834020)</t>
  </si>
  <si>
    <t>2. Electical Safety Analyzer, Merek : Fluke, Model : ESA 615 (2853077) / (2853078) / (3148907) / (3148908)</t>
  </si>
  <si>
    <t>3. Stopwatch, Merek : Casio , Model : HS - 3 / HS - 80TW, SN : (611Q02R) / (510Q06R) / (207Q01R)</t>
  </si>
  <si>
    <t>4. Thermohygrometer, Merek : KIMO, KH-210-AO (14082463) / (15062872) / (15062874) / (15062875)</t>
  </si>
  <si>
    <t>4. Thermohygrometer, Merek : ………………………, Model : ………………………... (……………………………..)</t>
  </si>
  <si>
    <t>IX.</t>
  </si>
  <si>
    <t>Petugas Kalibrasi</t>
  </si>
  <si>
    <t xml:space="preserve"> ………………………………………………………</t>
  </si>
  <si>
    <t>Input Data Kalibrasi Electro Stimulator</t>
  </si>
  <si>
    <t>Nomor Sertifikat : 21 /</t>
  </si>
  <si>
    <t>ITO</t>
  </si>
  <si>
    <t>EU-940</t>
  </si>
  <si>
    <t>200610430008</t>
  </si>
  <si>
    <t>Tanggal Penerimaan Alat</t>
  </si>
  <si>
    <t>22 April 2017</t>
  </si>
  <si>
    <t>Fisiotherapy</t>
  </si>
  <si>
    <t>Awal</t>
  </si>
  <si>
    <t>Akhir</t>
  </si>
  <si>
    <t>Rata2</t>
  </si>
  <si>
    <t>2. Kelembaban  Relatif</t>
  </si>
  <si>
    <t>%RH</t>
  </si>
  <si>
    <t>Hasil Pemeriksaan Kondisi Fisik dan Fungsi komponen alat</t>
  </si>
  <si>
    <t>Baik</t>
  </si>
  <si>
    <t>Hasil Pengukuran Kinerja Electro Stimulator pada Channel 1</t>
  </si>
  <si>
    <t>Terukur Rata-rata</t>
  </si>
  <si>
    <t>Rata-rata Terkoreksi</t>
  </si>
  <si>
    <t>STDEV</t>
  </si>
  <si>
    <t>Hasil Pengukuran Kinerja Electro Stimulator pada Channel 2</t>
  </si>
  <si>
    <t>Pembacaan Standar</t>
  </si>
  <si>
    <t>Terukur 
Rata-rata Standar</t>
  </si>
  <si>
    <t>Rata-rata terkoreksi</t>
  </si>
  <si>
    <t xml:space="preserve">Keterangan </t>
  </si>
  <si>
    <t>4. Stopwatch, Merek : Casio , Model : HS - 3 (611Q02R)</t>
  </si>
  <si>
    <t>5. Thermohygrometer, Merek : KIMO, Model : KH-210-AO (15062872)</t>
  </si>
  <si>
    <t>Kesimpulan</t>
  </si>
  <si>
    <t xml:space="preserve"> </t>
  </si>
  <si>
    <t>X.</t>
  </si>
  <si>
    <t>Muhammad Zaenuri Sugiasmoro</t>
  </si>
  <si>
    <t>XI.</t>
  </si>
  <si>
    <t>Tanggal Pembuatan Laporan</t>
  </si>
  <si>
    <t>27 April 2017</t>
  </si>
  <si>
    <t>Alat yang dikalibrasi dalam batas toleransi dan dinyatakan LAIK PAKAI</t>
  </si>
  <si>
    <t>Nomor Surat Keterangan : 21 /</t>
  </si>
  <si>
    <t>Alat yang dikalibrasi melebihi batas toleransi dan dinyatakan TIDAK LAIK PAKAI</t>
  </si>
  <si>
    <t>Choirul Huda</t>
  </si>
  <si>
    <t>Donny Martha</t>
  </si>
  <si>
    <t>Rangga Setya Hantoko</t>
  </si>
  <si>
    <t>Isra Mahensa</t>
  </si>
  <si>
    <t>Hary Ernanto</t>
  </si>
  <si>
    <t>Sertifikat ini sah bila dibubuhi cap LPFK Banjarbaru dan ditandatangani oleh pejabat yang berwenang</t>
  </si>
  <si>
    <t>Hasil Pengukuran Kinerja Electro Stimulator pada Channel 3</t>
  </si>
  <si>
    <t>Hasil Pengukuran Kinerja Electro Stimulator pada Channel 4</t>
  </si>
  <si>
    <t>Hasil Pengukuran Kinerja Electro Stimulator pada Channel 5</t>
  </si>
  <si>
    <t>4. Stopwatch, Merek : Casio , Model : HS - 80TW (510Q06R)</t>
  </si>
  <si>
    <t>4. Stopwatch, Merek : Casio , Model : HS - 80TW (207Q01R)</t>
  </si>
  <si>
    <t>5. Thermohygrometer, Merek : KIMO, Model : KH-210-AO (14082463)</t>
  </si>
  <si>
    <t>5. Thermohygrometer, Merek : KIMO, Model : KH-210-AO (15062874)</t>
  </si>
  <si>
    <t>5. Thermohygrometer, Merek : KIMO, Model : KH-210-AO (15062875)</t>
  </si>
  <si>
    <t>5. Thermohygrometer, Merek : SEKONIC, Model : ST-50A (HE 21-000669)</t>
  </si>
  <si>
    <t>5. Thermohygrometer, Merek : SEKONIC, Model : ST-50A (HE 21-00067)</t>
  </si>
  <si>
    <t>5. Thermohygrobarometer, Merek : GHM - GREISINGER, Model : GFTB.200 (34903051)</t>
  </si>
  <si>
    <t>5. Thermohygrobarometer, Merek : GHM - GREISINGER, Model : GFTB.200 (34903053)</t>
  </si>
  <si>
    <t>5. Thermohygrobarometer, Merek : GHM - GREISINGER, Model : GFTB.200 (34903046)</t>
  </si>
  <si>
    <t>KL.UB - 11 / REV : 0</t>
  </si>
  <si>
    <t>UNCERTAINTY BUDGET</t>
  </si>
  <si>
    <t>mΩ</t>
  </si>
  <si>
    <t>=</t>
  </si>
  <si>
    <t>mV</t>
  </si>
  <si>
    <t>Komponen</t>
  </si>
  <si>
    <t>Satuan</t>
  </si>
  <si>
    <t>Distribusi</t>
  </si>
  <si>
    <t>U</t>
  </si>
  <si>
    <t>Pembagi</t>
  </si>
  <si>
    <t>vi</t>
  </si>
  <si>
    <t>ui</t>
  </si>
  <si>
    <t>ci</t>
  </si>
  <si>
    <t>uici</t>
  </si>
  <si>
    <t>(uici)^2</t>
  </si>
  <si>
    <t>(uici)^4/vi</t>
  </si>
  <si>
    <t xml:space="preserve">1. Repeatability </t>
  </si>
  <si>
    <t>normal</t>
  </si>
  <si>
    <t xml:space="preserve">2. Daya baca </t>
  </si>
  <si>
    <t>mA</t>
  </si>
  <si>
    <t>rect.</t>
  </si>
  <si>
    <t>3. Sertifikat Resistance Box</t>
  </si>
  <si>
    <t>4. Drift Standar Resistance Box</t>
  </si>
  <si>
    <t>5. Sertifikat Scope Meter</t>
  </si>
  <si>
    <t>6. Drift Standar Scope Meter</t>
  </si>
  <si>
    <t>Jumlah</t>
  </si>
  <si>
    <t>Ketidakpastian baku gabungan, Uc</t>
  </si>
  <si>
    <r>
      <t>Uc</t>
    </r>
    <r>
      <rPr>
        <sz val="11"/>
        <rFont val="Times New Roman"/>
        <family val="1"/>
      </rPr>
      <t xml:space="preserve"> = </t>
    </r>
    <r>
      <rPr>
        <sz val="11"/>
        <rFont val="Symbol"/>
        <family val="1"/>
        <charset val="2"/>
      </rPr>
      <t>Ö</t>
    </r>
    <r>
      <rPr>
        <sz val="11"/>
        <rFont val="Times New Roman"/>
        <family val="1"/>
      </rPr>
      <t xml:space="preserve">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)²]</t>
    </r>
  </si>
  <si>
    <t>Derajat kebebasan efektif, veff</t>
  </si>
  <si>
    <r>
      <t>n</t>
    </r>
    <r>
      <rPr>
        <vertAlign val="subscript"/>
        <sz val="11"/>
        <rFont val="Times New Roman"/>
        <family val="1"/>
      </rPr>
      <t>eff</t>
    </r>
    <r>
      <rPr>
        <sz val="11"/>
        <rFont val="Times New Roman"/>
        <family val="1"/>
      </rPr>
      <t xml:space="preserve"> = u</t>
    </r>
    <r>
      <rPr>
        <vertAlign val="subscript"/>
        <sz val="11"/>
        <rFont val="Times New Roman"/>
        <family val="1"/>
      </rPr>
      <t>c</t>
    </r>
    <r>
      <rPr>
        <vertAlign val="superscript"/>
        <sz val="11"/>
        <rFont val="Times New Roman"/>
        <family val="1"/>
      </rPr>
      <t>4</t>
    </r>
    <r>
      <rPr>
        <sz val="11"/>
        <rFont val="Times New Roman"/>
        <family val="1"/>
      </rPr>
      <t xml:space="preserve"> /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</t>
    </r>
    <r>
      <rPr>
        <vertAlign val="superscript"/>
        <sz val="11"/>
        <rFont val="Times New Roman"/>
        <family val="1"/>
      </rPr>
      <t xml:space="preserve"> 4</t>
    </r>
    <r>
      <rPr>
        <sz val="11"/>
        <rFont val="Times New Roman"/>
        <family val="1"/>
      </rPr>
      <t>/</t>
    </r>
    <r>
      <rPr>
        <sz val="11"/>
        <rFont val="Symbol"/>
        <family val="1"/>
        <charset val="2"/>
      </rPr>
      <t>n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]</t>
    </r>
  </si>
  <si>
    <t>Faktor cakupan</t>
  </si>
  <si>
    <t>k</t>
  </si>
  <si>
    <t>Ketidakpastian bentangan, U = k.Uc</t>
  </si>
  <si>
    <t>U = k. Uc</t>
  </si>
  <si>
    <t>Hz</t>
  </si>
  <si>
    <t>3. Sertifikat Scope Meter</t>
  </si>
  <si>
    <t>4. Drift Standar Scope Meter</t>
  </si>
  <si>
    <t>Durasi Therapy</t>
  </si>
  <si>
    <t>s</t>
  </si>
  <si>
    <t>2. Daya baca UUT</t>
  </si>
  <si>
    <t>3. Sertifikat Stopwatch</t>
  </si>
  <si>
    <t>4. Drift Standar Stopwatch</t>
  </si>
  <si>
    <t>Faktor cakupan, k-student's for veff and CL 95%</t>
  </si>
  <si>
    <t>Current Leakage</t>
  </si>
  <si>
    <t>Main-PE</t>
  </si>
  <si>
    <t>Setting VAC</t>
  </si>
  <si>
    <t>DRIFT</t>
  </si>
  <si>
    <t>U95</t>
  </si>
  <si>
    <t>( V )</t>
  </si>
  <si>
    <t>Tahun</t>
  </si>
  <si>
    <t>Resistance</t>
  </si>
  <si>
    <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</si>
  <si>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KOREKSI THERMOHYGROMETER</t>
  </si>
  <si>
    <t>( uA )</t>
  </si>
  <si>
    <t>KOREKSI RESISTANCE BOX</t>
  </si>
  <si>
    <t>U 95</t>
  </si>
  <si>
    <t>CHANNEL 1</t>
  </si>
  <si>
    <t>CHANNEL 2</t>
  </si>
  <si>
    <t>KOREKSI VOLT/DIVISION</t>
  </si>
  <si>
    <t>Setting Volt</t>
  </si>
  <si>
    <t>-</t>
  </si>
  <si>
    <t>KOREKSI TIME/DIVISION</t>
  </si>
  <si>
    <t>Setting Time</t>
  </si>
  <si>
    <t>us</t>
  </si>
  <si>
    <t>KOREKSI FREQUENCY</t>
  </si>
  <si>
    <t>Setting Frequency</t>
  </si>
  <si>
    <t>Hasil Kalibrasi Electro Stimulator</t>
  </si>
  <si>
    <t xml:space="preserve">  </t>
  </si>
  <si>
    <t>±</t>
  </si>
  <si>
    <t>Koreksi</t>
  </si>
  <si>
    <t>Kesalahan Relatif (%)</t>
  </si>
  <si>
    <t>Ketidakpastian Pengukuran</t>
  </si>
  <si>
    <t>Pembacaan pada Standar</t>
  </si>
  <si>
    <r>
      <t>+</t>
    </r>
    <r>
      <rPr>
        <sz val="11"/>
        <rFont val="Calibri"/>
        <family val="2"/>
        <scheme val="minor"/>
      </rPr>
      <t xml:space="preserve"> 30%</t>
    </r>
  </si>
  <si>
    <t>± 30%</t>
  </si>
  <si>
    <t>Pembacaan pada Standar (V)</t>
  </si>
  <si>
    <t>VI.</t>
  </si>
  <si>
    <t>Pembacaan pada standar</t>
  </si>
  <si>
    <t xml:space="preserve">Nama </t>
  </si>
  <si>
    <t>Tanggal</t>
  </si>
  <si>
    <t>Paraf</t>
  </si>
  <si>
    <t>Dibuat Oleh :</t>
  </si>
  <si>
    <t>Diperiksa :</t>
  </si>
  <si>
    <t>Halaman 2 dari 3 halaman</t>
  </si>
  <si>
    <t>Menyetujui,</t>
  </si>
  <si>
    <t>Kepala Instalasi Laboratorium</t>
  </si>
  <si>
    <t>Pengujian dan Kalibrasi</t>
  </si>
  <si>
    <t>Choirul Huda, S.Tr. Kes</t>
  </si>
  <si>
    <t>NIP 198103112010121001</t>
  </si>
  <si>
    <t>NIP 198008062010121001</t>
  </si>
  <si>
    <t>Halaman 3 dari 3 halaman</t>
  </si>
  <si>
    <t>KOREKSI ESA</t>
  </si>
  <si>
    <t>INPUT DATA SERTIFIKAT ESA</t>
  </si>
  <si>
    <t>Driff</t>
  </si>
  <si>
    <r>
      <rPr>
        <b/>
        <i/>
        <sz val="11"/>
        <rFont val="Times New Roman"/>
        <family val="1"/>
      </rP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</si>
  <si>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r>
      <rPr>
        <b/>
        <i/>
        <sz val="11"/>
        <rFont val="Times New Roman"/>
        <family val="1"/>
      </rP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</si>
  <si>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Tegangan jala-jala listrik</t>
  </si>
  <si>
    <t>Pembacaan terkoreksi</t>
  </si>
  <si>
    <t>Hasil</t>
  </si>
  <si>
    <t>Tahanan isolasi kabel catu daya</t>
  </si>
  <si>
    <t>Resistansi pembumian protektif</t>
  </si>
  <si>
    <t>Arus bocor</t>
  </si>
  <si>
    <t>NC</t>
  </si>
  <si>
    <t>Tegangan U 95</t>
  </si>
  <si>
    <t>Volt</t>
  </si>
  <si>
    <t xml:space="preserve">( </t>
  </si>
  <si>
    <t xml:space="preserve"> ± </t>
  </si>
  <si>
    <t xml:space="preserve"> ) </t>
  </si>
  <si>
    <t>Electrical Safety Analyzer, Merek : Fluke, Model : ESA 620, SN : 1837056</t>
  </si>
  <si>
    <t>Hasil pengukuran keselamatan listrik tertelusur ke Satuan Internasional ( SI ) melalui PT. Kaliman</t>
  </si>
  <si>
    <t>Electrical Safety Analyzer, Merek : Fluke, Model : ESA 620, SN : 1834020</t>
  </si>
  <si>
    <t>Electrical Safety Analyzer, Merek : Fluke, Model : ESA 615, SN : 2853077</t>
  </si>
  <si>
    <t>Electrical Safety Analyzer, Merek : Fluke, Model : ESA 615, SN : 2853078</t>
  </si>
  <si>
    <t>Electrical Safety Analyzer, Merek : Fluke, Model : ESA 615, SN : 3148907</t>
  </si>
  <si>
    <t>Electrical Safety Analyzer, Merek : Fluke, Model : ESA 615, SN : 3148908</t>
  </si>
  <si>
    <t>Electrical Safety Analyzer, Merek : Fluke, Model : ESA 615, SN : 3699030</t>
  </si>
  <si>
    <t>Electrical Safety Analyzer, Merek : Fluke, Model : ESA 615, SN : 4670010</t>
  </si>
  <si>
    <t>Electrical Safety Analyzer, Merek : Fluke, Model : ESA 615, SN : 4669058</t>
  </si>
  <si>
    <t>Electrical Safety Analyzer, Merek : Fluke, Model : ESA 615, SN : 5838068</t>
  </si>
  <si>
    <t>Electrical Safety Analyzer 11</t>
  </si>
  <si>
    <t>Electrical Safety Analyzer 12</t>
  </si>
  <si>
    <t>Resistansi Isolasi</t>
  </si>
  <si>
    <t>Arus bocor peralatan yang diaplikasikan</t>
  </si>
  <si>
    <t>Resistansi Pembumian Protektif (kabel dapat dilepas)</t>
  </si>
  <si>
    <t>Resistansi Pembumian Protektif (kabel tidak dapat dilepas)</t>
  </si>
  <si>
    <t>Arus bocor peralatan untuk peralatan elektromedik kelas I</t>
  </si>
  <si>
    <t>Arus bocor peralatan untuk peralatan elektromedik kelas II</t>
  </si>
  <si>
    <r>
      <rPr>
        <sz val="11"/>
        <rFont val="Calibri"/>
        <family val="2"/>
      </rPr>
      <t xml:space="preserve">≥ </t>
    </r>
    <r>
      <rPr>
        <sz val="11"/>
        <rFont val="Calibri"/>
        <family val="2"/>
      </rPr>
      <t>2</t>
    </r>
  </si>
  <si>
    <t>≤ 50</t>
  </si>
  <si>
    <t xml:space="preserve">≤ </t>
  </si>
  <si>
    <t>Medical Scope Meter, Merk : Fluke, Model 190M-2 (27782606)</t>
  </si>
  <si>
    <t>Digital Multimeter, Merk : Fluke, Model : 117 (18750929)</t>
  </si>
  <si>
    <t>Digital Multimeter, Merk : Fluke, Model : 117 (18750930)</t>
  </si>
  <si>
    <t>INPUT SERTIFIKAT STOPWATCH</t>
  </si>
  <si>
    <t>1. SN. 611Q02R</t>
  </si>
  <si>
    <t>U95 STD</t>
  </si>
  <si>
    <t>2. SN. 510Q06R</t>
  </si>
  <si>
    <t>3. SN. 605Q11R</t>
  </si>
  <si>
    <t>Timer</t>
  </si>
  <si>
    <t xml:space="preserve">4. SN. 510Q061R </t>
  </si>
  <si>
    <t>5 SN. 001380</t>
  </si>
  <si>
    <t>6 SN. 001381</t>
  </si>
  <si>
    <t>7. SN. 001382</t>
  </si>
  <si>
    <t>8. SN. 001383</t>
  </si>
  <si>
    <t>9. SN. 001384</t>
  </si>
  <si>
    <t>10. SN. 001385</t>
  </si>
  <si>
    <t>11 SN. 001386</t>
  </si>
  <si>
    <t>12 SN. 001387</t>
  </si>
  <si>
    <t>13. SN. 001445</t>
  </si>
  <si>
    <t>14. SN. 001449</t>
  </si>
  <si>
    <t>15. SN. 001452</t>
  </si>
  <si>
    <t>16. SN. 005018</t>
  </si>
  <si>
    <t>17. SN. 207Q01R</t>
  </si>
  <si>
    <t>No Urut Titik Ukur</t>
  </si>
  <si>
    <t>Waktu</t>
  </si>
  <si>
    <t>U95    STD</t>
  </si>
  <si>
    <t>VII</t>
  </si>
  <si>
    <t>VIII</t>
  </si>
  <si>
    <t>IX</t>
  </si>
  <si>
    <t>X</t>
  </si>
  <si>
    <t>XI</t>
  </si>
  <si>
    <t>KOREKSI</t>
  </si>
  <si>
    <t>1 Tahun</t>
  </si>
  <si>
    <t>Rata-rata standar</t>
  </si>
  <si>
    <t>Interpolasi Koreksi</t>
  </si>
  <si>
    <t>Kesalahan</t>
  </si>
  <si>
    <t>Koreksi Relatif (%)</t>
  </si>
  <si>
    <t>Interpolasi U95</t>
  </si>
  <si>
    <t>Daya Baca UUT</t>
  </si>
  <si>
    <t>Interpolasi Drift</t>
  </si>
  <si>
    <t>Tahun Kalibrasi</t>
  </si>
  <si>
    <t>Stopwatch, Merek : Casio, Model : HS - 3, SN : 611Q02R</t>
  </si>
  <si>
    <t>Stopwatch, Merek : Casio, Model : HS - 80TW, SN : 510Q06R</t>
  </si>
  <si>
    <t>Stopwatch, Merek : Casio, Model : HS - 80TW, SN : 605Q11R</t>
  </si>
  <si>
    <t>Stopwatch, Merek : Casio, Model : HS - 80TW, SN :510Q061R</t>
  </si>
  <si>
    <t>Stopwatch, Merek : EXTECH, Model : 365535, SN :001380</t>
  </si>
  <si>
    <t>Stopwatch, Merek : EXTECH, Model : 365535, SN :001381</t>
  </si>
  <si>
    <t>Stopwatch, Merek : EXTECH, Model : 365535, SN :001382</t>
  </si>
  <si>
    <t>Stopwatch, Merek : EXTECH, Model : 365535, SN :001383</t>
  </si>
  <si>
    <t>Stopwatch, Merek : EXTECH, Model : 365535, SN :001384</t>
  </si>
  <si>
    <t>Stopwatch, Merek : EXTECH, Model : 365535, SN :001385</t>
  </si>
  <si>
    <t>Stopwatch, Merek : EXTECH, Model : 365535, SN :001386</t>
  </si>
  <si>
    <t>Stopwatch, Merek : EXTECH, Model : 365535, SN :001387</t>
  </si>
  <si>
    <t>Stopwatch, Merek : EXTECH, Model : 365535, SN :001445</t>
  </si>
  <si>
    <t>Stopwatch, Merek : EXTECH, Model : 365535, SN :001449</t>
  </si>
  <si>
    <t>Stopwatch, Merek : EXTECH, Model : 365535, SN :001452</t>
  </si>
  <si>
    <t>Stopwatch, Merek : EXTECH, Model : 365535, SN :005018</t>
  </si>
  <si>
    <t>Stopwatch, Merek : Casio, Model : HS - 80TW, SN : 207Q01RR</t>
  </si>
  <si>
    <t>Medical Scope Meter, Merk : Fluke, Model 190M-2, SN :  27782606 CH : A</t>
  </si>
  <si>
    <t>Medical Scope Meter, Merk : Fluke, Model 190M-2, SN :  27782606 CH : B</t>
  </si>
  <si>
    <t>Medical Scope Meter, Merk : Fluke, Model 190M-4, SN : 48832901 CH : A</t>
  </si>
  <si>
    <t>Medical Scope Meter, Merk : Fluke, Model 190M-4, SN : 48832901 CH : B</t>
  </si>
  <si>
    <t>Medical Scope Meter, Merk : Fluke, Model 190M-4, SN : 48832901 CH : C</t>
  </si>
  <si>
    <t>Medical Scope Meter, Merk : Fluke, Model 190M-4, SN : 48832901 CH : D</t>
  </si>
  <si>
    <t>Medical Scope Meter, Merk : Fluke, Model 190M-4, SN : 48762901 CH : A</t>
  </si>
  <si>
    <t>Medical Scope Meter, Merk : Fluke, Model 190M-4, SN : 48762901 CH : B</t>
  </si>
  <si>
    <t>Medical Scope Meter, Merk : Fluke, Model 190M-4, SN : 48762901 CH : C</t>
  </si>
  <si>
    <t>Medical Scope Meter, Merk : Fluke, Model 190M-4, SN : 48762901 CH : D</t>
  </si>
  <si>
    <t>Y</t>
  </si>
  <si>
    <t>koreksi</t>
  </si>
  <si>
    <t>Pembacaan standar</t>
  </si>
  <si>
    <t>Pembacaan Terkoreksi</t>
  </si>
  <si>
    <t>Resolusi</t>
  </si>
  <si>
    <t>Drift</t>
  </si>
  <si>
    <t>U95
(%)</t>
  </si>
  <si>
    <t>INPUT SERTIFIKAT THERMOHYGROMETER</t>
  </si>
  <si>
    <t>KOREKSI KIMO THERMOHYGROMETER 15062873</t>
  </si>
  <si>
    <t>Suhu</t>
  </si>
  <si>
    <t>Kelembaban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</si>
  <si>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</si>
  <si>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</si>
  <si>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</si>
  <si>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</si>
  <si>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</si>
  <si>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</si>
  <si>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</si>
  <si>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</si>
  <si>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</si>
  <si>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</si>
  <si>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</si>
  <si>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A.100611</t>
  </si>
  <si>
    <t>KOREKSI EXTECH A.100609</t>
  </si>
  <si>
    <t>KOREKSI EXTECH A.100605</t>
  </si>
  <si>
    <t>KOREKSI EXTECH A.100617</t>
  </si>
  <si>
    <t>KOREKSI EXTECH A.100616</t>
  </si>
  <si>
    <t>KOREKSI EXTECH A.100618</t>
  </si>
  <si>
    <t>KOREKSI EXTECH A.100586</t>
  </si>
  <si>
    <t>No urut alat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</si>
  <si>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</si>
  <si>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A</t>
  </si>
  <si>
    <t>B</t>
  </si>
  <si>
    <t>C</t>
  </si>
  <si>
    <t>D</t>
  </si>
  <si>
    <t>E</t>
  </si>
  <si>
    <t>F</t>
  </si>
  <si>
    <t>G</t>
  </si>
  <si>
    <t>HASIL</t>
  </si>
  <si>
    <t>INTERPOLASI KOREKSI SUHU</t>
  </si>
  <si>
    <t>INTERPOLASI KOREKSI KELEMBABAN</t>
  </si>
  <si>
    <t>Konversi TEXT</t>
  </si>
  <si>
    <t>Thermohygrolight, Merek : KIMO, Model : KH-210-AO, SN : 15062873</t>
  </si>
  <si>
    <t xml:space="preserve"> °C</t>
  </si>
  <si>
    <t>Thermohygrolight, Merek : KIMO, Model : KH-210-AO, SN : 15062874</t>
  </si>
  <si>
    <t xml:space="preserve"> %RH</t>
  </si>
  <si>
    <t>Thermohygrolight, Merek : KIMO, Model : KH-210-AO, SN : 14082463</t>
  </si>
  <si>
    <t>Thermohygrolight, Merek : KIMO, Model : KH-210-AO, SN : 15062872</t>
  </si>
  <si>
    <t>Thermohygrolight, Merek : KIMO, Model : KH-210-AO, SN : 15062875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</si>
  <si>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</si>
  <si>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</si>
  <si>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</si>
  <si>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</si>
  <si>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</si>
  <si>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</si>
  <si>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Thermohygrolight, Merek : EXTECH, Model : SD700, SN : A.100611</t>
  </si>
  <si>
    <t>Thermohygrolight, Merek : EXTECH, Model : SD700, SN : A.100609</t>
  </si>
  <si>
    <t>Thermohygrolight, Merek : EXTECH, Model : SD700, SN : A.100605</t>
  </si>
  <si>
    <t>Thermohygrolight, Merek : EXTECH, Model : SD700, SN : A.100617</t>
  </si>
  <si>
    <t>Thermohygrolight, Merek : EXTECH, Model : SD700, SN : A.100616</t>
  </si>
  <si>
    <t>Thermohygrolight, Merek : EXTECH, Model : SD700, SN : A.100618</t>
  </si>
  <si>
    <t>Thermohygrolight, Merek : EXTECH, Model : SD700, SN : A.100586</t>
  </si>
  <si>
    <t>Ketidakpastian pengukuran dilaporkan pada tingkat kepercayaan 95 % dengan faktor cakupan k = 2</t>
  </si>
  <si>
    <t>Hasil pengukuran keselamatan listrik tertelusur ke Satuan Internasional melalui PT. KALIMAN (LK-032-IDN)</t>
  </si>
  <si>
    <t>Hasil kalibrasi Intensitas Therapy dan Frekuensi tertelusur ke Satuan Internasional melalui PT. KALIMAN (LK-032-IDN)</t>
  </si>
  <si>
    <t>Setting Precission Resistance Box pada 500 Ω</t>
  </si>
  <si>
    <t>≤ 0.3</t>
  </si>
  <si>
    <t>Tidak Baik</t>
  </si>
  <si>
    <t>CH1</t>
  </si>
  <si>
    <t>CH2</t>
  </si>
  <si>
    <t>Hasil kalibrasi Durasi Therapy tertelusur ke Satuan Internasional ( SI ) melalui PT KALIMAN</t>
  </si>
  <si>
    <t>OL</t>
  </si>
  <si>
    <t>Catu daya menggunakan baterai</t>
  </si>
  <si>
    <t>Tidak dilakukan pengukuran kelistrikan dikarenakan alat tidak boleh di matikan</t>
  </si>
  <si>
    <t>Terkoreksi</t>
  </si>
  <si>
    <t>Tidak terdapat grounding di ruangan</t>
  </si>
  <si>
    <t>Kelas I</t>
  </si>
  <si>
    <t>Input NC</t>
  </si>
  <si>
    <t>Alat tidak boleh digunakan pada instalasi tanpa dilengkapi grounding</t>
  </si>
  <si>
    <t xml:space="preserve">Resistansi pembumian protektif </t>
  </si>
  <si>
    <t>Arus Bocor</t>
  </si>
  <si>
    <t>Instalasi</t>
  </si>
  <si>
    <t xml:space="preserve"> (kabel dapat dilepas)</t>
  </si>
  <si>
    <t>(kabel tidak dapat dilepas)</t>
  </si>
  <si>
    <t>NG</t>
  </si>
  <si>
    <t>Score</t>
  </si>
  <si>
    <t>Siti Fathul Jannah</t>
  </si>
  <si>
    <t>Hamdan Syarif</t>
  </si>
  <si>
    <t>Sholihatussa'diah</t>
  </si>
  <si>
    <t>Gusti Arya Dinata</t>
  </si>
  <si>
    <t>Muhammad Irfan Husnuzhzhan</t>
  </si>
  <si>
    <t>Fatimah Novrianisa</t>
  </si>
  <si>
    <t>Taufik Priawan</t>
  </si>
  <si>
    <t>Septia Khairunnisa</t>
  </si>
  <si>
    <t>Muhammad Iqbal Saiful Rahman</t>
  </si>
  <si>
    <t>Wardimanul Abrar</t>
  </si>
  <si>
    <t>Venna Filosofia</t>
  </si>
  <si>
    <t>Muhammad Alpian Hadi</t>
  </si>
  <si>
    <t>Azhar Alamsyah</t>
  </si>
  <si>
    <t>Ahmad Ghazali</t>
  </si>
  <si>
    <t>Ryan Rama Chaesar R</t>
  </si>
  <si>
    <t>SERTIFIKAT PENGUJIAN</t>
  </si>
  <si>
    <t xml:space="preserve">                                                                 </t>
  </si>
  <si>
    <t xml:space="preserve">Nama Alat            : </t>
  </si>
  <si>
    <t>Dental Unit</t>
  </si>
  <si>
    <t xml:space="preserve">Nomor Order           : </t>
  </si>
  <si>
    <t>Model / Tipe</t>
  </si>
  <si>
    <t>Nomor Seri</t>
  </si>
  <si>
    <t>Kapasitas</t>
  </si>
  <si>
    <t>Nama Pemilik      :</t>
  </si>
  <si>
    <t xml:space="preserve">Identitas Pemilik     : </t>
  </si>
  <si>
    <t>Alamat Pemilik</t>
  </si>
  <si>
    <t>Jalan ABC</t>
  </si>
  <si>
    <t>Laik Pakai, disarankan untuk dikalibrasi ulang pada tanggal…......</t>
  </si>
  <si>
    <t>Banjarbaru,</t>
  </si>
  <si>
    <t>Kepala Loka Pengamanan</t>
  </si>
  <si>
    <t>Fasilitas Kesehatan Banjarbaru</t>
  </si>
  <si>
    <t>Yuni Irmawati, SKM., MA</t>
  </si>
  <si>
    <t>NIP 197806222002122001</t>
  </si>
  <si>
    <t>NOMOR ORDER</t>
  </si>
  <si>
    <t>KUNCI KOP SERTIFIKAT</t>
  </si>
  <si>
    <t>PENENTU KOP SERTIFIKAT</t>
  </si>
  <si>
    <t>BAHAN</t>
  </si>
  <si>
    <t>SERTIFIKAT KALIBRASI</t>
  </si>
  <si>
    <t>BAHAN RUANGAN &amp; PENANGGUNG JAWAB</t>
  </si>
  <si>
    <t>NAMA RUANGAN PADA INPUT DATA</t>
  </si>
  <si>
    <t>Laboratorium Kalibrasi LPFK Banjarbaru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</si>
  <si>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</si>
  <si>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</si>
  <si>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</si>
  <si>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</si>
  <si>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</si>
  <si>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</si>
  <si>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Precision resistance Box, Merek : Time Electronics, Model : 1067, SN : 1968F15</t>
  </si>
  <si>
    <t xml:space="preserve"> )</t>
  </si>
  <si>
    <t xml:space="preserve"> 1 / X - 23 / E - 45</t>
  </si>
  <si>
    <t>≥ 2</t>
  </si>
  <si>
    <r>
      <t>+</t>
    </r>
    <r>
      <rPr>
        <sz val="10"/>
        <color theme="1"/>
        <rFont val="Calibri"/>
        <family val="2"/>
        <scheme val="minor"/>
      </rPr>
      <t xml:space="preserve"> 30%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</si>
</sst>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"/>
    <numFmt numFmtId="165" formatCode="0.0"/>
    <numFmt numFmtId="166" formatCode="0.00000"/>
    <numFmt numFmtId="167" formatCode="0.0000"/>
    <numFmt numFmtId="168" formatCode="\≤\ 0\ \µ\A"/>
    <numFmt numFmtId="169" formatCode="0.0\ \Ω"/>
    <numFmt numFmtId="170" formatCode="0\ \µ\A"/>
    <numFmt numFmtId="171" formatCode="[$-421]dd\ mmmm\ yyyy;@"/>
    <numFmt numFmtId="172" formatCode="0\ &quot;BPM&quot;"/>
    <numFmt numFmtId="173" formatCode="[$-C09]d\ mmmm\ yyyy;@"/>
  </numFmts>
  <fonts count="118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i/>
      <u/>
      <sz val="8"/>
      <name val="Calibri"/>
      <family val="2"/>
    </font>
    <font>
      <sz val="10"/>
      <name val="Times New Roman"/>
      <family val="1"/>
    </font>
    <font>
      <sz val="9"/>
      <name val="Times New Roman"/>
      <family val="1"/>
    </font>
    <font>
      <b/>
      <sz val="8"/>
      <name val="Times New Roman"/>
      <family val="1"/>
    </font>
    <font>
      <b/>
      <sz val="12"/>
      <name val="Times New Roman"/>
      <family val="1"/>
    </font>
    <font>
      <b/>
      <i/>
      <sz val="10"/>
      <name val="Arial"/>
      <family val="2"/>
    </font>
    <font>
      <b/>
      <sz val="10"/>
      <name val="Times New Roman"/>
      <family val="1"/>
    </font>
    <font>
      <b/>
      <i/>
      <sz val="11"/>
      <name val="Times New Roman"/>
      <family val="1"/>
    </font>
    <font>
      <sz val="12"/>
      <name val="Times New Roman"/>
      <family val="1"/>
    </font>
    <font>
      <sz val="11"/>
      <name val="Symbol"/>
      <family val="1"/>
      <charset val="2"/>
    </font>
    <font>
      <vertAlign val="subscript"/>
      <sz val="11"/>
      <name val="Times New Roman"/>
      <family val="1"/>
    </font>
    <font>
      <vertAlign val="superscript"/>
      <sz val="11"/>
      <name val="Times New Roman"/>
      <family val="1"/>
    </font>
    <font>
      <b/>
      <sz val="11"/>
      <name val="Calibri"/>
      <family val="2"/>
    </font>
    <font>
      <i/>
      <sz val="10"/>
      <name val="Arial"/>
      <family val="2"/>
    </font>
    <font>
      <b/>
      <u/>
      <sz val="12"/>
      <name val="Arial"/>
      <family val="2"/>
    </font>
    <font>
      <sz val="10"/>
      <name val="Calibri"/>
      <family val="2"/>
    </font>
    <font>
      <b/>
      <sz val="11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u/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Calibri"/>
      <family val="2"/>
      <scheme val="minor"/>
    </font>
    <font>
      <sz val="6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3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name val="Calibri"/>
      <family val="2"/>
      <scheme val="minor"/>
    </font>
    <font>
      <b/>
      <u/>
      <sz val="14"/>
      <color indexed="8"/>
      <name val="Calibri"/>
      <family val="2"/>
      <scheme val="minor"/>
    </font>
    <font>
      <sz val="13"/>
      <color indexed="8"/>
      <name val="Calibri"/>
      <family val="2"/>
      <scheme val="minor"/>
    </font>
    <font>
      <u/>
      <sz val="11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rgb="FF000000"/>
      <name val="+Mn-Ea"/>
      <charset val="1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u/>
      <sz val="18"/>
      <color rgb="FFFF0000"/>
      <name val="Arial"/>
      <family val="2"/>
    </font>
    <font>
      <b/>
      <sz val="12"/>
      <name val="Arial"/>
      <family val="2"/>
    </font>
    <font>
      <sz val="10"/>
      <name val="Arial"/>
    </font>
    <font>
      <sz val="10"/>
      <color rgb="FFFF0000"/>
      <name val="Arial"/>
      <family val="2"/>
    </font>
    <font>
      <sz val="12"/>
      <name val="Calibri"/>
      <family val="2"/>
    </font>
    <font>
      <b/>
      <i/>
      <sz val="18"/>
      <name val="Arial"/>
      <family val="2"/>
    </font>
    <font>
      <b/>
      <sz val="8"/>
      <name val="Arial"/>
      <family val="2"/>
    </font>
    <font>
      <sz val="10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0"/>
      <name val="Times New Roman"/>
      <family val="1"/>
    </font>
    <font>
      <sz val="8"/>
      <color theme="0"/>
      <name val="Times New Roman"/>
      <family val="1"/>
    </font>
    <font>
      <b/>
      <u/>
      <sz val="10"/>
      <color rgb="FFFF0000"/>
      <name val="Arial"/>
      <family val="2"/>
    </font>
    <font>
      <b/>
      <sz val="8"/>
      <color theme="0"/>
      <name val="Times New Roman"/>
      <family val="1"/>
    </font>
    <font>
      <b/>
      <sz val="10"/>
      <name val="Calibri"/>
      <family val="2"/>
    </font>
    <font>
      <b/>
      <sz val="16"/>
      <color indexed="81"/>
      <name val="Tahoma"/>
      <family val="2"/>
    </font>
    <font>
      <b/>
      <i/>
      <sz val="11"/>
      <name val="Arial"/>
      <family val="2"/>
    </font>
    <font>
      <sz val="48"/>
      <name val="Arial"/>
      <family val="2"/>
    </font>
    <font>
      <sz val="48"/>
      <name val="Times New Roman"/>
      <family val="1"/>
    </font>
    <font>
      <b/>
      <i/>
      <sz val="10"/>
      <name val="Times New Roman"/>
      <family val="1"/>
    </font>
    <font>
      <b/>
      <sz val="9"/>
      <name val="Arial"/>
      <family val="2"/>
    </font>
    <font>
      <sz val="8"/>
      <name val="Arial"/>
      <family val="2"/>
    </font>
    <font>
      <sz val="8"/>
      <name val="Times New Roman"/>
      <family val="1"/>
    </font>
    <font>
      <sz val="11"/>
      <color rgb="FFFF0000"/>
      <name val="Arial"/>
      <family val="2"/>
    </font>
    <font>
      <b/>
      <sz val="14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</font>
    <font>
      <sz val="9"/>
      <name val="Calibri"/>
      <family val="2"/>
    </font>
    <font>
      <b/>
      <sz val="14"/>
      <name val="Times New Roman"/>
      <family val="1"/>
    </font>
    <font>
      <b/>
      <sz val="18"/>
      <name val="Arial"/>
      <family val="2"/>
    </font>
    <font>
      <b/>
      <sz val="11"/>
      <color rgb="FFFF000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5" tint="-0.249977111117893"/>
      <name val="Arial"/>
      <family val="2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1"/>
      <name val="Arial"/>
      <family val="2"/>
    </font>
    <font>
      <b/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sz val="8"/>
      <color theme="1"/>
      <name val="Arial"/>
      <family val="2"/>
    </font>
    <font>
      <sz val="7"/>
      <color theme="1"/>
      <name val="Calibri"/>
      <family val="2"/>
      <scheme val="minor"/>
    </font>
    <font>
      <sz val="7"/>
      <color theme="1"/>
      <name val="Arial"/>
      <family val="2"/>
    </font>
    <font>
      <sz val="9"/>
      <color theme="1"/>
      <name val="Times New Roman"/>
      <family val="1"/>
    </font>
    <font>
      <sz val="10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+Mn-Ea"/>
      <charset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theme="1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theme="1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theme="1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theme="1"/>
      </right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/>
      <top style="thin">
        <color indexed="64"/>
      </top>
      <bottom/>
      <diagonal/>
    </border>
    <border>
      <left style="thin">
        <color indexed="64"/>
      </left>
      <right style="medium">
        <color theme="1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1"/>
      </left>
      <right/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787">
    <xf numFmtId="0" fontId="0" fillId="0" borderId="0" xfId="0"/>
    <xf numFmtId="0" fontId="5" fillId="2" borderId="0" xfId="0" applyFont="1" applyFill="1"/>
    <xf numFmtId="0" fontId="7" fillId="0" borderId="0" xfId="0" applyFont="1" applyAlignment="1">
      <alignment horizontal="right" vertical="center"/>
    </xf>
    <xf numFmtId="0" fontId="9" fillId="0" borderId="0" xfId="0" applyFont="1" applyAlignment="1">
      <alignment vertical="center" wrapText="1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0" fillId="0" borderId="17" xfId="0" applyBorder="1"/>
    <xf numFmtId="2" fontId="12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2" fontId="12" fillId="0" borderId="19" xfId="0" applyNumberFormat="1" applyFont="1" applyBorder="1" applyAlignment="1">
      <alignment horizontal="center" vertical="center"/>
    </xf>
    <xf numFmtId="0" fontId="0" fillId="0" borderId="20" xfId="0" applyBorder="1"/>
    <xf numFmtId="0" fontId="12" fillId="0" borderId="19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16" fillId="0" borderId="20" xfId="0" applyFont="1" applyBorder="1"/>
    <xf numFmtId="0" fontId="15" fillId="0" borderId="0" xfId="0" applyFont="1"/>
    <xf numFmtId="165" fontId="0" fillId="0" borderId="2" xfId="0" applyNumberForma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20" xfId="0" applyFont="1" applyBorder="1" applyAlignment="1">
      <alignment horizontal="left"/>
    </xf>
    <xf numFmtId="0" fontId="16" fillId="0" borderId="0" xfId="0" applyFont="1" applyAlignment="1">
      <alignment horizontal="center"/>
    </xf>
    <xf numFmtId="164" fontId="8" fillId="0" borderId="0" xfId="0" applyNumberFormat="1" applyFont="1"/>
    <xf numFmtId="0" fontId="8" fillId="0" borderId="0" xfId="0" applyFont="1"/>
    <xf numFmtId="164" fontId="8" fillId="0" borderId="12" xfId="0" applyNumberFormat="1" applyFont="1" applyBorder="1"/>
    <xf numFmtId="2" fontId="8" fillId="0" borderId="11" xfId="0" applyNumberFormat="1" applyFont="1" applyBorder="1" applyAlignment="1">
      <alignment horizontal="center"/>
    </xf>
    <xf numFmtId="0" fontId="8" fillId="0" borderId="52" xfId="0" applyFont="1" applyBorder="1"/>
    <xf numFmtId="0" fontId="7" fillId="0" borderId="52" xfId="0" applyFont="1" applyBorder="1"/>
    <xf numFmtId="2" fontId="8" fillId="0" borderId="52" xfId="0" applyNumberFormat="1" applyFont="1" applyBorder="1"/>
    <xf numFmtId="0" fontId="16" fillId="0" borderId="46" xfId="0" applyFont="1" applyBorder="1"/>
    <xf numFmtId="0" fontId="7" fillId="0" borderId="0" xfId="0" applyFont="1"/>
    <xf numFmtId="0" fontId="7" fillId="0" borderId="6" xfId="0" applyFont="1" applyBorder="1"/>
    <xf numFmtId="164" fontId="17" fillId="0" borderId="8" xfId="0" applyNumberFormat="1" applyFont="1" applyBorder="1" applyAlignment="1">
      <alignment horizontal="center"/>
    </xf>
    <xf numFmtId="0" fontId="8" fillId="0" borderId="7" xfId="0" applyFont="1" applyBorder="1"/>
    <xf numFmtId="0" fontId="7" fillId="0" borderId="7" xfId="0" applyFont="1" applyBorder="1"/>
    <xf numFmtId="2" fontId="8" fillId="0" borderId="7" xfId="0" applyNumberFormat="1" applyFont="1" applyBorder="1"/>
    <xf numFmtId="0" fontId="16" fillId="0" borderId="45" xfId="0" applyFont="1" applyBorder="1"/>
    <xf numFmtId="0" fontId="7" fillId="0" borderId="53" xfId="0" applyFont="1" applyBorder="1"/>
    <xf numFmtId="11" fontId="7" fillId="0" borderId="5" xfId="0" applyNumberFormat="1" applyFont="1" applyBorder="1" applyAlignment="1">
      <alignment horizontal="center"/>
    </xf>
    <xf numFmtId="0" fontId="18" fillId="0" borderId="0" xfId="0" applyFont="1"/>
    <xf numFmtId="2" fontId="8" fillId="0" borderId="0" xfId="0" applyNumberFormat="1" applyFont="1"/>
    <xf numFmtId="166" fontId="7" fillId="0" borderId="8" xfId="0" applyNumberFormat="1" applyFont="1" applyBorder="1" applyAlignment="1">
      <alignment horizontal="center"/>
    </xf>
    <xf numFmtId="0" fontId="19" fillId="0" borderId="7" xfId="0" applyFont="1" applyBorder="1"/>
    <xf numFmtId="11" fontId="10" fillId="0" borderId="0" xfId="0" applyNumberFormat="1" applyFont="1" applyAlignment="1">
      <alignment horizontal="center"/>
    </xf>
    <xf numFmtId="11" fontId="10" fillId="0" borderId="3" xfId="0" applyNumberFormat="1" applyFont="1" applyBorder="1" applyAlignment="1">
      <alignment horizontal="center"/>
    </xf>
    <xf numFmtId="11" fontId="10" fillId="0" borderId="5" xfId="0" applyNumberFormat="1" applyFont="1" applyBorder="1" applyAlignment="1">
      <alignment horizontal="center"/>
    </xf>
    <xf numFmtId="2" fontId="15" fillId="0" borderId="0" xfId="0" applyNumberFormat="1" applyFont="1"/>
    <xf numFmtId="167" fontId="10" fillId="0" borderId="0" xfId="0" applyNumberFormat="1" applyFont="1" applyAlignment="1">
      <alignment horizontal="center"/>
    </xf>
    <xf numFmtId="11" fontId="10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7" fontId="10" fillId="0" borderId="7" xfId="0" applyNumberFormat="1" applyFont="1" applyBorder="1" applyAlignment="1">
      <alignment horizontal="center"/>
    </xf>
    <xf numFmtId="0" fontId="10" fillId="0" borderId="2" xfId="3" applyFont="1" applyBorder="1" applyAlignment="1">
      <alignment horizontal="center"/>
    </xf>
    <xf numFmtId="2" fontId="10" fillId="0" borderId="52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45" xfId="0" applyFont="1" applyBorder="1"/>
    <xf numFmtId="11" fontId="10" fillId="0" borderId="6" xfId="0" applyNumberFormat="1" applyFont="1" applyBorder="1" applyAlignment="1">
      <alignment horizontal="center"/>
    </xf>
    <xf numFmtId="2" fontId="10" fillId="0" borderId="6" xfId="0" applyNumberFormat="1" applyFont="1" applyBorder="1" applyAlignment="1">
      <alignment horizontal="center"/>
    </xf>
    <xf numFmtId="0" fontId="10" fillId="0" borderId="45" xfId="0" applyFont="1" applyBorder="1" applyAlignment="1">
      <alignment horizontal="left"/>
    </xf>
    <xf numFmtId="2" fontId="10" fillId="0" borderId="0" xfId="0" applyNumberFormat="1" applyFont="1" applyAlignment="1">
      <alignment horizontal="center"/>
    </xf>
    <xf numFmtId="11" fontId="10" fillId="0" borderId="53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2" fontId="10" fillId="0" borderId="3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2" fontId="16" fillId="0" borderId="7" xfId="0" applyNumberFormat="1" applyFont="1" applyBorder="1" applyAlignment="1">
      <alignment horizontal="center"/>
    </xf>
    <xf numFmtId="0" fontId="16" fillId="0" borderId="45" xfId="0" applyFont="1" applyBorder="1" applyAlignment="1">
      <alignment horizontal="center"/>
    </xf>
    <xf numFmtId="0" fontId="4" fillId="0" borderId="0" xfId="3" applyAlignment="1">
      <alignment vertical="center"/>
    </xf>
    <xf numFmtId="0" fontId="6" fillId="0" borderId="0" xfId="0" applyFont="1" applyAlignment="1">
      <alignment horizontal="center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6" fillId="0" borderId="0" xfId="3" applyFont="1" applyAlignment="1">
      <alignment vertical="center"/>
    </xf>
    <xf numFmtId="164" fontId="8" fillId="0" borderId="6" xfId="0" applyNumberFormat="1" applyFont="1" applyBorder="1"/>
    <xf numFmtId="0" fontId="16" fillId="0" borderId="0" xfId="3" applyFont="1"/>
    <xf numFmtId="0" fontId="14" fillId="0" borderId="18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0" fontId="13" fillId="0" borderId="0" xfId="0" applyFont="1"/>
    <xf numFmtId="0" fontId="16" fillId="0" borderId="6" xfId="0" applyFont="1" applyBorder="1" applyAlignment="1">
      <alignment horizontal="center"/>
    </xf>
    <xf numFmtId="2" fontId="0" fillId="0" borderId="18" xfId="0" applyNumberFormat="1" applyBorder="1" applyAlignment="1">
      <alignment horizontal="center" vertical="center"/>
    </xf>
    <xf numFmtId="0" fontId="13" fillId="0" borderId="0" xfId="0" applyFont="1" applyAlignment="1">
      <alignment horizontal="center"/>
    </xf>
    <xf numFmtId="164" fontId="0" fillId="0" borderId="18" xfId="0" applyNumberForma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2" fontId="12" fillId="0" borderId="29" xfId="0" applyNumberFormat="1" applyFont="1" applyBorder="1" applyAlignment="1">
      <alignment horizontal="center" vertical="center"/>
    </xf>
    <xf numFmtId="2" fontId="12" fillId="0" borderId="30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4" fillId="0" borderId="0" xfId="0" applyFont="1"/>
    <xf numFmtId="0" fontId="6" fillId="0" borderId="0" xfId="0" applyFont="1" applyAlignment="1">
      <alignment horizontal="left"/>
    </xf>
    <xf numFmtId="0" fontId="23" fillId="0" borderId="0" xfId="0" applyFont="1"/>
    <xf numFmtId="0" fontId="11" fillId="0" borderId="0" xfId="0" applyFont="1" applyAlignment="1">
      <alignment horizontal="right"/>
    </xf>
    <xf numFmtId="0" fontId="0" fillId="0" borderId="1" xfId="0" applyBorder="1"/>
    <xf numFmtId="164" fontId="0" fillId="0" borderId="2" xfId="0" applyNumberFormat="1" applyBorder="1" applyAlignment="1">
      <alignment horizontal="center" vertical="center"/>
    </xf>
    <xf numFmtId="0" fontId="12" fillId="0" borderId="66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/>
    </xf>
    <xf numFmtId="1" fontId="6" fillId="0" borderId="0" xfId="0" applyNumberFormat="1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right"/>
    </xf>
    <xf numFmtId="0" fontId="6" fillId="0" borderId="49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4" fillId="0" borderId="73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6" fillId="0" borderId="45" xfId="3" applyFont="1" applyBorder="1"/>
    <xf numFmtId="0" fontId="4" fillId="0" borderId="7" xfId="3" applyBorder="1"/>
    <xf numFmtId="1" fontId="4" fillId="0" borderId="7" xfId="3" applyNumberFormat="1" applyBorder="1"/>
    <xf numFmtId="0" fontId="6" fillId="0" borderId="6" xfId="3" applyFont="1" applyBorder="1" applyAlignment="1">
      <alignment horizontal="center"/>
    </xf>
    <xf numFmtId="0" fontId="4" fillId="0" borderId="0" xfId="3"/>
    <xf numFmtId="0" fontId="16" fillId="0" borderId="45" xfId="3" applyFont="1" applyBorder="1" applyAlignment="1">
      <alignment horizontal="center"/>
    </xf>
    <xf numFmtId="0" fontId="16" fillId="0" borderId="2" xfId="3" applyFont="1" applyBorder="1" applyAlignment="1">
      <alignment horizontal="center"/>
    </xf>
    <xf numFmtId="0" fontId="16" fillId="0" borderId="7" xfId="3" applyFont="1" applyBorder="1" applyAlignment="1">
      <alignment horizontal="center"/>
    </xf>
    <xf numFmtId="2" fontId="16" fillId="0" borderId="7" xfId="3" applyNumberFormat="1" applyFont="1" applyBorder="1" applyAlignment="1">
      <alignment horizontal="center"/>
    </xf>
    <xf numFmtId="0" fontId="16" fillId="0" borderId="6" xfId="3" applyFont="1" applyBorder="1" applyAlignment="1">
      <alignment horizontal="center"/>
    </xf>
    <xf numFmtId="0" fontId="10" fillId="0" borderId="30" xfId="3" applyFont="1" applyBorder="1" applyAlignment="1">
      <alignment horizontal="left"/>
    </xf>
    <xf numFmtId="0" fontId="10" fillId="0" borderId="0" xfId="3" applyFont="1" applyAlignment="1">
      <alignment horizontal="center"/>
    </xf>
    <xf numFmtId="2" fontId="10" fillId="0" borderId="3" xfId="3" applyNumberFormat="1" applyFont="1" applyBorder="1" applyAlignment="1">
      <alignment horizontal="center"/>
    </xf>
    <xf numFmtId="2" fontId="10" fillId="0" borderId="0" xfId="3" applyNumberFormat="1" applyFont="1" applyAlignment="1">
      <alignment horizontal="center"/>
    </xf>
    <xf numFmtId="167" fontId="10" fillId="0" borderId="0" xfId="3" applyNumberFormat="1" applyFont="1" applyAlignment="1">
      <alignment horizontal="center"/>
    </xf>
    <xf numFmtId="0" fontId="10" fillId="0" borderId="3" xfId="3" applyFont="1" applyBorder="1" applyAlignment="1">
      <alignment horizontal="center"/>
    </xf>
    <xf numFmtId="11" fontId="10" fillId="0" borderId="3" xfId="3" applyNumberFormat="1" applyFont="1" applyBorder="1" applyAlignment="1">
      <alignment horizontal="center"/>
    </xf>
    <xf numFmtId="11" fontId="10" fillId="0" borderId="53" xfId="3" applyNumberFormat="1" applyFont="1" applyBorder="1" applyAlignment="1">
      <alignment horizontal="center"/>
    </xf>
    <xf numFmtId="0" fontId="10" fillId="0" borderId="45" xfId="3" applyFont="1" applyBorder="1" applyAlignment="1">
      <alignment horizontal="left"/>
    </xf>
    <xf numFmtId="0" fontId="10" fillId="0" borderId="7" xfId="3" applyFont="1" applyBorder="1" applyAlignment="1">
      <alignment horizontal="center"/>
    </xf>
    <xf numFmtId="2" fontId="10" fillId="0" borderId="2" xfId="3" applyNumberFormat="1" applyFont="1" applyBorder="1" applyAlignment="1">
      <alignment horizontal="center"/>
    </xf>
    <xf numFmtId="167" fontId="10" fillId="0" borderId="7" xfId="3" applyNumberFormat="1" applyFont="1" applyBorder="1" applyAlignment="1">
      <alignment horizontal="center"/>
    </xf>
    <xf numFmtId="11" fontId="10" fillId="0" borderId="2" xfId="3" applyNumberFormat="1" applyFont="1" applyBorder="1" applyAlignment="1">
      <alignment horizontal="center"/>
    </xf>
    <xf numFmtId="11" fontId="10" fillId="0" borderId="6" xfId="3" applyNumberFormat="1" applyFont="1" applyBorder="1" applyAlignment="1">
      <alignment horizontal="center"/>
    </xf>
    <xf numFmtId="0" fontId="16" fillId="0" borderId="20" xfId="3" applyFont="1" applyBorder="1"/>
    <xf numFmtId="0" fontId="15" fillId="0" borderId="0" xfId="3" applyFont="1"/>
    <xf numFmtId="2" fontId="15" fillId="0" borderId="0" xfId="3" applyNumberFormat="1" applyFont="1"/>
    <xf numFmtId="11" fontId="10" fillId="0" borderId="5" xfId="3" applyNumberFormat="1" applyFont="1" applyBorder="1" applyAlignment="1">
      <alignment horizontal="center"/>
    </xf>
    <xf numFmtId="0" fontId="16" fillId="0" borderId="45" xfId="3" applyFont="1" applyBorder="1"/>
    <xf numFmtId="0" fontId="8" fillId="0" borderId="7" xfId="3" applyFont="1" applyBorder="1"/>
    <xf numFmtId="2" fontId="8" fillId="0" borderId="7" xfId="3" applyNumberFormat="1" applyFont="1" applyBorder="1"/>
    <xf numFmtId="0" fontId="19" fillId="0" borderId="7" xfId="3" applyFont="1" applyBorder="1"/>
    <xf numFmtId="166" fontId="7" fillId="0" borderId="8" xfId="3" applyNumberFormat="1" applyFont="1" applyBorder="1" applyAlignment="1">
      <alignment horizontal="center"/>
    </xf>
    <xf numFmtId="0" fontId="7" fillId="0" borderId="6" xfId="3" applyFont="1" applyBorder="1"/>
    <xf numFmtId="0" fontId="8" fillId="0" borderId="0" xfId="3" applyFont="1"/>
    <xf numFmtId="2" fontId="8" fillId="0" borderId="0" xfId="3" applyNumberFormat="1" applyFont="1"/>
    <xf numFmtId="0" fontId="18" fillId="0" borderId="0" xfId="3" applyFont="1"/>
    <xf numFmtId="11" fontId="7" fillId="0" borderId="5" xfId="3" applyNumberFormat="1" applyFont="1" applyBorder="1" applyAlignment="1">
      <alignment horizontal="center"/>
    </xf>
    <xf numFmtId="0" fontId="7" fillId="0" borderId="53" xfId="3" applyFont="1" applyBorder="1"/>
    <xf numFmtId="0" fontId="7" fillId="0" borderId="7" xfId="3" applyFont="1" applyBorder="1"/>
    <xf numFmtId="2" fontId="17" fillId="0" borderId="8" xfId="3" applyNumberFormat="1" applyFont="1" applyBorder="1" applyAlignment="1">
      <alignment horizontal="center"/>
    </xf>
    <xf numFmtId="0" fontId="16" fillId="0" borderId="46" xfId="3" applyFont="1" applyBorder="1"/>
    <xf numFmtId="0" fontId="8" fillId="0" borderId="52" xfId="3" applyFont="1" applyBorder="1"/>
    <xf numFmtId="2" fontId="8" fillId="0" borderId="52" xfId="3" applyNumberFormat="1" applyFont="1" applyBorder="1"/>
    <xf numFmtId="0" fontId="7" fillId="0" borderId="52" xfId="3" applyFont="1" applyBorder="1"/>
    <xf numFmtId="2" fontId="8" fillId="0" borderId="11" xfId="3" applyNumberFormat="1" applyFont="1" applyBorder="1" applyAlignment="1">
      <alignment horizontal="center"/>
    </xf>
    <xf numFmtId="2" fontId="12" fillId="0" borderId="26" xfId="0" applyNumberFormat="1" applyFont="1" applyBorder="1" applyAlignment="1">
      <alignment horizontal="center" vertical="center"/>
    </xf>
    <xf numFmtId="1" fontId="12" fillId="0" borderId="26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16" fillId="0" borderId="0" xfId="0" applyFont="1"/>
    <xf numFmtId="0" fontId="0" fillId="0" borderId="61" xfId="0" applyBorder="1"/>
    <xf numFmtId="0" fontId="0" fillId="0" borderId="60" xfId="0" applyBorder="1"/>
    <xf numFmtId="0" fontId="0" fillId="0" borderId="59" xfId="0" applyBorder="1"/>
    <xf numFmtId="11" fontId="10" fillId="0" borderId="17" xfId="0" applyNumberFormat="1" applyFont="1" applyBorder="1" applyAlignment="1">
      <alignment horizontal="center"/>
    </xf>
    <xf numFmtId="11" fontId="10" fillId="0" borderId="38" xfId="0" applyNumberFormat="1" applyFont="1" applyBorder="1" applyAlignment="1">
      <alignment horizontal="center"/>
    </xf>
    <xf numFmtId="11" fontId="10" fillId="0" borderId="77" xfId="0" applyNumberFormat="1" applyFont="1" applyBorder="1" applyAlignment="1">
      <alignment horizontal="center"/>
    </xf>
    <xf numFmtId="0" fontId="7" fillId="0" borderId="38" xfId="0" applyFont="1" applyBorder="1"/>
    <xf numFmtId="0" fontId="7" fillId="0" borderId="17" xfId="0" applyFont="1" applyBorder="1"/>
    <xf numFmtId="164" fontId="8" fillId="0" borderId="78" xfId="0" applyNumberFormat="1" applyFont="1" applyBorder="1"/>
    <xf numFmtId="165" fontId="4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0" xfId="0" applyFont="1" applyAlignment="1">
      <alignment horizontal="left" vertical="top" wrapText="1"/>
    </xf>
    <xf numFmtId="0" fontId="14" fillId="0" borderId="49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right"/>
    </xf>
    <xf numFmtId="0" fontId="27" fillId="0" borderId="0" xfId="0" applyFont="1"/>
    <xf numFmtId="0" fontId="29" fillId="0" borderId="0" xfId="1" applyFont="1"/>
    <xf numFmtId="0" fontId="29" fillId="0" borderId="0" xfId="1" applyFont="1" applyAlignment="1">
      <alignment horizontal="center"/>
    </xf>
    <xf numFmtId="0" fontId="30" fillId="0" borderId="0" xfId="0" applyFont="1" applyAlignment="1">
      <alignment vertical="center" wrapText="1"/>
    </xf>
    <xf numFmtId="164" fontId="29" fillId="0" borderId="0" xfId="0" applyNumberFormat="1" applyFont="1"/>
    <xf numFmtId="0" fontId="27" fillId="0" borderId="2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/>
    </xf>
    <xf numFmtId="0" fontId="29" fillId="0" borderId="7" xfId="0" applyFont="1" applyBorder="1"/>
    <xf numFmtId="0" fontId="29" fillId="0" borderId="8" xfId="0" applyFont="1" applyBorder="1" applyAlignment="1">
      <alignment horizontal="right"/>
    </xf>
    <xf numFmtId="0" fontId="29" fillId="0" borderId="6" xfId="0" applyFont="1" applyBorder="1"/>
    <xf numFmtId="164" fontId="29" fillId="0" borderId="8" xfId="0" applyNumberFormat="1" applyFont="1" applyBorder="1" applyAlignment="1">
      <alignment horizontal="right"/>
    </xf>
    <xf numFmtId="0" fontId="29" fillId="0" borderId="7" xfId="1" applyFont="1" applyBorder="1"/>
    <xf numFmtId="0" fontId="29" fillId="0" borderId="6" xfId="1" applyFont="1" applyBorder="1"/>
    <xf numFmtId="0" fontId="31" fillId="0" borderId="8" xfId="0" applyFont="1" applyBorder="1" applyAlignment="1">
      <alignment horizontal="left" readingOrder="1"/>
    </xf>
    <xf numFmtId="0" fontId="31" fillId="0" borderId="6" xfId="0" applyFont="1" applyBorder="1" applyAlignment="1">
      <alignment horizontal="left"/>
    </xf>
    <xf numFmtId="165" fontId="29" fillId="0" borderId="8" xfId="0" applyNumberFormat="1" applyFont="1" applyBorder="1" applyAlignment="1">
      <alignment horizontal="right"/>
    </xf>
    <xf numFmtId="0" fontId="32" fillId="2" borderId="0" xfId="0" applyFont="1" applyFill="1"/>
    <xf numFmtId="0" fontId="33" fillId="2" borderId="0" xfId="0" applyFont="1" applyFill="1"/>
    <xf numFmtId="0" fontId="32" fillId="2" borderId="0" xfId="0" applyFont="1" applyFill="1" applyAlignment="1">
      <alignment horizontal="center"/>
    </xf>
    <xf numFmtId="0" fontId="32" fillId="2" borderId="5" xfId="0" applyFont="1" applyFill="1" applyBorder="1" applyAlignment="1">
      <alignment horizontal="center"/>
    </xf>
    <xf numFmtId="0" fontId="32" fillId="2" borderId="4" xfId="0" applyFont="1" applyFill="1" applyBorder="1" applyAlignment="1">
      <alignment horizontal="center"/>
    </xf>
    <xf numFmtId="0" fontId="33" fillId="2" borderId="2" xfId="0" applyFont="1" applyFill="1" applyBorder="1" applyAlignment="1">
      <alignment horizontal="center" vertical="center"/>
    </xf>
    <xf numFmtId="165" fontId="29" fillId="0" borderId="2" xfId="0" applyNumberFormat="1" applyFont="1" applyBorder="1" applyAlignment="1">
      <alignment horizontal="center"/>
    </xf>
    <xf numFmtId="0" fontId="29" fillId="0" borderId="2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 wrapText="1"/>
    </xf>
    <xf numFmtId="165" fontId="33" fillId="2" borderId="2" xfId="0" quotePrefix="1" applyNumberFormat="1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left"/>
    </xf>
    <xf numFmtId="0" fontId="29" fillId="0" borderId="8" xfId="1" applyFont="1" applyBorder="1" applyAlignment="1">
      <alignment horizontal="center"/>
    </xf>
    <xf numFmtId="0" fontId="29" fillId="0" borderId="6" xfId="1" applyFont="1" applyBorder="1" applyAlignment="1">
      <alignment horizontal="center"/>
    </xf>
    <xf numFmtId="0" fontId="29" fillId="0" borderId="7" xfId="0" applyFont="1" applyBorder="1" applyAlignment="1">
      <alignment horizontal="center"/>
    </xf>
    <xf numFmtId="0" fontId="29" fillId="0" borderId="6" xfId="0" applyFont="1" applyBorder="1" applyAlignment="1">
      <alignment horizontal="left"/>
    </xf>
    <xf numFmtId="0" fontId="26" fillId="0" borderId="7" xfId="0" applyFont="1" applyBorder="1" applyAlignment="1">
      <alignment horizontal="center"/>
    </xf>
    <xf numFmtId="0" fontId="27" fillId="0" borderId="8" xfId="1" applyFont="1" applyBorder="1" applyAlignment="1">
      <alignment horizontal="center" vertical="center"/>
    </xf>
    <xf numFmtId="0" fontId="27" fillId="0" borderId="2" xfId="1" applyFont="1" applyBorder="1" applyAlignment="1">
      <alignment horizontal="center" vertical="center" wrapText="1"/>
    </xf>
    <xf numFmtId="0" fontId="27" fillId="0" borderId="2" xfId="0" applyFont="1" applyBorder="1" applyAlignment="1" applyProtection="1">
      <alignment horizontal="center" vertical="center" wrapText="1"/>
      <protection locked="0"/>
    </xf>
    <xf numFmtId="0" fontId="29" fillId="0" borderId="8" xfId="1" applyFont="1" applyBorder="1" applyAlignment="1">
      <alignment horizontal="center" vertical="center"/>
    </xf>
    <xf numFmtId="0" fontId="29" fillId="0" borderId="2" xfId="1" applyFont="1" applyBorder="1" applyAlignment="1">
      <alignment horizontal="center" vertical="center" wrapText="1"/>
    </xf>
    <xf numFmtId="0" fontId="29" fillId="0" borderId="2" xfId="0" applyFont="1" applyBorder="1" applyAlignment="1" applyProtection="1">
      <alignment horizontal="center" vertical="center"/>
      <protection locked="0"/>
    </xf>
    <xf numFmtId="164" fontId="27" fillId="0" borderId="0" xfId="0" applyNumberFormat="1" applyFont="1" applyAlignment="1">
      <alignment horizontal="center" vertical="center"/>
    </xf>
    <xf numFmtId="164" fontId="29" fillId="0" borderId="0" xfId="0" applyNumberFormat="1" applyFont="1" applyAlignment="1">
      <alignment horizontal="center" vertical="center"/>
    </xf>
    <xf numFmtId="164" fontId="27" fillId="0" borderId="2" xfId="0" applyNumberFormat="1" applyFont="1" applyBorder="1" applyAlignment="1">
      <alignment horizontal="center" vertical="center"/>
    </xf>
    <xf numFmtId="164" fontId="29" fillId="0" borderId="2" xfId="0" applyNumberFormat="1" applyFont="1" applyBorder="1" applyAlignment="1">
      <alignment horizontal="center" vertical="center"/>
    </xf>
    <xf numFmtId="0" fontId="29" fillId="0" borderId="0" xfId="1" applyFont="1" applyAlignment="1">
      <alignment horizontal="right"/>
    </xf>
    <xf numFmtId="0" fontId="29" fillId="0" borderId="0" xfId="0" applyFont="1" applyProtection="1">
      <protection locked="0"/>
    </xf>
    <xf numFmtId="0" fontId="28" fillId="0" borderId="0" xfId="1" applyFont="1"/>
    <xf numFmtId="2" fontId="29" fillId="0" borderId="0" xfId="1" applyNumberFormat="1" applyFont="1" applyAlignment="1">
      <alignment horizontal="center"/>
    </xf>
    <xf numFmtId="0" fontId="29" fillId="0" borderId="0" xfId="0" applyFont="1" applyAlignment="1" applyProtection="1">
      <alignment horizontal="left"/>
      <protection locked="0"/>
    </xf>
    <xf numFmtId="0" fontId="10" fillId="0" borderId="0" xfId="1" applyFont="1"/>
    <xf numFmtId="0" fontId="35" fillId="0" borderId="0" xfId="0" applyFont="1" applyAlignment="1">
      <alignment horizontal="center"/>
    </xf>
    <xf numFmtId="0" fontId="33" fillId="2" borderId="0" xfId="0" applyFont="1" applyFill="1" applyAlignment="1">
      <alignment horizontal="right"/>
    </xf>
    <xf numFmtId="164" fontId="33" fillId="2" borderId="0" xfId="0" applyNumberFormat="1" applyFont="1" applyFill="1"/>
    <xf numFmtId="1" fontId="33" fillId="2" borderId="0" xfId="0" applyNumberFormat="1" applyFont="1" applyFill="1" applyAlignment="1">
      <alignment horizontal="center" vertical="center"/>
    </xf>
    <xf numFmtId="2" fontId="33" fillId="2" borderId="0" xfId="0" applyNumberFormat="1" applyFont="1" applyFill="1" applyAlignment="1">
      <alignment horizontal="center" vertical="center"/>
    </xf>
    <xf numFmtId="2" fontId="33" fillId="2" borderId="0" xfId="0" quotePrefix="1" applyNumberFormat="1" applyFont="1" applyFill="1" applyAlignment="1">
      <alignment horizontal="center" vertical="center"/>
    </xf>
    <xf numFmtId="2" fontId="29" fillId="0" borderId="2" xfId="0" applyNumberFormat="1" applyFont="1" applyBorder="1" applyAlignment="1">
      <alignment horizontal="center" vertical="center"/>
    </xf>
    <xf numFmtId="0" fontId="33" fillId="2" borderId="0" xfId="0" applyFont="1" applyFill="1" applyAlignment="1">
      <alignment horizontal="left"/>
    </xf>
    <xf numFmtId="0" fontId="32" fillId="2" borderId="5" xfId="0" applyFont="1" applyFill="1" applyBorder="1" applyAlignment="1">
      <alignment horizontal="center" vertical="center"/>
    </xf>
    <xf numFmtId="0" fontId="32" fillId="2" borderId="4" xfId="0" applyFont="1" applyFill="1" applyBorder="1" applyAlignment="1">
      <alignment horizontal="center" vertical="center"/>
    </xf>
    <xf numFmtId="0" fontId="32" fillId="2" borderId="0" xfId="0" applyFont="1" applyFill="1" applyAlignment="1">
      <alignment horizontal="center" vertical="center"/>
    </xf>
    <xf numFmtId="2" fontId="29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65" fontId="0" fillId="0" borderId="33" xfId="0" applyNumberFormat="1" applyBorder="1" applyAlignment="1">
      <alignment horizontal="center" vertical="center"/>
    </xf>
    <xf numFmtId="165" fontId="0" fillId="0" borderId="29" xfId="0" applyNumberFormat="1" applyBorder="1" applyAlignment="1">
      <alignment horizontal="center" vertical="center"/>
    </xf>
    <xf numFmtId="165" fontId="0" fillId="0" borderId="26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6" fillId="0" borderId="0" xfId="3" applyFont="1"/>
    <xf numFmtId="1" fontId="4" fillId="0" borderId="0" xfId="3" applyNumberFormat="1"/>
    <xf numFmtId="0" fontId="6" fillId="0" borderId="0" xfId="3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0" fontId="10" fillId="0" borderId="2" xfId="0" applyFont="1" applyBorder="1" applyAlignment="1">
      <alignment horizontal="left"/>
    </xf>
    <xf numFmtId="2" fontId="10" fillId="0" borderId="2" xfId="0" applyNumberFormat="1" applyFont="1" applyBorder="1" applyAlignment="1">
      <alignment horizontal="center"/>
    </xf>
    <xf numFmtId="167" fontId="10" fillId="0" borderId="2" xfId="0" applyNumberFormat="1" applyFont="1" applyBorder="1" applyAlignment="1">
      <alignment horizontal="center"/>
    </xf>
    <xf numFmtId="167" fontId="10" fillId="0" borderId="2" xfId="3" applyNumberFormat="1" applyFont="1" applyBorder="1" applyAlignment="1">
      <alignment horizontal="center"/>
    </xf>
    <xf numFmtId="0" fontId="43" fillId="2" borderId="4" xfId="0" applyFont="1" applyFill="1" applyBorder="1" applyAlignment="1">
      <alignment horizontal="center"/>
    </xf>
    <xf numFmtId="0" fontId="43" fillId="2" borderId="0" xfId="0" applyFont="1" applyFill="1" applyAlignment="1">
      <alignment horizontal="center"/>
    </xf>
    <xf numFmtId="0" fontId="43" fillId="2" borderId="5" xfId="0" applyFont="1" applyFill="1" applyBorder="1" applyAlignment="1">
      <alignment horizontal="center"/>
    </xf>
    <xf numFmtId="0" fontId="43" fillId="2" borderId="3" xfId="0" applyFont="1" applyFill="1" applyBorder="1" applyAlignment="1">
      <alignment horizontal="center"/>
    </xf>
    <xf numFmtId="9" fontId="45" fillId="0" borderId="0" xfId="0" quotePrefix="1" applyNumberFormat="1" applyFont="1" applyAlignment="1">
      <alignment vertical="center"/>
    </xf>
    <xf numFmtId="0" fontId="28" fillId="0" borderId="0" xfId="0" applyFont="1" applyAlignment="1">
      <alignment vertical="center"/>
    </xf>
    <xf numFmtId="0" fontId="10" fillId="0" borderId="0" xfId="1" quotePrefix="1" applyFont="1"/>
    <xf numFmtId="0" fontId="46" fillId="0" borderId="0" xfId="0" applyFont="1" applyAlignment="1">
      <alignment wrapText="1"/>
    </xf>
    <xf numFmtId="0" fontId="40" fillId="2" borderId="0" xfId="0" applyFont="1" applyFill="1"/>
    <xf numFmtId="0" fontId="41" fillId="2" borderId="0" xfId="0" applyFont="1" applyFill="1"/>
    <xf numFmtId="0" fontId="33" fillId="2" borderId="0" xfId="0" applyFont="1" applyFill="1" applyProtection="1">
      <protection locked="0"/>
    </xf>
    <xf numFmtId="0" fontId="28" fillId="0" borderId="0" xfId="0" applyFont="1" applyProtection="1">
      <protection locked="0"/>
    </xf>
    <xf numFmtId="0" fontId="29" fillId="0" borderId="0" xfId="1" applyFont="1" applyProtection="1">
      <protection locked="0"/>
    </xf>
    <xf numFmtId="0" fontId="32" fillId="2" borderId="0" xfId="0" applyFont="1" applyFill="1" applyProtection="1">
      <protection hidden="1"/>
    </xf>
    <xf numFmtId="0" fontId="33" fillId="2" borderId="0" xfId="0" applyFont="1" applyFill="1" applyProtection="1">
      <protection hidden="1"/>
    </xf>
    <xf numFmtId="0" fontId="27" fillId="0" borderId="0" xfId="1" applyFont="1" applyAlignment="1" applyProtection="1">
      <alignment horizontal="center"/>
      <protection hidden="1"/>
    </xf>
    <xf numFmtId="0" fontId="28" fillId="0" borderId="0" xfId="0" applyFont="1" applyProtection="1">
      <protection hidden="1"/>
    </xf>
    <xf numFmtId="165" fontId="29" fillId="0" borderId="0" xfId="1" applyNumberFormat="1" applyFont="1" applyAlignment="1" applyProtection="1">
      <alignment horizontal="right" vertical="center"/>
      <protection hidden="1"/>
    </xf>
    <xf numFmtId="2" fontId="29" fillId="0" borderId="0" xfId="1" applyNumberFormat="1" applyFont="1" applyAlignment="1" applyProtection="1">
      <alignment horizontal="center" vertical="center"/>
      <protection hidden="1"/>
    </xf>
    <xf numFmtId="164" fontId="33" fillId="2" borderId="0" xfId="0" applyNumberFormat="1" applyFont="1" applyFill="1" applyProtection="1">
      <protection hidden="1"/>
    </xf>
    <xf numFmtId="0" fontId="32" fillId="2" borderId="2" xfId="0" applyFont="1" applyFill="1" applyBorder="1" applyAlignment="1" applyProtection="1">
      <alignment horizontal="center" vertical="center" wrapText="1"/>
      <protection hidden="1"/>
    </xf>
    <xf numFmtId="0" fontId="32" fillId="2" borderId="6" xfId="0" applyFont="1" applyFill="1" applyBorder="1" applyAlignment="1" applyProtection="1">
      <alignment vertical="center" wrapText="1"/>
      <protection hidden="1"/>
    </xf>
    <xf numFmtId="0" fontId="29" fillId="0" borderId="2" xfId="1" quotePrefix="1" applyFont="1" applyBorder="1" applyAlignment="1" applyProtection="1">
      <alignment horizontal="center"/>
      <protection hidden="1"/>
    </xf>
    <xf numFmtId="0" fontId="29" fillId="0" borderId="7" xfId="1" applyFont="1" applyBorder="1" applyProtection="1">
      <protection hidden="1"/>
    </xf>
    <xf numFmtId="0" fontId="29" fillId="0" borderId="6" xfId="1" applyFont="1" applyBorder="1" applyProtection="1">
      <protection hidden="1"/>
    </xf>
    <xf numFmtId="165" fontId="29" fillId="0" borderId="8" xfId="1" applyNumberFormat="1" applyFont="1" applyBorder="1" applyAlignment="1" applyProtection="1">
      <alignment horizontal="right" vertical="center"/>
      <protection hidden="1"/>
    </xf>
    <xf numFmtId="0" fontId="38" fillId="0" borderId="6" xfId="0" applyFont="1" applyBorder="1" applyAlignment="1" applyProtection="1">
      <alignment horizontal="left"/>
      <protection hidden="1"/>
    </xf>
    <xf numFmtId="0" fontId="29" fillId="0" borderId="6" xfId="0" applyFont="1" applyBorder="1" applyAlignment="1" applyProtection="1">
      <alignment horizontal="left"/>
      <protection hidden="1"/>
    </xf>
    <xf numFmtId="164" fontId="29" fillId="0" borderId="8" xfId="1" applyNumberFormat="1" applyFont="1" applyBorder="1" applyAlignment="1" applyProtection="1">
      <alignment horizontal="right" vertical="center"/>
      <protection hidden="1"/>
    </xf>
    <xf numFmtId="0" fontId="33" fillId="2" borderId="2" xfId="0" applyFont="1" applyFill="1" applyBorder="1" applyAlignment="1" applyProtection="1">
      <alignment horizontal="center" vertical="center"/>
      <protection hidden="1"/>
    </xf>
    <xf numFmtId="2" fontId="33" fillId="2" borderId="2" xfId="0" applyNumberFormat="1" applyFont="1" applyFill="1" applyBorder="1" applyAlignment="1" applyProtection="1">
      <alignment horizontal="center" vertical="center"/>
      <protection hidden="1"/>
    </xf>
    <xf numFmtId="2" fontId="29" fillId="0" borderId="2" xfId="0" applyNumberFormat="1" applyFont="1" applyBorder="1" applyAlignment="1" applyProtection="1">
      <alignment horizontal="center"/>
      <protection hidden="1"/>
    </xf>
    <xf numFmtId="0" fontId="28" fillId="0" borderId="8" xfId="0" applyFont="1" applyBorder="1" applyAlignment="1" applyProtection="1">
      <alignment horizontal="right" vertical="center"/>
      <protection hidden="1"/>
    </xf>
    <xf numFmtId="2" fontId="28" fillId="0" borderId="6" xfId="0" applyNumberFormat="1" applyFont="1" applyBorder="1" applyAlignment="1" applyProtection="1">
      <alignment horizontal="left"/>
      <protection hidden="1"/>
    </xf>
    <xf numFmtId="2" fontId="29" fillId="0" borderId="2" xfId="0" applyNumberFormat="1" applyFont="1" applyBorder="1" applyAlignment="1" applyProtection="1">
      <alignment horizontal="center" vertical="center"/>
      <protection hidden="1"/>
    </xf>
    <xf numFmtId="0" fontId="29" fillId="0" borderId="2" xfId="0" applyFont="1" applyBorder="1" applyAlignment="1" applyProtection="1">
      <alignment horizontal="center" vertical="center"/>
      <protection hidden="1"/>
    </xf>
    <xf numFmtId="0" fontId="34" fillId="0" borderId="2" xfId="0" applyFont="1" applyBorder="1" applyAlignment="1" applyProtection="1">
      <alignment horizontal="center" vertical="center" wrapText="1"/>
      <protection hidden="1"/>
    </xf>
    <xf numFmtId="165" fontId="29" fillId="0" borderId="2" xfId="0" applyNumberFormat="1" applyFont="1" applyBorder="1" applyAlignment="1" applyProtection="1">
      <alignment horizontal="center" vertical="center"/>
      <protection hidden="1"/>
    </xf>
    <xf numFmtId="165" fontId="33" fillId="2" borderId="2" xfId="0" quotePrefix="1" applyNumberFormat="1" applyFont="1" applyFill="1" applyBorder="1" applyAlignment="1" applyProtection="1">
      <alignment horizontal="center" vertical="center"/>
      <protection hidden="1"/>
    </xf>
    <xf numFmtId="2" fontId="28" fillId="0" borderId="6" xfId="0" applyNumberFormat="1" applyFont="1" applyBorder="1" applyAlignment="1" applyProtection="1">
      <alignment horizontal="left" vertical="center"/>
      <protection hidden="1"/>
    </xf>
    <xf numFmtId="1" fontId="33" fillId="2" borderId="0" xfId="0" applyNumberFormat="1" applyFont="1" applyFill="1" applyAlignment="1" applyProtection="1">
      <alignment horizontal="center" vertical="center"/>
      <protection hidden="1"/>
    </xf>
    <xf numFmtId="2" fontId="33" fillId="2" borderId="0" xfId="0" applyNumberFormat="1" applyFont="1" applyFill="1" applyAlignment="1" applyProtection="1">
      <alignment horizontal="center" vertical="center"/>
      <protection hidden="1"/>
    </xf>
    <xf numFmtId="2" fontId="33" fillId="2" borderId="0" xfId="0" quotePrefix="1" applyNumberFormat="1" applyFont="1" applyFill="1" applyAlignment="1" applyProtection="1">
      <alignment horizontal="center" vertical="center"/>
      <protection hidden="1"/>
    </xf>
    <xf numFmtId="9" fontId="45" fillId="0" borderId="9" xfId="0" quotePrefix="1" applyNumberFormat="1" applyFont="1" applyBorder="1" applyAlignment="1" applyProtection="1">
      <alignment vertical="center"/>
      <protection hidden="1"/>
    </xf>
    <xf numFmtId="0" fontId="27" fillId="0" borderId="0" xfId="0" applyFont="1" applyProtection="1">
      <protection hidden="1"/>
    </xf>
    <xf numFmtId="9" fontId="45" fillId="0" borderId="52" xfId="0" quotePrefix="1" applyNumberFormat="1" applyFont="1" applyBorder="1" applyAlignment="1" applyProtection="1">
      <alignment vertical="center"/>
      <protection hidden="1"/>
    </xf>
    <xf numFmtId="165" fontId="33" fillId="2" borderId="2" xfId="0" applyNumberFormat="1" applyFont="1" applyFill="1" applyBorder="1" applyAlignment="1" applyProtection="1">
      <alignment horizontal="center" vertical="center"/>
      <protection hidden="1"/>
    </xf>
    <xf numFmtId="0" fontId="29" fillId="0" borderId="0" xfId="0" applyFont="1" applyAlignment="1" applyProtection="1">
      <alignment horizontal="center" vertical="center"/>
      <protection hidden="1"/>
    </xf>
    <xf numFmtId="0" fontId="34" fillId="0" borderId="0" xfId="0" applyFont="1" applyAlignment="1" applyProtection="1">
      <alignment horizontal="center" vertical="center" wrapText="1"/>
      <protection hidden="1"/>
    </xf>
    <xf numFmtId="0" fontId="33" fillId="2" borderId="0" xfId="0" applyFont="1" applyFill="1" applyAlignment="1" applyProtection="1">
      <alignment horizontal="center" vertical="center"/>
      <protection hidden="1"/>
    </xf>
    <xf numFmtId="165" fontId="33" fillId="2" borderId="0" xfId="0" quotePrefix="1" applyNumberFormat="1" applyFont="1" applyFill="1" applyAlignment="1" applyProtection="1">
      <alignment horizontal="center" vertical="center"/>
      <protection hidden="1"/>
    </xf>
    <xf numFmtId="0" fontId="28" fillId="0" borderId="0" xfId="0" applyFont="1" applyAlignment="1" applyProtection="1">
      <alignment horizontal="right" vertical="center"/>
      <protection hidden="1"/>
    </xf>
    <xf numFmtId="2" fontId="28" fillId="0" borderId="0" xfId="0" applyNumberFormat="1" applyFont="1" applyAlignment="1" applyProtection="1">
      <alignment horizontal="left" vertical="center"/>
      <protection hidden="1"/>
    </xf>
    <xf numFmtId="0" fontId="27" fillId="0" borderId="0" xfId="0" applyFont="1" applyAlignment="1" applyProtection="1">
      <alignment horizontal="left" vertical="center"/>
      <protection hidden="1"/>
    </xf>
    <xf numFmtId="0" fontId="29" fillId="0" borderId="1" xfId="0" applyFont="1" applyBorder="1" applyAlignment="1" applyProtection="1">
      <alignment horizontal="center" vertical="center"/>
      <protection hidden="1"/>
    </xf>
    <xf numFmtId="0" fontId="34" fillId="0" borderId="1" xfId="1" applyFont="1" applyBorder="1" applyAlignment="1" applyProtection="1">
      <alignment horizontal="center" vertical="center" wrapText="1"/>
      <protection hidden="1"/>
    </xf>
    <xf numFmtId="0" fontId="33" fillId="2" borderId="1" xfId="0" applyFont="1" applyFill="1" applyBorder="1" applyAlignment="1" applyProtection="1">
      <alignment horizontal="center" vertical="center"/>
      <protection hidden="1"/>
    </xf>
    <xf numFmtId="2" fontId="33" fillId="2" borderId="1" xfId="0" applyNumberFormat="1" applyFont="1" applyFill="1" applyBorder="1" applyAlignment="1" applyProtection="1">
      <alignment horizontal="center" vertical="center"/>
      <protection hidden="1"/>
    </xf>
    <xf numFmtId="165" fontId="33" fillId="2" borderId="1" xfId="0" quotePrefix="1" applyNumberFormat="1" applyFont="1" applyFill="1" applyBorder="1" applyAlignment="1" applyProtection="1">
      <alignment horizontal="center" vertical="center"/>
      <protection hidden="1"/>
    </xf>
    <xf numFmtId="0" fontId="28" fillId="0" borderId="11" xfId="0" applyFont="1" applyBorder="1" applyAlignment="1" applyProtection="1">
      <alignment horizontal="right" vertical="center"/>
      <protection hidden="1"/>
    </xf>
    <xf numFmtId="0" fontId="32" fillId="2" borderId="0" xfId="0" applyFont="1" applyFill="1" applyProtection="1">
      <protection locked="0"/>
    </xf>
    <xf numFmtId="1" fontId="33" fillId="2" borderId="0" xfId="0" applyNumberFormat="1" applyFont="1" applyFill="1" applyAlignment="1" applyProtection="1">
      <alignment horizontal="center" vertical="center"/>
      <protection locked="0"/>
    </xf>
    <xf numFmtId="2" fontId="33" fillId="2" borderId="0" xfId="0" applyNumberFormat="1" applyFont="1" applyFill="1" applyAlignment="1" applyProtection="1">
      <alignment horizontal="center" vertical="center"/>
      <protection locked="0"/>
    </xf>
    <xf numFmtId="2" fontId="33" fillId="2" borderId="0" xfId="0" quotePrefix="1" applyNumberFormat="1" applyFont="1" applyFill="1" applyAlignment="1" applyProtection="1">
      <alignment horizontal="center" vertical="center"/>
      <protection locked="0"/>
    </xf>
    <xf numFmtId="0" fontId="33" fillId="2" borderId="0" xfId="0" applyFont="1" applyFill="1" applyAlignment="1" applyProtection="1">
      <alignment horizontal="left"/>
      <protection locked="0"/>
    </xf>
    <xf numFmtId="0" fontId="27" fillId="0" borderId="0" xfId="0" applyFont="1" applyProtection="1">
      <protection locked="0"/>
    </xf>
    <xf numFmtId="2" fontId="44" fillId="0" borderId="2" xfId="0" applyNumberFormat="1" applyFont="1" applyBorder="1" applyAlignment="1" applyProtection="1">
      <alignment horizontal="center"/>
      <protection locked="0"/>
    </xf>
    <xf numFmtId="0" fontId="28" fillId="2" borderId="2" xfId="0" applyFont="1" applyFill="1" applyBorder="1" applyAlignment="1" applyProtection="1">
      <alignment horizontal="left"/>
      <protection locked="0"/>
    </xf>
    <xf numFmtId="2" fontId="29" fillId="0" borderId="2" xfId="0" applyNumberFormat="1" applyFont="1" applyBorder="1" applyAlignment="1" applyProtection="1">
      <alignment horizontal="center"/>
      <protection locked="0"/>
    </xf>
    <xf numFmtId="165" fontId="29" fillId="0" borderId="2" xfId="0" applyNumberFormat="1" applyFont="1" applyBorder="1" applyAlignment="1">
      <alignment horizontal="center"/>
    </xf>
    <xf numFmtId="0" fontId="4" fillId="0" borderId="0" xfId="4" applyAlignment="1">
      <alignment horizontal="left"/>
    </xf>
    <xf numFmtId="0" fontId="4" fillId="0" borderId="0" xfId="4"/>
    <xf numFmtId="0" fontId="50" fillId="4" borderId="0" xfId="4" applyFont="1" applyFill="1" applyAlignment="1" applyProtection="1">
      <alignment horizontal="left" vertical="center"/>
      <protection locked="0"/>
    </xf>
    <xf numFmtId="0" fontId="16" fillId="4" borderId="2" xfId="4" applyFont="1" applyFill="1" applyBorder="1" applyAlignment="1" applyProtection="1">
      <alignment horizontal="center"/>
      <protection locked="0"/>
    </xf>
    <xf numFmtId="0" fontId="16" fillId="4" borderId="0" xfId="4" applyFont="1" applyFill="1" applyAlignment="1" applyProtection="1">
      <alignment horizontal="left"/>
      <protection locked="0"/>
    </xf>
    <xf numFmtId="0" fontId="16" fillId="4" borderId="2" xfId="4" applyFont="1" applyFill="1" applyBorder="1" applyAlignment="1" applyProtection="1">
      <alignment horizontal="center" vertical="center"/>
      <protection locked="0"/>
    </xf>
    <xf numFmtId="0" fontId="14" fillId="4" borderId="2" xfId="4" applyFont="1" applyFill="1" applyBorder="1" applyAlignment="1" applyProtection="1">
      <alignment horizontal="center" vertical="center"/>
      <protection locked="0"/>
    </xf>
    <xf numFmtId="0" fontId="4" fillId="4" borderId="0" xfId="4" applyFill="1" applyAlignment="1" applyProtection="1">
      <alignment horizontal="left"/>
      <protection locked="0"/>
    </xf>
    <xf numFmtId="2" fontId="14" fillId="0" borderId="2" xfId="5" applyNumberFormat="1" applyFont="1" applyBorder="1" applyAlignment="1">
      <alignment horizontal="center" vertical="center"/>
    </xf>
    <xf numFmtId="2" fontId="14" fillId="0" borderId="2" xfId="5" quotePrefix="1" applyNumberFormat="1" applyFont="1" applyBorder="1" applyAlignment="1">
      <alignment horizontal="center" vertical="center"/>
    </xf>
    <xf numFmtId="1" fontId="4" fillId="4" borderId="2" xfId="4" applyNumberFormat="1" applyFill="1" applyBorder="1" applyAlignment="1" applyProtection="1">
      <alignment horizontal="center" vertical="center"/>
      <protection locked="0"/>
    </xf>
    <xf numFmtId="2" fontId="54" fillId="0" borderId="2" xfId="5" applyNumberFormat="1" applyBorder="1" applyAlignment="1">
      <alignment horizontal="center" vertical="center"/>
    </xf>
    <xf numFmtId="2" fontId="4" fillId="4" borderId="2" xfId="4" applyNumberFormat="1" applyFill="1" applyBorder="1" applyAlignment="1" applyProtection="1">
      <alignment horizontal="center"/>
      <protection locked="0"/>
    </xf>
    <xf numFmtId="2" fontId="22" fillId="4" borderId="2" xfId="4" applyNumberFormat="1" applyFont="1" applyFill="1" applyBorder="1" applyAlignment="1" applyProtection="1">
      <alignment horizontal="center" vertical="center"/>
      <protection locked="0"/>
    </xf>
    <xf numFmtId="2" fontId="54" fillId="0" borderId="2" xfId="5" applyNumberFormat="1" applyBorder="1"/>
    <xf numFmtId="2" fontId="54" fillId="0" borderId="2" xfId="5" quotePrefix="1" applyNumberFormat="1" applyBorder="1" applyAlignment="1">
      <alignment horizontal="center" vertical="center"/>
    </xf>
    <xf numFmtId="0" fontId="7" fillId="4" borderId="2" xfId="4" applyFont="1" applyFill="1" applyBorder="1" applyAlignment="1" applyProtection="1">
      <alignment horizontal="center" vertical="center"/>
      <protection locked="0"/>
    </xf>
    <xf numFmtId="2" fontId="4" fillId="4" borderId="2" xfId="4" applyNumberFormat="1" applyFill="1" applyBorder="1" applyAlignment="1" applyProtection="1">
      <alignment horizontal="center" vertical="center"/>
      <protection locked="0"/>
    </xf>
    <xf numFmtId="165" fontId="22" fillId="4" borderId="2" xfId="4" applyNumberFormat="1" applyFont="1" applyFill="1" applyBorder="1" applyAlignment="1" applyProtection="1">
      <alignment horizontal="center" vertical="center"/>
      <protection locked="0"/>
    </xf>
    <xf numFmtId="0" fontId="4" fillId="4" borderId="2" xfId="4" applyFill="1" applyBorder="1" applyAlignment="1" applyProtection="1">
      <alignment horizontal="center" vertical="center"/>
      <protection locked="0"/>
    </xf>
    <xf numFmtId="164" fontId="4" fillId="4" borderId="2" xfId="4" quotePrefix="1" applyNumberFormat="1" applyFill="1" applyBorder="1" applyAlignment="1" applyProtection="1">
      <alignment horizontal="center" vertical="center"/>
      <protection locked="0"/>
    </xf>
    <xf numFmtId="1" fontId="22" fillId="4" borderId="2" xfId="4" quotePrefix="1" applyNumberFormat="1" applyFont="1" applyFill="1" applyBorder="1" applyAlignment="1" applyProtection="1">
      <alignment horizontal="center" vertical="center"/>
      <protection locked="0"/>
    </xf>
    <xf numFmtId="0" fontId="22" fillId="4" borderId="2" xfId="4" quotePrefix="1" applyFont="1" applyFill="1" applyBorder="1" applyAlignment="1" applyProtection="1">
      <alignment horizontal="center" vertical="center"/>
      <protection locked="0"/>
    </xf>
    <xf numFmtId="0" fontId="22" fillId="4" borderId="2" xfId="4" applyFont="1" applyFill="1" applyBorder="1" applyAlignment="1" applyProtection="1">
      <alignment horizontal="center" vertical="center"/>
      <protection locked="0"/>
    </xf>
    <xf numFmtId="165" fontId="4" fillId="4" borderId="2" xfId="4" applyNumberFormat="1" applyFill="1" applyBorder="1" applyAlignment="1" applyProtection="1">
      <alignment horizontal="center" vertical="center"/>
      <protection locked="0"/>
    </xf>
    <xf numFmtId="2" fontId="4" fillId="4" borderId="2" xfId="4" quotePrefix="1" applyNumberFormat="1" applyFill="1" applyBorder="1" applyAlignment="1" applyProtection="1">
      <alignment horizontal="center" vertical="center"/>
      <protection locked="0"/>
    </xf>
    <xf numFmtId="164" fontId="54" fillId="0" borderId="2" xfId="5" applyNumberFormat="1" applyBorder="1"/>
    <xf numFmtId="164" fontId="54" fillId="0" borderId="2" xfId="5" applyNumberFormat="1" applyBorder="1" applyAlignment="1">
      <alignment horizontal="center" vertical="center"/>
    </xf>
    <xf numFmtId="0" fontId="55" fillId="4" borderId="0" xfId="4" applyFont="1" applyFill="1" applyAlignment="1" applyProtection="1">
      <alignment horizontal="left"/>
      <protection locked="0"/>
    </xf>
    <xf numFmtId="164" fontId="4" fillId="4" borderId="2" xfId="4" applyNumberFormat="1" applyFill="1" applyBorder="1" applyAlignment="1" applyProtection="1">
      <alignment horizontal="center" vertical="center"/>
      <protection locked="0"/>
    </xf>
    <xf numFmtId="167" fontId="4" fillId="4" borderId="2" xfId="4" applyNumberFormat="1" applyFill="1" applyBorder="1" applyAlignment="1" applyProtection="1">
      <alignment horizontal="center" vertical="center"/>
      <protection locked="0"/>
    </xf>
    <xf numFmtId="0" fontId="55" fillId="4" borderId="2" xfId="4" applyFont="1" applyFill="1" applyBorder="1" applyAlignment="1" applyProtection="1">
      <alignment horizontal="center" vertical="center"/>
      <protection locked="0"/>
    </xf>
    <xf numFmtId="0" fontId="4" fillId="3" borderId="20" xfId="4" applyFill="1" applyBorder="1" applyProtection="1">
      <protection locked="0"/>
    </xf>
    <xf numFmtId="0" fontId="4" fillId="3" borderId="0" xfId="4" applyFill="1" applyProtection="1">
      <protection locked="0"/>
    </xf>
    <xf numFmtId="0" fontId="4" fillId="3" borderId="0" xfId="4" applyFill="1"/>
    <xf numFmtId="0" fontId="4" fillId="3" borderId="0" xfId="4" applyFill="1" applyAlignment="1" applyProtection="1">
      <alignment horizontal="left"/>
      <protection locked="0"/>
    </xf>
    <xf numFmtId="0" fontId="4" fillId="3" borderId="17" xfId="4" applyFill="1" applyBorder="1" applyProtection="1">
      <protection locked="0"/>
    </xf>
    <xf numFmtId="0" fontId="4" fillId="3" borderId="0" xfId="4" applyFill="1" applyAlignment="1">
      <alignment horizontal="left"/>
    </xf>
    <xf numFmtId="0" fontId="6" fillId="4" borderId="0" xfId="4" applyFont="1" applyFill="1" applyAlignment="1" applyProtection="1">
      <alignment horizontal="left" vertical="center"/>
      <protection locked="0"/>
    </xf>
    <xf numFmtId="0" fontId="16" fillId="4" borderId="1" xfId="4" applyFont="1" applyFill="1" applyBorder="1" applyAlignment="1" applyProtection="1">
      <alignment horizontal="center"/>
      <protection locked="0"/>
    </xf>
    <xf numFmtId="0" fontId="16" fillId="4" borderId="1" xfId="4" applyFont="1" applyFill="1" applyBorder="1" applyAlignment="1" applyProtection="1">
      <alignment horizontal="center" vertical="center"/>
      <protection locked="0"/>
    </xf>
    <xf numFmtId="0" fontId="4" fillId="4" borderId="2" xfId="4" applyFill="1" applyBorder="1" applyAlignment="1" applyProtection="1">
      <alignment horizontal="right" vertical="center"/>
      <protection locked="0"/>
    </xf>
    <xf numFmtId="2" fontId="4" fillId="0" borderId="2" xfId="5" quotePrefix="1" applyNumberFormat="1" applyFont="1" applyBorder="1" applyAlignment="1">
      <alignment horizontal="center" vertical="center"/>
    </xf>
    <xf numFmtId="165" fontId="4" fillId="4" borderId="2" xfId="4" applyNumberFormat="1" applyFill="1" applyBorder="1" applyAlignment="1" applyProtection="1">
      <alignment horizontal="right" vertical="center"/>
      <protection locked="0"/>
    </xf>
    <xf numFmtId="164" fontId="54" fillId="0" borderId="2" xfId="5" quotePrefix="1" applyNumberFormat="1" applyBorder="1" applyAlignment="1">
      <alignment horizontal="center" vertical="center"/>
    </xf>
    <xf numFmtId="0" fontId="55" fillId="0" borderId="0" xfId="4" applyFont="1" applyAlignment="1">
      <alignment horizontal="left"/>
    </xf>
    <xf numFmtId="164" fontId="54" fillId="0" borderId="1" xfId="5" quotePrefix="1" applyNumberFormat="1" applyBorder="1" applyAlignment="1">
      <alignment horizontal="center" vertical="center"/>
    </xf>
    <xf numFmtId="0" fontId="53" fillId="3" borderId="20" xfId="4" applyFont="1" applyFill="1" applyBorder="1" applyAlignment="1" applyProtection="1">
      <alignment horizontal="center" vertical="center" wrapText="1"/>
      <protection locked="0"/>
    </xf>
    <xf numFmtId="0" fontId="4" fillId="3" borderId="0" xfId="4" applyFill="1" applyAlignment="1" applyProtection="1">
      <alignment horizontal="center" vertical="center"/>
      <protection locked="0"/>
    </xf>
    <xf numFmtId="164" fontId="4" fillId="3" borderId="0" xfId="4" applyNumberFormat="1" applyFill="1" applyAlignment="1" applyProtection="1">
      <alignment horizontal="center" vertical="center"/>
      <protection locked="0"/>
    </xf>
    <xf numFmtId="0" fontId="53" fillId="3" borderId="0" xfId="4" applyFont="1" applyFill="1" applyAlignment="1" applyProtection="1">
      <alignment horizontal="center" vertical="center" wrapText="1"/>
      <protection locked="0"/>
    </xf>
    <xf numFmtId="0" fontId="4" fillId="3" borderId="0" xfId="4" applyFill="1" applyAlignment="1" applyProtection="1">
      <alignment horizontal="right" vertical="center"/>
      <protection locked="0"/>
    </xf>
    <xf numFmtId="2" fontId="22" fillId="0" borderId="2" xfId="5" applyNumberFormat="1" applyFont="1" applyBorder="1" applyAlignment="1">
      <alignment horizontal="center" vertical="center"/>
    </xf>
    <xf numFmtId="0" fontId="4" fillId="0" borderId="0" xfId="4" applyAlignment="1">
      <alignment horizontal="center"/>
    </xf>
    <xf numFmtId="2" fontId="4" fillId="0" borderId="2" xfId="5" applyNumberFormat="1" applyFont="1" applyBorder="1" applyAlignment="1">
      <alignment horizontal="center" vertical="center"/>
    </xf>
    <xf numFmtId="164" fontId="4" fillId="0" borderId="2" xfId="5" applyNumberFormat="1" applyFont="1" applyBorder="1" applyAlignment="1">
      <alignment horizontal="center" vertical="center"/>
    </xf>
    <xf numFmtId="2" fontId="22" fillId="4" borderId="2" xfId="4" quotePrefix="1" applyNumberFormat="1" applyFont="1" applyFill="1" applyBorder="1" applyAlignment="1" applyProtection="1">
      <alignment horizontal="center" vertical="center"/>
      <protection locked="0"/>
    </xf>
    <xf numFmtId="165" fontId="4" fillId="4" borderId="2" xfId="4" quotePrefix="1" applyNumberFormat="1" applyFill="1" applyBorder="1" applyAlignment="1" applyProtection="1">
      <alignment horizontal="center" vertical="center"/>
      <protection locked="0"/>
    </xf>
    <xf numFmtId="0" fontId="4" fillId="4" borderId="2" xfId="4" quotePrefix="1" applyFill="1" applyBorder="1" applyAlignment="1" applyProtection="1">
      <alignment horizontal="center" vertical="center"/>
      <protection locked="0"/>
    </xf>
    <xf numFmtId="0" fontId="53" fillId="5" borderId="48" xfId="4" applyFont="1" applyFill="1" applyBorder="1" applyAlignment="1" applyProtection="1">
      <alignment horizontal="center" vertical="center" wrapText="1"/>
      <protection locked="0"/>
    </xf>
    <xf numFmtId="0" fontId="53" fillId="5" borderId="51" xfId="4" applyFont="1" applyFill="1" applyBorder="1" applyAlignment="1" applyProtection="1">
      <alignment horizontal="center" vertical="center" wrapText="1"/>
      <protection locked="0"/>
    </xf>
    <xf numFmtId="0" fontId="4" fillId="5" borderId="51" xfId="4" applyFill="1" applyBorder="1"/>
    <xf numFmtId="0" fontId="53" fillId="5" borderId="51" xfId="4" applyFont="1" applyFill="1" applyBorder="1" applyAlignment="1" applyProtection="1">
      <alignment horizontal="left" vertical="center" wrapText="1"/>
      <protection locked="0"/>
    </xf>
    <xf numFmtId="0" fontId="4" fillId="5" borderId="51" xfId="4" applyFill="1" applyBorder="1" applyProtection="1">
      <protection locked="0"/>
    </xf>
    <xf numFmtId="0" fontId="4" fillId="5" borderId="49" xfId="4" applyFill="1" applyBorder="1" applyProtection="1">
      <protection locked="0"/>
    </xf>
    <xf numFmtId="0" fontId="4" fillId="0" borderId="20" xfId="4" applyBorder="1"/>
    <xf numFmtId="0" fontId="4" fillId="0" borderId="0" xfId="4" applyAlignment="1">
      <alignment horizontal="center" vertical="center"/>
    </xf>
    <xf numFmtId="0" fontId="56" fillId="3" borderId="0" xfId="4" applyFont="1" applyFill="1" applyAlignment="1">
      <alignment vertical="center"/>
    </xf>
    <xf numFmtId="0" fontId="57" fillId="3" borderId="67" xfId="6" applyFont="1" applyFill="1" applyBorder="1" applyAlignment="1">
      <alignment horizontal="center" vertical="center" wrapText="1"/>
    </xf>
    <xf numFmtId="0" fontId="57" fillId="3" borderId="28" xfId="6" applyFont="1" applyFill="1" applyBorder="1" applyAlignment="1">
      <alignment horizontal="center" vertical="center" wrapText="1"/>
    </xf>
    <xf numFmtId="0" fontId="14" fillId="3" borderId="45" xfId="6" applyFont="1" applyFill="1" applyBorder="1" applyAlignment="1">
      <alignment horizontal="center" vertical="center"/>
    </xf>
    <xf numFmtId="0" fontId="14" fillId="3" borderId="7" xfId="6" applyFont="1" applyFill="1" applyBorder="1" applyAlignment="1">
      <alignment horizontal="center" vertical="center"/>
    </xf>
    <xf numFmtId="0" fontId="14" fillId="3" borderId="38" xfId="6" applyFont="1" applyFill="1" applyBorder="1" applyAlignment="1">
      <alignment horizontal="center" vertical="center"/>
    </xf>
    <xf numFmtId="0" fontId="6" fillId="3" borderId="45" xfId="6" applyFont="1" applyFill="1" applyBorder="1" applyAlignment="1">
      <alignment horizontal="center" vertical="center"/>
    </xf>
    <xf numFmtId="0" fontId="6" fillId="3" borderId="7" xfId="6" applyFont="1" applyFill="1" applyBorder="1" applyAlignment="1">
      <alignment horizontal="center" vertical="center"/>
    </xf>
    <xf numFmtId="0" fontId="6" fillId="3" borderId="6" xfId="6" applyFont="1" applyFill="1" applyBorder="1" applyAlignment="1">
      <alignment horizontal="center" vertical="center"/>
    </xf>
    <xf numFmtId="0" fontId="4" fillId="3" borderId="8" xfId="6" applyFill="1" applyBorder="1" applyAlignment="1">
      <alignment horizontal="center" vertical="center"/>
    </xf>
    <xf numFmtId="0" fontId="4" fillId="3" borderId="29" xfId="6" applyFill="1" applyBorder="1" applyAlignment="1">
      <alignment horizontal="center" vertical="center"/>
    </xf>
    <xf numFmtId="0" fontId="4" fillId="3" borderId="60" xfId="4" applyFill="1" applyBorder="1"/>
    <xf numFmtId="0" fontId="58" fillId="7" borderId="41" xfId="4" applyFont="1" applyFill="1" applyBorder="1" applyAlignment="1">
      <alignment horizontal="center" vertical="center" wrapText="1"/>
    </xf>
    <xf numFmtId="0" fontId="58" fillId="7" borderId="40" xfId="4" applyFont="1" applyFill="1" applyBorder="1" applyAlignment="1">
      <alignment horizontal="center" vertical="center" wrapText="1"/>
    </xf>
    <xf numFmtId="0" fontId="6" fillId="7" borderId="39" xfId="4" applyFont="1" applyFill="1" applyBorder="1" applyAlignment="1">
      <alignment horizontal="center" vertical="center" wrapText="1"/>
    </xf>
    <xf numFmtId="0" fontId="4" fillId="3" borderId="45" xfId="6" applyFill="1" applyBorder="1" applyAlignment="1">
      <alignment horizontal="center" vertical="center"/>
    </xf>
    <xf numFmtId="2" fontId="12" fillId="7" borderId="30" xfId="4" applyNumberFormat="1" applyFont="1" applyFill="1" applyBorder="1" applyAlignment="1">
      <alignment horizontal="center" vertical="center"/>
    </xf>
    <xf numFmtId="0" fontId="12" fillId="7" borderId="2" xfId="4" applyFont="1" applyFill="1" applyBorder="1" applyAlignment="1">
      <alignment horizontal="center" vertical="center"/>
    </xf>
    <xf numFmtId="164" fontId="58" fillId="7" borderId="90" xfId="4" applyNumberFormat="1" applyFont="1" applyFill="1" applyBorder="1" applyAlignment="1">
      <alignment horizontal="center"/>
    </xf>
    <xf numFmtId="2" fontId="12" fillId="7" borderId="29" xfId="4" applyNumberFormat="1" applyFont="1" applyFill="1" applyBorder="1" applyAlignment="1">
      <alignment horizontal="center" vertical="center"/>
    </xf>
    <xf numFmtId="0" fontId="58" fillId="7" borderId="91" xfId="4" applyFont="1" applyFill="1" applyBorder="1" applyAlignment="1">
      <alignment horizontal="center" vertical="center" wrapText="1"/>
    </xf>
    <xf numFmtId="0" fontId="58" fillId="7" borderId="3" xfId="4" applyFont="1" applyFill="1" applyBorder="1" applyAlignment="1">
      <alignment horizontal="center" vertical="center" wrapText="1"/>
    </xf>
    <xf numFmtId="0" fontId="6" fillId="7" borderId="77" xfId="4" applyFont="1" applyFill="1" applyBorder="1" applyAlignment="1">
      <alignment horizontal="center" vertical="center" wrapText="1"/>
    </xf>
    <xf numFmtId="2" fontId="4" fillId="3" borderId="8" xfId="6" applyNumberFormat="1" applyFill="1" applyBorder="1" applyAlignment="1">
      <alignment horizontal="center" vertical="center"/>
    </xf>
    <xf numFmtId="0" fontId="58" fillId="7" borderId="69" xfId="4" applyFont="1" applyFill="1" applyBorder="1" applyAlignment="1">
      <alignment horizontal="center" vertical="center" wrapText="1"/>
    </xf>
    <xf numFmtId="0" fontId="6" fillId="7" borderId="71" xfId="4" applyFont="1" applyFill="1" applyBorder="1" applyAlignment="1">
      <alignment horizontal="center" vertical="center" wrapText="1"/>
    </xf>
    <xf numFmtId="165" fontId="55" fillId="3" borderId="85" xfId="4" applyNumberFormat="1" applyFont="1" applyFill="1" applyBorder="1" applyAlignment="1">
      <alignment horizontal="center" vertical="center" wrapText="1"/>
    </xf>
    <xf numFmtId="0" fontId="59" fillId="7" borderId="2" xfId="4" applyFont="1" applyFill="1" applyBorder="1" applyAlignment="1">
      <alignment horizontal="center" vertical="center"/>
    </xf>
    <xf numFmtId="165" fontId="60" fillId="7" borderId="42" xfId="4" applyNumberFormat="1" applyFont="1" applyFill="1" applyBorder="1" applyAlignment="1">
      <alignment horizontal="center" vertical="center"/>
    </xf>
    <xf numFmtId="1" fontId="55" fillId="3" borderId="30" xfId="4" applyNumberFormat="1" applyFont="1" applyFill="1" applyBorder="1" applyAlignment="1">
      <alignment horizontal="center" vertical="center" wrapText="1"/>
    </xf>
    <xf numFmtId="164" fontId="60" fillId="7" borderId="38" xfId="4" applyNumberFormat="1" applyFont="1" applyFill="1" applyBorder="1" applyAlignment="1">
      <alignment horizontal="center" vertical="center"/>
    </xf>
    <xf numFmtId="164" fontId="12" fillId="7" borderId="30" xfId="4" applyNumberFormat="1" applyFont="1" applyFill="1" applyBorder="1" applyAlignment="1">
      <alignment horizontal="center" vertical="center"/>
    </xf>
    <xf numFmtId="164" fontId="12" fillId="7" borderId="2" xfId="4" applyNumberFormat="1" applyFont="1" applyFill="1" applyBorder="1" applyAlignment="1">
      <alignment horizontal="center" vertical="center"/>
    </xf>
    <xf numFmtId="164" fontId="12" fillId="7" borderId="29" xfId="4" applyNumberFormat="1" applyFont="1" applyFill="1" applyBorder="1" applyAlignment="1">
      <alignment horizontal="center" vertical="center"/>
    </xf>
    <xf numFmtId="165" fontId="60" fillId="7" borderId="38" xfId="4" applyNumberFormat="1" applyFont="1" applyFill="1" applyBorder="1" applyAlignment="1">
      <alignment horizontal="center" vertical="center"/>
    </xf>
    <xf numFmtId="165" fontId="12" fillId="7" borderId="30" xfId="4" applyNumberFormat="1" applyFont="1" applyFill="1" applyBorder="1" applyAlignment="1">
      <alignment horizontal="center" vertical="center"/>
    </xf>
    <xf numFmtId="2" fontId="12" fillId="7" borderId="2" xfId="4" applyNumberFormat="1" applyFont="1" applyFill="1" applyBorder="1" applyAlignment="1">
      <alignment horizontal="center" vertical="center"/>
    </xf>
    <xf numFmtId="0" fontId="4" fillId="7" borderId="64" xfId="4" applyFill="1" applyBorder="1" applyAlignment="1">
      <alignment horizontal="center"/>
    </xf>
    <xf numFmtId="165" fontId="55" fillId="3" borderId="45" xfId="4" applyNumberFormat="1" applyFont="1" applyFill="1" applyBorder="1" applyAlignment="1">
      <alignment horizontal="center" vertical="center" wrapText="1"/>
    </xf>
    <xf numFmtId="0" fontId="4" fillId="7" borderId="67" xfId="4" applyFill="1" applyBorder="1" applyAlignment="1">
      <alignment horizontal="center" wrapText="1"/>
    </xf>
    <xf numFmtId="165" fontId="61" fillId="7" borderId="6" xfId="4" applyNumberFormat="1" applyFont="1" applyFill="1" applyBorder="1" applyAlignment="1">
      <alignment horizontal="center" vertical="center"/>
    </xf>
    <xf numFmtId="165" fontId="61" fillId="7" borderId="2" xfId="4" applyNumberFormat="1" applyFont="1" applyFill="1" applyBorder="1" applyAlignment="1">
      <alignment horizontal="center" vertical="center"/>
    </xf>
    <xf numFmtId="0" fontId="51" fillId="7" borderId="38" xfId="4" applyFont="1" applyFill="1" applyBorder="1" applyAlignment="1">
      <alignment horizontal="right"/>
    </xf>
    <xf numFmtId="1" fontId="4" fillId="3" borderId="45" xfId="6" applyNumberFormat="1" applyFill="1" applyBorder="1" applyAlignment="1">
      <alignment horizontal="center" vertical="center"/>
    </xf>
    <xf numFmtId="165" fontId="4" fillId="3" borderId="8" xfId="6" applyNumberFormat="1" applyFill="1" applyBorder="1" applyAlignment="1">
      <alignment horizontal="center" vertical="center"/>
    </xf>
    <xf numFmtId="0" fontId="4" fillId="7" borderId="68" xfId="4" applyFill="1" applyBorder="1" applyAlignment="1">
      <alignment horizontal="center" wrapText="1"/>
    </xf>
    <xf numFmtId="0" fontId="62" fillId="7" borderId="0" xfId="4" applyFont="1" applyFill="1"/>
    <xf numFmtId="2" fontId="59" fillId="7" borderId="0" xfId="4" applyNumberFormat="1" applyFont="1" applyFill="1" applyAlignment="1">
      <alignment horizontal="center" vertical="center"/>
    </xf>
    <xf numFmtId="0" fontId="3" fillId="0" borderId="82" xfId="4" applyFont="1" applyBorder="1" applyAlignment="1">
      <alignment horizontal="right"/>
    </xf>
    <xf numFmtId="2" fontId="60" fillId="7" borderId="30" xfId="4" applyNumberFormat="1" applyFont="1" applyFill="1" applyBorder="1" applyAlignment="1">
      <alignment horizontal="center" vertical="center"/>
    </xf>
    <xf numFmtId="0" fontId="60" fillId="7" borderId="2" xfId="4" applyFont="1" applyFill="1" applyBorder="1" applyAlignment="1">
      <alignment horizontal="center" vertical="center"/>
    </xf>
    <xf numFmtId="2" fontId="60" fillId="7" borderId="2" xfId="4" applyNumberFormat="1" applyFont="1" applyFill="1" applyBorder="1" applyAlignment="1">
      <alignment horizontal="center" vertical="center"/>
    </xf>
    <xf numFmtId="2" fontId="63" fillId="3" borderId="0" xfId="4" applyNumberFormat="1" applyFont="1" applyFill="1" applyAlignment="1">
      <alignment horizontal="center" vertical="center" wrapText="1"/>
    </xf>
    <xf numFmtId="2" fontId="64" fillId="3" borderId="0" xfId="4" applyNumberFormat="1" applyFont="1" applyFill="1" applyAlignment="1">
      <alignment horizontal="center" vertical="center"/>
    </xf>
    <xf numFmtId="0" fontId="4" fillId="0" borderId="82" xfId="4" applyBorder="1" applyAlignment="1">
      <alignment horizontal="right"/>
    </xf>
    <xf numFmtId="0" fontId="4" fillId="0" borderId="20" xfId="4" applyBorder="1" applyAlignment="1">
      <alignment horizontal="left"/>
    </xf>
    <xf numFmtId="0" fontId="63" fillId="3" borderId="0" xfId="4" applyFont="1" applyFill="1"/>
    <xf numFmtId="0" fontId="4" fillId="0" borderId="84" xfId="4" applyBorder="1" applyAlignment="1">
      <alignment horizontal="right"/>
    </xf>
    <xf numFmtId="0" fontId="4" fillId="0" borderId="17" xfId="4" applyBorder="1" applyAlignment="1">
      <alignment horizontal="left"/>
    </xf>
    <xf numFmtId="0" fontId="12" fillId="3" borderId="92" xfId="4" applyFont="1" applyFill="1" applyBorder="1" applyAlignment="1">
      <alignment horizontal="left" vertical="center"/>
    </xf>
    <xf numFmtId="0" fontId="12" fillId="3" borderId="93" xfId="4" applyFont="1" applyFill="1" applyBorder="1" applyAlignment="1">
      <alignment horizontal="center" vertical="center"/>
    </xf>
    <xf numFmtId="2" fontId="12" fillId="3" borderId="93" xfId="4" applyNumberFormat="1" applyFont="1" applyFill="1" applyBorder="1" applyAlignment="1">
      <alignment horizontal="center" vertical="center"/>
    </xf>
    <xf numFmtId="0" fontId="4" fillId="3" borderId="93" xfId="4" applyFill="1" applyBorder="1"/>
    <xf numFmtId="2" fontId="63" fillId="3" borderId="93" xfId="4" applyNumberFormat="1" applyFont="1" applyFill="1" applyBorder="1" applyAlignment="1">
      <alignment horizontal="center" vertical="center"/>
    </xf>
    <xf numFmtId="2" fontId="65" fillId="3" borderId="14" xfId="4" applyNumberFormat="1" applyFont="1" applyFill="1" applyBorder="1" applyAlignment="1">
      <alignment horizontal="center" vertical="center"/>
    </xf>
    <xf numFmtId="0" fontId="4" fillId="0" borderId="60" xfId="4" applyBorder="1"/>
    <xf numFmtId="0" fontId="12" fillId="3" borderId="0" xfId="4" applyFont="1" applyFill="1" applyAlignment="1">
      <alignment horizontal="left" vertical="center"/>
    </xf>
    <xf numFmtId="0" fontId="12" fillId="3" borderId="0" xfId="4" applyFont="1" applyFill="1" applyAlignment="1">
      <alignment horizontal="center" vertical="center"/>
    </xf>
    <xf numFmtId="2" fontId="12" fillId="3" borderId="0" xfId="4" applyNumberFormat="1" applyFont="1" applyFill="1" applyAlignment="1">
      <alignment horizontal="center" vertical="center"/>
    </xf>
    <xf numFmtId="0" fontId="12" fillId="3" borderId="0" xfId="4" applyFont="1" applyFill="1" applyAlignment="1">
      <alignment vertical="center"/>
    </xf>
    <xf numFmtId="0" fontId="15" fillId="0" borderId="0" xfId="4" applyFont="1" applyAlignment="1">
      <alignment horizontal="left"/>
    </xf>
    <xf numFmtId="0" fontId="12" fillId="0" borderId="0" xfId="4" applyFont="1" applyAlignment="1">
      <alignment horizontal="left" vertical="center"/>
    </xf>
    <xf numFmtId="2" fontId="12" fillId="0" borderId="0" xfId="4" applyNumberFormat="1" applyFont="1" applyAlignment="1">
      <alignment horizontal="left" vertical="center"/>
    </xf>
    <xf numFmtId="0" fontId="60" fillId="3" borderId="0" xfId="4" applyFont="1" applyFill="1" applyAlignment="1">
      <alignment horizontal="left" vertical="center"/>
    </xf>
    <xf numFmtId="0" fontId="60" fillId="3" borderId="0" xfId="4" applyFont="1" applyFill="1" applyAlignment="1">
      <alignment horizontal="center" vertical="center"/>
    </xf>
    <xf numFmtId="2" fontId="60" fillId="3" borderId="0" xfId="4" applyNumberFormat="1" applyFont="1" applyFill="1" applyAlignment="1">
      <alignment horizontal="center" vertical="center"/>
    </xf>
    <xf numFmtId="0" fontId="66" fillId="3" borderId="0" xfId="4" applyFont="1" applyFill="1" applyAlignment="1">
      <alignment horizontal="left" wrapText="1"/>
    </xf>
    <xf numFmtId="0" fontId="6" fillId="3" borderId="0" xfId="4" applyFont="1" applyFill="1" applyAlignment="1">
      <alignment wrapText="1"/>
    </xf>
    <xf numFmtId="0" fontId="67" fillId="3" borderId="0" xfId="4" applyFont="1" applyFill="1" applyAlignment="1">
      <alignment horizontal="center" vertical="center"/>
    </xf>
    <xf numFmtId="2" fontId="67" fillId="3" borderId="0" xfId="4" applyNumberFormat="1" applyFont="1" applyFill="1" applyAlignment="1">
      <alignment horizontal="center" vertical="center"/>
    </xf>
    <xf numFmtId="0" fontId="57" fillId="3" borderId="68" xfId="6" applyFont="1" applyFill="1" applyBorder="1" applyAlignment="1">
      <alignment horizontal="center" vertical="center" wrapText="1"/>
    </xf>
    <xf numFmtId="0" fontId="4" fillId="3" borderId="44" xfId="6" applyFill="1" applyBorder="1" applyAlignment="1">
      <alignment horizontal="center" vertical="center"/>
    </xf>
    <xf numFmtId="165" fontId="4" fillId="3" borderId="94" xfId="6" applyNumberFormat="1" applyFill="1" applyBorder="1" applyAlignment="1">
      <alignment horizontal="center" vertical="center"/>
    </xf>
    <xf numFmtId="2" fontId="4" fillId="3" borderId="94" xfId="6" applyNumberFormat="1" applyFill="1" applyBorder="1" applyAlignment="1">
      <alignment horizontal="center" vertical="center"/>
    </xf>
    <xf numFmtId="0" fontId="4" fillId="3" borderId="26" xfId="6" applyFill="1" applyBorder="1" applyAlignment="1">
      <alignment horizontal="center" vertical="center"/>
    </xf>
    <xf numFmtId="0" fontId="67" fillId="3" borderId="0" xfId="4" applyFont="1" applyFill="1" applyAlignment="1">
      <alignment horizontal="center" vertical="center" wrapText="1"/>
    </xf>
    <xf numFmtId="0" fontId="7" fillId="6" borderId="45" xfId="6" applyFont="1" applyFill="1" applyBorder="1"/>
    <xf numFmtId="0" fontId="7" fillId="6" borderId="7" xfId="6" applyFont="1" applyFill="1" applyBorder="1"/>
    <xf numFmtId="0" fontId="7" fillId="6" borderId="38" xfId="6" applyFont="1" applyFill="1" applyBorder="1"/>
    <xf numFmtId="0" fontId="7" fillId="8" borderId="45" xfId="6" applyFont="1" applyFill="1" applyBorder="1"/>
    <xf numFmtId="0" fontId="7" fillId="8" borderId="7" xfId="6" applyFont="1" applyFill="1" applyBorder="1" applyAlignment="1">
      <alignment horizontal="center" vertical="center"/>
    </xf>
    <xf numFmtId="0" fontId="10" fillId="8" borderId="7" xfId="6" applyFont="1" applyFill="1" applyBorder="1" applyAlignment="1">
      <alignment horizontal="center" vertical="center"/>
    </xf>
    <xf numFmtId="0" fontId="10" fillId="8" borderId="7" xfId="6" applyFont="1" applyFill="1" applyBorder="1" applyAlignment="1">
      <alignment vertical="center"/>
    </xf>
    <xf numFmtId="0" fontId="10" fillId="8" borderId="6" xfId="6" applyFont="1" applyFill="1" applyBorder="1" applyAlignment="1">
      <alignment horizontal="left" vertical="center"/>
    </xf>
    <xf numFmtId="0" fontId="10" fillId="8" borderId="2" xfId="6" applyFont="1" applyFill="1" applyBorder="1" applyAlignment="1">
      <alignment vertical="center"/>
    </xf>
    <xf numFmtId="0" fontId="10" fillId="8" borderId="29" xfId="6" applyFont="1" applyFill="1" applyBorder="1" applyAlignment="1">
      <alignment horizontal="center" vertical="center"/>
    </xf>
    <xf numFmtId="0" fontId="24" fillId="0" borderId="30" xfId="6" applyFont="1" applyBorder="1" applyAlignment="1">
      <alignment horizontal="center" vertical="center"/>
    </xf>
    <xf numFmtId="0" fontId="24" fillId="0" borderId="8" xfId="6" applyFont="1" applyBorder="1"/>
    <xf numFmtId="0" fontId="24" fillId="0" borderId="7" xfId="6" applyFont="1" applyBorder="1" applyAlignment="1">
      <alignment horizontal="left"/>
    </xf>
    <xf numFmtId="0" fontId="24" fillId="0" borderId="7" xfId="6" applyFont="1" applyBorder="1"/>
    <xf numFmtId="0" fontId="24" fillId="0" borderId="38" xfId="6" applyFont="1" applyBorder="1"/>
    <xf numFmtId="0" fontId="4" fillId="0" borderId="0" xfId="4" applyProtection="1">
      <protection locked="0"/>
    </xf>
    <xf numFmtId="0" fontId="10" fillId="8" borderId="2" xfId="6" applyFont="1" applyFill="1" applyBorder="1" applyAlignment="1">
      <alignment horizontal="right" vertical="center"/>
    </xf>
    <xf numFmtId="0" fontId="68" fillId="3" borderId="44" xfId="6" applyFont="1" applyFill="1" applyBorder="1"/>
    <xf numFmtId="0" fontId="68" fillId="3" borderId="83" xfId="6" applyFont="1" applyFill="1" applyBorder="1"/>
    <xf numFmtId="0" fontId="68" fillId="3" borderId="34" xfId="6" applyFont="1" applyFill="1" applyBorder="1"/>
    <xf numFmtId="0" fontId="7" fillId="3" borderId="0" xfId="6" applyFont="1" applyFill="1"/>
    <xf numFmtId="0" fontId="4" fillId="3" borderId="20" xfId="4" applyFill="1" applyBorder="1"/>
    <xf numFmtId="0" fontId="4" fillId="3" borderId="92" xfId="4" applyFill="1" applyBorder="1"/>
    <xf numFmtId="0" fontId="3" fillId="0" borderId="8" xfId="1" applyFont="1" applyBorder="1" applyAlignment="1" applyProtection="1">
      <alignment vertical="center"/>
      <protection locked="0"/>
    </xf>
    <xf numFmtId="0" fontId="3" fillId="0" borderId="8" xfId="1" applyFont="1" applyBorder="1" applyAlignment="1">
      <alignment vertical="center"/>
    </xf>
    <xf numFmtId="2" fontId="0" fillId="0" borderId="60" xfId="0" applyNumberFormat="1" applyBorder="1"/>
    <xf numFmtId="2" fontId="13" fillId="3" borderId="0" xfId="0" applyNumberFormat="1" applyFont="1" applyFill="1" applyAlignment="1">
      <alignment vertical="center"/>
    </xf>
    <xf numFmtId="2" fontId="71" fillId="3" borderId="4" xfId="0" applyNumberFormat="1" applyFont="1" applyFill="1" applyBorder="1" applyAlignment="1">
      <alignment vertical="center"/>
    </xf>
    <xf numFmtId="2" fontId="0" fillId="3" borderId="0" xfId="0" applyNumberFormat="1" applyFill="1"/>
    <xf numFmtId="2" fontId="16" fillId="3" borderId="0" xfId="4" applyNumberFormat="1" applyFont="1" applyFill="1"/>
    <xf numFmtId="2" fontId="14" fillId="3" borderId="0" xfId="0" applyNumberFormat="1" applyFont="1" applyFill="1" applyAlignment="1">
      <alignment vertical="center"/>
    </xf>
    <xf numFmtId="2" fontId="14" fillId="3" borderId="0" xfId="0" applyNumberFormat="1" applyFont="1" applyFill="1" applyAlignment="1">
      <alignment vertical="center" wrapText="1"/>
    </xf>
    <xf numFmtId="2" fontId="71" fillId="3" borderId="0" xfId="0" applyNumberFormat="1" applyFont="1" applyFill="1" applyAlignment="1">
      <alignment vertical="center"/>
    </xf>
    <xf numFmtId="2" fontId="16" fillId="3" borderId="0" xfId="4" applyNumberFormat="1" applyFont="1" applyFill="1" applyAlignment="1">
      <alignment vertical="center"/>
    </xf>
    <xf numFmtId="2" fontId="14" fillId="3" borderId="30" xfId="0" applyNumberFormat="1" applyFont="1" applyFill="1" applyBorder="1" applyAlignment="1">
      <alignment horizontal="center" vertical="center"/>
    </xf>
    <xf numFmtId="2" fontId="71" fillId="3" borderId="3" xfId="0" applyNumberFormat="1" applyFont="1" applyFill="1" applyBorder="1" applyAlignment="1">
      <alignment vertical="center"/>
    </xf>
    <xf numFmtId="2" fontId="14" fillId="3" borderId="2" xfId="0" applyNumberFormat="1" applyFont="1" applyFill="1" applyBorder="1" applyAlignment="1">
      <alignment horizontal="center" vertical="center"/>
    </xf>
    <xf numFmtId="2" fontId="14" fillId="3" borderId="0" xfId="0" applyNumberFormat="1" applyFont="1" applyFill="1" applyAlignment="1">
      <alignment horizontal="center" vertical="center"/>
    </xf>
    <xf numFmtId="2" fontId="16" fillId="3" borderId="30" xfId="4" applyNumberFormat="1" applyFont="1" applyFill="1" applyBorder="1" applyAlignment="1">
      <alignment horizontal="center" vertical="center"/>
    </xf>
    <xf numFmtId="2" fontId="16" fillId="9" borderId="6" xfId="4" applyNumberFormat="1" applyFont="1" applyFill="1" applyBorder="1" applyAlignment="1">
      <alignment horizontal="center" vertical="center"/>
    </xf>
    <xf numFmtId="2" fontId="14" fillId="9" borderId="2" xfId="0" applyNumberFormat="1" applyFont="1" applyFill="1" applyBorder="1" applyAlignment="1">
      <alignment horizontal="center" vertical="center"/>
    </xf>
    <xf numFmtId="2" fontId="4" fillId="3" borderId="3" xfId="0" applyNumberFormat="1" applyFont="1" applyFill="1" applyBorder="1" applyAlignment="1">
      <alignment horizontal="center" vertical="center"/>
    </xf>
    <xf numFmtId="2" fontId="16" fillId="3" borderId="2" xfId="4" applyNumberFormat="1" applyFont="1" applyFill="1" applyBorder="1" applyAlignment="1">
      <alignment horizontal="center" vertical="center"/>
    </xf>
    <xf numFmtId="2" fontId="16" fillId="3" borderId="0" xfId="4" applyNumberFormat="1" applyFont="1" applyFill="1" applyAlignment="1">
      <alignment horizontal="center" vertical="center"/>
    </xf>
    <xf numFmtId="2" fontId="14" fillId="3" borderId="0" xfId="0" quotePrefix="1" applyNumberFormat="1" applyFont="1" applyFill="1" applyAlignment="1">
      <alignment horizontal="center" vertical="center"/>
    </xf>
    <xf numFmtId="2" fontId="4" fillId="9" borderId="30" xfId="0" applyNumberFormat="1" applyFont="1" applyFill="1" applyBorder="1" applyAlignment="1">
      <alignment horizontal="center" vertical="center"/>
    </xf>
    <xf numFmtId="2" fontId="4" fillId="9" borderId="6" xfId="0" applyNumberFormat="1" applyFont="1" applyFill="1" applyBorder="1" applyAlignment="1">
      <alignment horizontal="center" vertical="center"/>
    </xf>
    <xf numFmtId="2" fontId="4" fillId="9" borderId="2" xfId="0" quotePrefix="1" applyNumberFormat="1" applyFont="1" applyFill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/>
    </xf>
    <xf numFmtId="2" fontId="4" fillId="3" borderId="2" xfId="0" applyNumberFormat="1" applyFont="1" applyFill="1" applyBorder="1" applyAlignment="1">
      <alignment horizontal="center" vertical="center"/>
    </xf>
    <xf numFmtId="164" fontId="4" fillId="9" borderId="6" xfId="0" applyNumberFormat="1" applyFont="1" applyFill="1" applyBorder="1" applyAlignment="1">
      <alignment horizontal="center" vertical="center"/>
    </xf>
    <xf numFmtId="164" fontId="4" fillId="9" borderId="2" xfId="0" quotePrefix="1" applyNumberFormat="1" applyFont="1" applyFill="1" applyBorder="1" applyAlignment="1">
      <alignment horizontal="center" vertical="center"/>
    </xf>
    <xf numFmtId="2" fontId="4" fillId="9" borderId="2" xfId="0" applyNumberFormat="1" applyFont="1" applyFill="1" applyBorder="1" applyAlignment="1">
      <alignment horizontal="center" vertical="center"/>
    </xf>
    <xf numFmtId="2" fontId="4" fillId="3" borderId="29" xfId="0" applyNumberFormat="1" applyFont="1" applyFill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4" fillId="3" borderId="0" xfId="0" quotePrefix="1" applyNumberFormat="1" applyFont="1" applyFill="1" applyAlignment="1">
      <alignment horizontal="center" vertical="center"/>
    </xf>
    <xf numFmtId="2" fontId="4" fillId="3" borderId="0" xfId="0" applyNumberFormat="1" applyFont="1" applyFill="1" applyAlignment="1">
      <alignment horizontal="center"/>
    </xf>
    <xf numFmtId="2" fontId="4" fillId="3" borderId="0" xfId="0" applyNumberFormat="1" applyFont="1" applyFill="1" applyAlignment="1">
      <alignment horizontal="center" vertical="center"/>
    </xf>
    <xf numFmtId="164" fontId="4" fillId="9" borderId="2" xfId="0" applyNumberFormat="1" applyFont="1" applyFill="1" applyBorder="1" applyAlignment="1">
      <alignment horizontal="center" vertical="center"/>
    </xf>
    <xf numFmtId="2" fontId="10" fillId="3" borderId="0" xfId="0" applyNumberFormat="1" applyFont="1" applyFill="1"/>
    <xf numFmtId="2" fontId="71" fillId="3" borderId="0" xfId="0" applyNumberFormat="1" applyFont="1" applyFill="1" applyAlignment="1">
      <alignment horizontal="center" vertical="center"/>
    </xf>
    <xf numFmtId="2" fontId="0" fillId="3" borderId="20" xfId="0" applyNumberFormat="1" applyFill="1" applyBorder="1" applyAlignment="1">
      <alignment horizontal="center" vertical="center"/>
    </xf>
    <xf numFmtId="2" fontId="0" fillId="3" borderId="0" xfId="0" applyNumberFormat="1" applyFill="1" applyAlignment="1">
      <alignment vertical="center"/>
    </xf>
    <xf numFmtId="2" fontId="0" fillId="3" borderId="9" xfId="0" applyNumberFormat="1" applyFill="1" applyBorder="1"/>
    <xf numFmtId="2" fontId="0" fillId="3" borderId="17" xfId="0" applyNumberFormat="1" applyFill="1" applyBorder="1"/>
    <xf numFmtId="2" fontId="10" fillId="0" borderId="20" xfId="0" applyNumberFormat="1" applyFont="1" applyBorder="1"/>
    <xf numFmtId="2" fontId="10" fillId="0" borderId="0" xfId="0" applyNumberFormat="1" applyFont="1"/>
    <xf numFmtId="2" fontId="10" fillId="0" borderId="17" xfId="0" applyNumberFormat="1" applyFont="1" applyBorder="1"/>
    <xf numFmtId="2" fontId="0" fillId="9" borderId="2" xfId="0" applyNumberFormat="1" applyFill="1" applyBorder="1" applyAlignment="1">
      <alignment horizontal="center" vertical="center"/>
    </xf>
    <xf numFmtId="2" fontId="0" fillId="0" borderId="17" xfId="0" applyNumberFormat="1" applyBorder="1"/>
    <xf numFmtId="2" fontId="4" fillId="9" borderId="20" xfId="0" applyNumberFormat="1" applyFont="1" applyFill="1" applyBorder="1" applyAlignment="1">
      <alignment horizontal="center" vertical="center"/>
    </xf>
    <xf numFmtId="2" fontId="4" fillId="9" borderId="0" xfId="0" applyNumberFormat="1" applyFon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2" fontId="4" fillId="9" borderId="0" xfId="0" quotePrefix="1" applyNumberFormat="1" applyFont="1" applyFill="1" applyAlignment="1">
      <alignment horizontal="center" vertical="center"/>
    </xf>
    <xf numFmtId="2" fontId="14" fillId="9" borderId="2" xfId="0" quotePrefix="1" applyNumberFormat="1" applyFont="1" applyFill="1" applyBorder="1" applyAlignment="1">
      <alignment horizontal="center" vertical="center"/>
    </xf>
    <xf numFmtId="1" fontId="4" fillId="9" borderId="6" xfId="0" applyNumberFormat="1" applyFont="1" applyFill="1" applyBorder="1" applyAlignment="1">
      <alignment horizontal="center" vertical="center"/>
    </xf>
    <xf numFmtId="2" fontId="72" fillId="3" borderId="0" xfId="4" applyNumberFormat="1" applyFont="1" applyFill="1" applyAlignment="1">
      <alignment vertical="center"/>
    </xf>
    <xf numFmtId="2" fontId="73" fillId="10" borderId="87" xfId="0" applyNumberFormat="1" applyFont="1" applyFill="1" applyBorder="1" applyAlignment="1">
      <alignment horizontal="center" vertical="center" wrapText="1"/>
    </xf>
    <xf numFmtId="2" fontId="73" fillId="10" borderId="29" xfId="0" applyNumberFormat="1" applyFont="1" applyFill="1" applyBorder="1" applyAlignment="1">
      <alignment horizontal="center" vertical="center" wrapText="1"/>
    </xf>
    <xf numFmtId="2" fontId="16" fillId="10" borderId="4" xfId="4" applyNumberFormat="1" applyFont="1" applyFill="1" applyBorder="1" applyAlignment="1">
      <alignment horizontal="center" vertical="center"/>
    </xf>
    <xf numFmtId="2" fontId="73" fillId="10" borderId="3" xfId="0" applyNumberFormat="1" applyFont="1" applyFill="1" applyBorder="1" applyAlignment="1">
      <alignment horizontal="center" vertical="center"/>
    </xf>
    <xf numFmtId="2" fontId="73" fillId="10" borderId="96" xfId="0" applyNumberFormat="1" applyFont="1" applyFill="1" applyBorder="1" applyAlignment="1">
      <alignment horizontal="center" vertical="center" wrapText="1"/>
    </xf>
    <xf numFmtId="2" fontId="16" fillId="10" borderId="2" xfId="4" applyNumberFormat="1" applyFont="1" applyFill="1" applyBorder="1" applyAlignment="1">
      <alignment horizontal="center" vertical="center"/>
    </xf>
    <xf numFmtId="2" fontId="73" fillId="10" borderId="2" xfId="0" applyNumberFormat="1" applyFont="1" applyFill="1" applyBorder="1" applyAlignment="1">
      <alignment horizontal="center" vertical="center"/>
    </xf>
    <xf numFmtId="2" fontId="12" fillId="10" borderId="86" xfId="0" applyNumberFormat="1" applyFont="1" applyFill="1" applyBorder="1" applyAlignment="1">
      <alignment horizontal="center" vertical="center" wrapText="1"/>
    </xf>
    <xf numFmtId="2" fontId="10" fillId="10" borderId="86" xfId="0" applyNumberFormat="1" applyFont="1" applyFill="1" applyBorder="1" applyAlignment="1">
      <alignment horizontal="center" vertical="center"/>
    </xf>
    <xf numFmtId="2" fontId="10" fillId="10" borderId="87" xfId="0" applyNumberFormat="1" applyFont="1" applyFill="1" applyBorder="1" applyAlignment="1">
      <alignment horizontal="center" vertical="center"/>
    </xf>
    <xf numFmtId="2" fontId="10" fillId="10" borderId="1" xfId="0" applyNumberFormat="1" applyFont="1" applyFill="1" applyBorder="1" applyAlignment="1">
      <alignment horizontal="center" vertical="center"/>
    </xf>
    <xf numFmtId="2" fontId="0" fillId="8" borderId="33" xfId="0" applyNumberFormat="1" applyFill="1" applyBorder="1" applyAlignment="1">
      <alignment horizontal="center" vertical="center" wrapText="1"/>
    </xf>
    <xf numFmtId="2" fontId="12" fillId="10" borderId="2" xfId="0" applyNumberFormat="1" applyFont="1" applyFill="1" applyBorder="1" applyAlignment="1">
      <alignment horizontal="center" vertical="center" wrapText="1"/>
    </xf>
    <xf numFmtId="2" fontId="10" fillId="10" borderId="2" xfId="0" applyNumberFormat="1" applyFont="1" applyFill="1" applyBorder="1" applyAlignment="1">
      <alignment horizontal="center" vertical="center"/>
    </xf>
    <xf numFmtId="2" fontId="10" fillId="10" borderId="29" xfId="0" applyNumberFormat="1" applyFont="1" applyFill="1" applyBorder="1" applyAlignment="1">
      <alignment horizontal="center" vertical="center"/>
    </xf>
    <xf numFmtId="2" fontId="0" fillId="8" borderId="29" xfId="0" applyNumberFormat="1" applyFill="1" applyBorder="1" applyAlignment="1">
      <alignment horizontal="center" vertical="center" wrapText="1"/>
    </xf>
    <xf numFmtId="2" fontId="0" fillId="8" borderId="29" xfId="0" applyNumberFormat="1" applyFill="1" applyBorder="1" applyAlignment="1">
      <alignment horizontal="center" vertical="center"/>
    </xf>
    <xf numFmtId="2" fontId="10" fillId="10" borderId="33" xfId="0" applyNumberFormat="1" applyFont="1" applyFill="1" applyBorder="1" applyAlignment="1">
      <alignment horizontal="center" vertical="center"/>
    </xf>
    <xf numFmtId="2" fontId="10" fillId="10" borderId="91" xfId="0" applyNumberFormat="1" applyFont="1" applyFill="1" applyBorder="1" applyAlignment="1">
      <alignment horizontal="center" vertical="center" wrapText="1"/>
    </xf>
    <xf numFmtId="2" fontId="12" fillId="10" borderId="1" xfId="0" applyNumberFormat="1" applyFont="1" applyFill="1" applyBorder="1" applyAlignment="1">
      <alignment horizontal="center" vertical="center" wrapText="1"/>
    </xf>
    <xf numFmtId="2" fontId="12" fillId="10" borderId="15" xfId="0" applyNumberFormat="1" applyFont="1" applyFill="1" applyBorder="1" applyAlignment="1">
      <alignment horizontal="center" vertical="center" wrapText="1"/>
    </xf>
    <xf numFmtId="2" fontId="10" fillId="10" borderId="69" xfId="0" applyNumberFormat="1" applyFon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77" xfId="0" applyNumberFormat="1" applyBorder="1" applyAlignment="1">
      <alignment horizontal="center" vertical="center"/>
    </xf>
    <xf numFmtId="2" fontId="0" fillId="8" borderId="87" xfId="0" applyNumberFormat="1" applyFill="1" applyBorder="1" applyAlignment="1">
      <alignment vertical="center" wrapText="1"/>
    </xf>
    <xf numFmtId="2" fontId="0" fillId="8" borderId="29" xfId="0" applyNumberFormat="1" applyFill="1" applyBorder="1" applyAlignment="1">
      <alignment vertical="center" wrapText="1"/>
    </xf>
    <xf numFmtId="2" fontId="10" fillId="0" borderId="2" xfId="0" applyNumberFormat="1" applyFont="1" applyBorder="1" applyAlignment="1">
      <alignment horizontal="center" vertical="center"/>
    </xf>
    <xf numFmtId="2" fontId="10" fillId="10" borderId="3" xfId="0" applyNumberFormat="1" applyFont="1" applyFill="1" applyBorder="1" applyAlignment="1">
      <alignment horizontal="center" vertical="center"/>
    </xf>
    <xf numFmtId="2" fontId="0" fillId="8" borderId="77" xfId="0" applyNumberFormat="1" applyFill="1" applyBorder="1" applyAlignment="1">
      <alignment horizontal="center" vertical="center" wrapText="1"/>
    </xf>
    <xf numFmtId="2" fontId="0" fillId="0" borderId="17" xfId="0" applyNumberFormat="1" applyBorder="1" applyAlignment="1">
      <alignment horizontal="center" vertical="center"/>
    </xf>
    <xf numFmtId="2" fontId="12" fillId="10" borderId="70" xfId="0" applyNumberFormat="1" applyFont="1" applyFill="1" applyBorder="1" applyAlignment="1">
      <alignment horizontal="center" vertical="center" wrapText="1"/>
    </xf>
    <xf numFmtId="2" fontId="0" fillId="0" borderId="9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10" fillId="10" borderId="4" xfId="0" applyNumberFormat="1" applyFont="1" applyFill="1" applyBorder="1" applyAlignment="1">
      <alignment horizontal="center" vertical="center"/>
    </xf>
    <xf numFmtId="2" fontId="0" fillId="8" borderId="96" xfId="0" applyNumberFormat="1" applyFill="1" applyBorder="1" applyAlignment="1">
      <alignment horizontal="center" vertical="center" wrapText="1"/>
    </xf>
    <xf numFmtId="2" fontId="10" fillId="10" borderId="91" xfId="0" applyNumberFormat="1" applyFont="1" applyFill="1" applyBorder="1" applyAlignment="1">
      <alignment horizontal="center" vertical="center"/>
    </xf>
    <xf numFmtId="2" fontId="10" fillId="0" borderId="86" xfId="0" applyNumberFormat="1" applyFont="1" applyBorder="1" applyAlignment="1">
      <alignment horizontal="center" vertical="center"/>
    </xf>
    <xf numFmtId="2" fontId="0" fillId="0" borderId="87" xfId="0" applyNumberFormat="1" applyBorder="1"/>
    <xf numFmtId="2" fontId="0" fillId="0" borderId="29" xfId="0" applyNumberFormat="1" applyBorder="1"/>
    <xf numFmtId="2" fontId="10" fillId="0" borderId="15" xfId="0" applyNumberFormat="1" applyFont="1" applyBorder="1" applyAlignment="1">
      <alignment horizontal="center" vertical="center"/>
    </xf>
    <xf numFmtId="2" fontId="0" fillId="0" borderId="26" xfId="0" applyNumberFormat="1" applyBorder="1"/>
    <xf numFmtId="2" fontId="10" fillId="10" borderId="69" xfId="0" applyNumberFormat="1" applyFont="1" applyFill="1" applyBorder="1" applyAlignment="1">
      <alignment horizontal="center" vertical="center" wrapText="1"/>
    </xf>
    <xf numFmtId="2" fontId="10" fillId="3" borderId="69" xfId="0" applyNumberFormat="1" applyFont="1" applyFill="1" applyBorder="1" applyAlignment="1">
      <alignment horizontal="center" vertical="center" wrapText="1"/>
    </xf>
    <xf numFmtId="2" fontId="10" fillId="0" borderId="3" xfId="0" applyNumberFormat="1" applyFont="1" applyBorder="1" applyAlignment="1">
      <alignment horizontal="center" vertical="center"/>
    </xf>
    <xf numFmtId="2" fontId="0" fillId="0" borderId="77" xfId="0" applyNumberFormat="1" applyBorder="1"/>
    <xf numFmtId="2" fontId="10" fillId="3" borderId="86" xfId="0" applyNumberFormat="1" applyFont="1" applyFill="1" applyBorder="1" applyAlignment="1">
      <alignment horizontal="center" vertical="center"/>
    </xf>
    <xf numFmtId="2" fontId="0" fillId="3" borderId="87" xfId="0" applyNumberFormat="1" applyFill="1" applyBorder="1" applyAlignment="1">
      <alignment horizontal="center" vertical="center" wrapText="1"/>
    </xf>
    <xf numFmtId="2" fontId="10" fillId="3" borderId="2" xfId="0" applyNumberFormat="1" applyFont="1" applyFill="1" applyBorder="1" applyAlignment="1">
      <alignment horizontal="center" vertical="center"/>
    </xf>
    <xf numFmtId="2" fontId="0" fillId="3" borderId="29" xfId="0" applyNumberFormat="1" applyFill="1" applyBorder="1" applyAlignment="1">
      <alignment horizontal="center" vertical="center" wrapText="1"/>
    </xf>
    <xf numFmtId="2" fontId="10" fillId="0" borderId="29" xfId="0" applyNumberFormat="1" applyFont="1" applyBorder="1" applyAlignment="1">
      <alignment horizontal="center" vertical="center"/>
    </xf>
    <xf numFmtId="2" fontId="10" fillId="3" borderId="15" xfId="0" applyNumberFormat="1" applyFont="1" applyFill="1" applyBorder="1" applyAlignment="1">
      <alignment horizontal="center" vertical="center"/>
    </xf>
    <xf numFmtId="2" fontId="0" fillId="3" borderId="26" xfId="0" applyNumberFormat="1" applyFill="1" applyBorder="1" applyAlignment="1">
      <alignment horizontal="center" vertical="center" wrapText="1"/>
    </xf>
    <xf numFmtId="2" fontId="10" fillId="3" borderId="0" xfId="0" applyNumberFormat="1" applyFont="1" applyFill="1" applyAlignment="1">
      <alignment horizontal="center" vertical="center"/>
    </xf>
    <xf numFmtId="2" fontId="10" fillId="3" borderId="0" xfId="0" applyNumberFormat="1" applyFont="1" applyFill="1" applyAlignment="1">
      <alignment horizontal="center" vertical="center" wrapText="1"/>
    </xf>
    <xf numFmtId="2" fontId="12" fillId="3" borderId="0" xfId="0" applyNumberFormat="1" applyFont="1" applyFill="1" applyAlignment="1">
      <alignment horizontal="center" vertical="center" wrapText="1"/>
    </xf>
    <xf numFmtId="2" fontId="0" fillId="3" borderId="0" xfId="0" applyNumberFormat="1" applyFill="1" applyAlignment="1">
      <alignment horizontal="center" vertical="center" wrapText="1"/>
    </xf>
    <xf numFmtId="2" fontId="0" fillId="0" borderId="71" xfId="0" applyNumberFormat="1" applyBorder="1" applyAlignment="1">
      <alignment horizontal="center" vertical="center"/>
    </xf>
    <xf numFmtId="2" fontId="10" fillId="10" borderId="20" xfId="0" applyNumberFormat="1" applyFont="1" applyFill="1" applyBorder="1" applyAlignment="1">
      <alignment horizontal="center" vertical="center" wrapText="1"/>
    </xf>
    <xf numFmtId="2" fontId="10" fillId="3" borderId="20" xfId="0" applyNumberFormat="1" applyFont="1" applyFill="1" applyBorder="1" applyAlignment="1">
      <alignment horizontal="center" vertical="center"/>
    </xf>
    <xf numFmtId="2" fontId="12" fillId="3" borderId="0" xfId="0" applyNumberFormat="1" applyFont="1" applyFill="1" applyAlignment="1">
      <alignment horizontal="center" vertical="center"/>
    </xf>
    <xf numFmtId="2" fontId="12" fillId="3" borderId="2" xfId="4" applyNumberFormat="1" applyFont="1" applyFill="1" applyBorder="1" applyAlignment="1">
      <alignment horizontal="center" vertical="center" wrapText="1"/>
    </xf>
    <xf numFmtId="2" fontId="12" fillId="3" borderId="0" xfId="4" applyNumberFormat="1" applyFont="1" applyFill="1" applyAlignment="1">
      <alignment vertical="center" wrapText="1"/>
    </xf>
    <xf numFmtId="2" fontId="12" fillId="3" borderId="0" xfId="4" applyNumberFormat="1" applyFont="1" applyFill="1" applyAlignment="1">
      <alignment horizontal="center" vertical="center" wrapText="1"/>
    </xf>
    <xf numFmtId="2" fontId="0" fillId="9" borderId="0" xfId="0" applyNumberFormat="1" applyFill="1"/>
    <xf numFmtId="2" fontId="73" fillId="3" borderId="2" xfId="0" applyNumberFormat="1" applyFont="1" applyFill="1" applyBorder="1" applyAlignment="1">
      <alignment horizontal="center" vertical="center"/>
    </xf>
    <xf numFmtId="2" fontId="73" fillId="3" borderId="2" xfId="0" applyNumberFormat="1" applyFont="1" applyFill="1" applyBorder="1" applyAlignment="1">
      <alignment vertical="center"/>
    </xf>
    <xf numFmtId="2" fontId="74" fillId="0" borderId="2" xfId="0" applyNumberFormat="1" applyFont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10" fillId="3" borderId="20" xfId="0" applyNumberFormat="1" applyFont="1" applyFill="1" applyBorder="1"/>
    <xf numFmtId="2" fontId="12" fillId="3" borderId="0" xfId="0" applyNumberFormat="1" applyFont="1" applyFill="1" applyAlignment="1">
      <alignment horizontal="center"/>
    </xf>
    <xf numFmtId="2" fontId="12" fillId="3" borderId="30" xfId="0" applyNumberFormat="1" applyFont="1" applyFill="1" applyBorder="1" applyAlignment="1">
      <alignment horizontal="center" vertical="center"/>
    </xf>
    <xf numFmtId="2" fontId="12" fillId="3" borderId="6" xfId="0" applyNumberFormat="1" applyFont="1" applyFill="1" applyBorder="1" applyAlignment="1">
      <alignment horizontal="center" vertical="center"/>
    </xf>
    <xf numFmtId="2" fontId="12" fillId="3" borderId="2" xfId="0" applyNumberFormat="1" applyFont="1" applyFill="1" applyBorder="1" applyAlignment="1">
      <alignment horizontal="center"/>
    </xf>
    <xf numFmtId="2" fontId="12" fillId="3" borderId="29" xfId="0" applyNumberFormat="1" applyFont="1" applyFill="1" applyBorder="1" applyAlignment="1">
      <alignment horizontal="center"/>
    </xf>
    <xf numFmtId="2" fontId="12" fillId="3" borderId="27" xfId="0" applyNumberFormat="1" applyFont="1" applyFill="1" applyBorder="1" applyAlignment="1">
      <alignment horizontal="center" vertical="center"/>
    </xf>
    <xf numFmtId="2" fontId="12" fillId="3" borderId="43" xfId="0" applyNumberFormat="1" applyFont="1" applyFill="1" applyBorder="1" applyAlignment="1">
      <alignment horizontal="center" vertical="center"/>
    </xf>
    <xf numFmtId="2" fontId="12" fillId="3" borderId="15" xfId="0" applyNumberFormat="1" applyFont="1" applyFill="1" applyBorder="1" applyAlignment="1">
      <alignment horizontal="center"/>
    </xf>
    <xf numFmtId="2" fontId="12" fillId="3" borderId="26" xfId="0" applyNumberFormat="1" applyFont="1" applyFill="1" applyBorder="1" applyAlignment="1">
      <alignment horizontal="center"/>
    </xf>
    <xf numFmtId="2" fontId="12" fillId="3" borderId="20" xfId="0" applyNumberFormat="1" applyFont="1" applyFill="1" applyBorder="1" applyAlignment="1">
      <alignment horizontal="center" vertical="center"/>
    </xf>
    <xf numFmtId="2" fontId="58" fillId="3" borderId="37" xfId="0" applyNumberFormat="1" applyFont="1" applyFill="1" applyBorder="1" applyAlignment="1">
      <alignment horizontal="center" vertical="center" wrapText="1"/>
    </xf>
    <xf numFmtId="2" fontId="58" fillId="3" borderId="36" xfId="0" applyNumberFormat="1" applyFont="1" applyFill="1" applyBorder="1" applyAlignment="1">
      <alignment horizontal="center" vertical="center" wrapText="1"/>
    </xf>
    <xf numFmtId="2" fontId="12" fillId="3" borderId="36" xfId="0" applyNumberFormat="1" applyFont="1" applyFill="1" applyBorder="1" applyAlignment="1">
      <alignment horizontal="center" vertical="center" wrapText="1"/>
    </xf>
    <xf numFmtId="2" fontId="12" fillId="3" borderId="36" xfId="1" applyNumberFormat="1" applyFont="1" applyFill="1" applyBorder="1" applyAlignment="1">
      <alignment horizontal="center" vertical="center" wrapText="1"/>
    </xf>
    <xf numFmtId="2" fontId="12" fillId="3" borderId="35" xfId="0" applyNumberFormat="1" applyFont="1" applyFill="1" applyBorder="1" applyAlignment="1">
      <alignment horizontal="center" vertical="center" wrapText="1"/>
    </xf>
    <xf numFmtId="2" fontId="75" fillId="6" borderId="37" xfId="0" applyNumberFormat="1" applyFont="1" applyFill="1" applyBorder="1" applyAlignment="1">
      <alignment horizontal="center" vertical="center"/>
    </xf>
    <xf numFmtId="2" fontId="75" fillId="6" borderId="36" xfId="0" applyNumberFormat="1" applyFont="1" applyFill="1" applyBorder="1" applyAlignment="1">
      <alignment horizontal="center" vertical="center"/>
    </xf>
    <xf numFmtId="2" fontId="75" fillId="3" borderId="36" xfId="0" applyNumberFormat="1" applyFont="1" applyFill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2" fontId="75" fillId="3" borderId="36" xfId="0" applyNumberFormat="1" applyFont="1" applyFill="1" applyBorder="1" applyAlignment="1">
      <alignment horizontal="center"/>
    </xf>
    <xf numFmtId="2" fontId="76" fillId="3" borderId="36" xfId="0" applyNumberFormat="1" applyFont="1" applyFill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2" fontId="77" fillId="0" borderId="0" xfId="0" applyNumberFormat="1" applyFont="1" applyAlignment="1">
      <alignment horizontal="left" vertical="center"/>
    </xf>
    <xf numFmtId="2" fontId="27" fillId="6" borderId="51" xfId="0" applyNumberFormat="1" applyFont="1" applyFill="1" applyBorder="1" applyAlignment="1">
      <alignment vertical="center"/>
    </xf>
    <xf numFmtId="2" fontId="27" fillId="3" borderId="49" xfId="0" applyNumberFormat="1" applyFont="1" applyFill="1" applyBorder="1" applyAlignment="1">
      <alignment vertical="center"/>
    </xf>
    <xf numFmtId="2" fontId="47" fillId="3" borderId="0" xfId="0" applyNumberFormat="1" applyFont="1" applyFill="1" applyAlignment="1" applyProtection="1">
      <alignment horizontal="left" vertical="center"/>
      <protection locked="0"/>
    </xf>
    <xf numFmtId="2" fontId="47" fillId="0" borderId="0" xfId="0" applyNumberFormat="1" applyFont="1" applyAlignment="1">
      <alignment horizontal="left" vertical="center"/>
    </xf>
    <xf numFmtId="2" fontId="7" fillId="3" borderId="52" xfId="0" applyNumberFormat="1" applyFont="1" applyFill="1" applyBorder="1" applyAlignment="1">
      <alignment vertical="center"/>
    </xf>
    <xf numFmtId="1" fontId="7" fillId="3" borderId="1" xfId="0" applyNumberFormat="1" applyFont="1" applyFill="1" applyBorder="1" applyAlignment="1">
      <alignment horizontal="center" vertical="center"/>
    </xf>
    <xf numFmtId="1" fontId="10" fillId="3" borderId="33" xfId="0" applyNumberFormat="1" applyFont="1" applyFill="1" applyBorder="1" applyAlignment="1">
      <alignment horizontal="center" vertical="center"/>
    </xf>
    <xf numFmtId="2" fontId="24" fillId="0" borderId="45" xfId="0" applyNumberFormat="1" applyFont="1" applyBorder="1" applyAlignment="1">
      <alignment horizontal="center" vertical="center"/>
    </xf>
    <xf numFmtId="2" fontId="24" fillId="0" borderId="7" xfId="0" applyNumberFormat="1" applyFont="1" applyBorder="1" applyAlignment="1">
      <alignment horizontal="center" vertical="center"/>
    </xf>
    <xf numFmtId="2" fontId="24" fillId="0" borderId="7" xfId="0" applyNumberFormat="1" applyFont="1" applyBorder="1"/>
    <xf numFmtId="2" fontId="24" fillId="0" borderId="38" xfId="0" applyNumberFormat="1" applyFont="1" applyBorder="1"/>
    <xf numFmtId="2" fontId="7" fillId="3" borderId="7" xfId="0" applyNumberFormat="1" applyFont="1" applyFill="1" applyBorder="1" applyAlignment="1">
      <alignment vertical="center"/>
    </xf>
    <xf numFmtId="1" fontId="7" fillId="3" borderId="2" xfId="0" applyNumberFormat="1" applyFont="1" applyFill="1" applyBorder="1" applyAlignment="1">
      <alignment horizontal="center" vertical="center"/>
    </xf>
    <xf numFmtId="1" fontId="10" fillId="3" borderId="29" xfId="0" applyNumberFormat="1" applyFont="1" applyFill="1" applyBorder="1" applyAlignment="1">
      <alignment horizontal="center" vertical="center"/>
    </xf>
    <xf numFmtId="2" fontId="7" fillId="3" borderId="9" xfId="0" applyNumberFormat="1" applyFont="1" applyFill="1" applyBorder="1" applyAlignment="1">
      <alignment vertical="center"/>
    </xf>
    <xf numFmtId="2" fontId="24" fillId="0" borderId="9" xfId="0" applyNumberFormat="1" applyFont="1" applyBorder="1"/>
    <xf numFmtId="2" fontId="24" fillId="0" borderId="97" xfId="0" applyNumberFormat="1" applyFont="1" applyBorder="1"/>
    <xf numFmtId="2" fontId="7" fillId="3" borderId="0" xfId="0" applyNumberFormat="1" applyFont="1" applyFill="1" applyAlignment="1">
      <alignment vertical="center"/>
    </xf>
    <xf numFmtId="1" fontId="7" fillId="3" borderId="0" xfId="0" applyNumberFormat="1" applyFont="1" applyFill="1" applyAlignment="1">
      <alignment horizontal="center" vertical="center"/>
    </xf>
    <xf numFmtId="2" fontId="24" fillId="0" borderId="9" xfId="0" applyNumberFormat="1" applyFont="1" applyBorder="1" applyAlignment="1">
      <alignment horizontal="center" vertical="center"/>
    </xf>
    <xf numFmtId="1" fontId="77" fillId="0" borderId="0" xfId="0" applyNumberFormat="1" applyFont="1" applyAlignment="1">
      <alignment horizontal="left" vertical="center"/>
    </xf>
    <xf numFmtId="2" fontId="29" fillId="3" borderId="0" xfId="0" quotePrefix="1" applyNumberFormat="1" applyFont="1" applyFill="1" applyAlignment="1" applyProtection="1">
      <alignment horizontal="left"/>
      <protection locked="0"/>
    </xf>
    <xf numFmtId="0" fontId="55" fillId="11" borderId="60" xfId="4" applyFont="1" applyFill="1" applyBorder="1"/>
    <xf numFmtId="0" fontId="55" fillId="11" borderId="59" xfId="4" applyFont="1" applyFill="1" applyBorder="1"/>
    <xf numFmtId="0" fontId="4" fillId="11" borderId="0" xfId="4" applyFill="1"/>
    <xf numFmtId="0" fontId="4" fillId="11" borderId="60" xfId="4" applyFill="1" applyBorder="1"/>
    <xf numFmtId="0" fontId="4" fillId="11" borderId="59" xfId="4" applyFill="1" applyBorder="1"/>
    <xf numFmtId="0" fontId="6" fillId="11" borderId="0" xfId="4" applyFont="1" applyFill="1" applyAlignment="1">
      <alignment horizontal="center" vertical="center"/>
    </xf>
    <xf numFmtId="0" fontId="14" fillId="11" borderId="30" xfId="4" applyFont="1" applyFill="1" applyBorder="1" applyAlignment="1">
      <alignment horizontal="center" vertical="center"/>
    </xf>
    <xf numFmtId="0" fontId="16" fillId="11" borderId="30" xfId="4" applyFont="1" applyFill="1" applyBorder="1" applyAlignment="1">
      <alignment horizontal="center" vertical="center"/>
    </xf>
    <xf numFmtId="0" fontId="14" fillId="11" borderId="2" xfId="4" applyFont="1" applyFill="1" applyBorder="1" applyAlignment="1">
      <alignment horizontal="center" vertical="center"/>
    </xf>
    <xf numFmtId="0" fontId="4" fillId="11" borderId="2" xfId="4" applyFill="1" applyBorder="1" applyAlignment="1">
      <alignment horizontal="center"/>
    </xf>
    <xf numFmtId="2" fontId="4" fillId="11" borderId="1" xfId="4" applyNumberFormat="1" applyFill="1" applyBorder="1" applyAlignment="1">
      <alignment horizontal="center"/>
    </xf>
    <xf numFmtId="165" fontId="4" fillId="11" borderId="2" xfId="4" applyNumberFormat="1" applyFill="1" applyBorder="1" applyAlignment="1">
      <alignment horizontal="center"/>
    </xf>
    <xf numFmtId="165" fontId="4" fillId="11" borderId="29" xfId="4" applyNumberFormat="1" applyFill="1" applyBorder="1" applyAlignment="1">
      <alignment horizontal="center" vertical="center"/>
    </xf>
    <xf numFmtId="165" fontId="4" fillId="11" borderId="0" xfId="4" applyNumberFormat="1" applyFill="1" applyAlignment="1">
      <alignment horizontal="center" vertical="center"/>
    </xf>
    <xf numFmtId="164" fontId="4" fillId="11" borderId="2" xfId="4" applyNumberFormat="1" applyFill="1" applyBorder="1" applyAlignment="1">
      <alignment horizontal="center"/>
    </xf>
    <xf numFmtId="164" fontId="4" fillId="11" borderId="29" xfId="4" applyNumberFormat="1" applyFill="1" applyBorder="1" applyAlignment="1">
      <alignment horizontal="center" vertical="center"/>
    </xf>
    <xf numFmtId="164" fontId="4" fillId="11" borderId="0" xfId="4" applyNumberFormat="1" applyFill="1" applyAlignment="1">
      <alignment horizontal="center" vertical="center"/>
    </xf>
    <xf numFmtId="0" fontId="4" fillId="11" borderId="15" xfId="4" applyFill="1" applyBorder="1" applyAlignment="1">
      <alignment horizontal="center"/>
    </xf>
    <xf numFmtId="164" fontId="4" fillId="11" borderId="15" xfId="4" applyNumberFormat="1" applyFill="1" applyBorder="1" applyAlignment="1">
      <alignment horizontal="center"/>
    </xf>
    <xf numFmtId="164" fontId="4" fillId="11" borderId="26" xfId="4" applyNumberFormat="1" applyFill="1" applyBorder="1" applyAlignment="1">
      <alignment horizontal="center" vertical="center"/>
    </xf>
    <xf numFmtId="0" fontId="4" fillId="11" borderId="0" xfId="4" applyFill="1" applyAlignment="1">
      <alignment horizontal="center"/>
    </xf>
    <xf numFmtId="164" fontId="4" fillId="11" borderId="0" xfId="4" applyNumberFormat="1" applyFill="1" applyAlignment="1">
      <alignment horizontal="center"/>
    </xf>
    <xf numFmtId="165" fontId="4" fillId="11" borderId="0" xfId="4" applyNumberFormat="1" applyFill="1" applyAlignment="1">
      <alignment horizontal="center"/>
    </xf>
    <xf numFmtId="164" fontId="4" fillId="0" borderId="0" xfId="4" applyNumberFormat="1" applyAlignment="1">
      <alignment horizontal="center"/>
    </xf>
    <xf numFmtId="165" fontId="4" fillId="0" borderId="0" xfId="4" applyNumberFormat="1" applyAlignment="1">
      <alignment horizontal="center"/>
    </xf>
    <xf numFmtId="164" fontId="4" fillId="0" borderId="0" xfId="4" applyNumberFormat="1" applyAlignment="1">
      <alignment horizontal="center" vertical="center"/>
    </xf>
    <xf numFmtId="167" fontId="4" fillId="11" borderId="0" xfId="4" applyNumberFormat="1" applyFill="1" applyAlignment="1">
      <alignment horizontal="center" vertical="center"/>
    </xf>
    <xf numFmtId="167" fontId="4" fillId="0" borderId="0" xfId="4" applyNumberFormat="1"/>
    <xf numFmtId="0" fontId="4" fillId="11" borderId="0" xfId="4" applyFill="1" applyAlignment="1">
      <alignment horizontal="left"/>
    </xf>
    <xf numFmtId="0" fontId="6" fillId="11" borderId="85" xfId="4" applyFont="1" applyFill="1" applyBorder="1"/>
    <xf numFmtId="0" fontId="4" fillId="11" borderId="86" xfId="4" applyFill="1" applyBorder="1"/>
    <xf numFmtId="0" fontId="4" fillId="11" borderId="87" xfId="4" applyFill="1" applyBorder="1"/>
    <xf numFmtId="0" fontId="4" fillId="11" borderId="75" xfId="4" applyFill="1" applyBorder="1" applyAlignment="1">
      <alignment horizontal="center"/>
    </xf>
    <xf numFmtId="0" fontId="4" fillId="11" borderId="1" xfId="4" applyFill="1" applyBorder="1" applyAlignment="1">
      <alignment horizontal="center"/>
    </xf>
    <xf numFmtId="165" fontId="4" fillId="11" borderId="33" xfId="4" applyNumberFormat="1" applyFill="1" applyBorder="1" applyAlignment="1">
      <alignment horizontal="center" vertical="center"/>
    </xf>
    <xf numFmtId="0" fontId="4" fillId="11" borderId="30" xfId="4" applyFill="1" applyBorder="1" applyAlignment="1">
      <alignment horizontal="center"/>
    </xf>
    <xf numFmtId="0" fontId="4" fillId="11" borderId="27" xfId="4" applyFill="1" applyBorder="1" applyAlignment="1">
      <alignment horizontal="center"/>
    </xf>
    <xf numFmtId="165" fontId="4" fillId="11" borderId="15" xfId="4" applyNumberFormat="1" applyFill="1" applyBorder="1" applyAlignment="1">
      <alignment horizontal="center"/>
    </xf>
    <xf numFmtId="1" fontId="6" fillId="3" borderId="0" xfId="4" applyNumberFormat="1" applyFont="1" applyFill="1" applyAlignment="1">
      <alignment horizontal="center" vertical="center" wrapText="1"/>
    </xf>
    <xf numFmtId="0" fontId="58" fillId="3" borderId="0" xfId="4" applyFont="1" applyFill="1" applyAlignment="1">
      <alignment vertical="center" wrapText="1"/>
    </xf>
    <xf numFmtId="0" fontId="58" fillId="3" borderId="0" xfId="4" applyFont="1" applyFill="1" applyAlignment="1">
      <alignment horizontal="center" vertical="center" wrapText="1"/>
    </xf>
    <xf numFmtId="0" fontId="12" fillId="3" borderId="0" xfId="4" applyFont="1" applyFill="1" applyAlignment="1">
      <alignment vertical="center" wrapText="1"/>
    </xf>
    <xf numFmtId="0" fontId="12" fillId="3" borderId="0" xfId="4" applyFont="1" applyFill="1" applyAlignment="1">
      <alignment horizontal="center" vertical="center" wrapText="1"/>
    </xf>
    <xf numFmtId="0" fontId="12" fillId="3" borderId="0" xfId="7" applyFont="1" applyFill="1" applyAlignment="1">
      <alignment horizontal="center" vertical="center" wrapText="1"/>
    </xf>
    <xf numFmtId="1" fontId="4" fillId="3" borderId="2" xfId="4" applyNumberFormat="1" applyFill="1" applyBorder="1" applyAlignment="1">
      <alignment horizontal="center" vertical="center" wrapText="1"/>
    </xf>
    <xf numFmtId="1" fontId="6" fillId="0" borderId="0" xfId="4" applyNumberFormat="1" applyFont="1" applyAlignment="1">
      <alignment horizontal="center" vertical="center"/>
    </xf>
    <xf numFmtId="2" fontId="75" fillId="3" borderId="0" xfId="4" applyNumberFormat="1" applyFont="1" applyFill="1" applyAlignment="1">
      <alignment horizontal="center" vertical="center"/>
    </xf>
    <xf numFmtId="164" fontId="75" fillId="3" borderId="0" xfId="4" applyNumberFormat="1" applyFont="1" applyFill="1" applyAlignment="1">
      <alignment horizontal="center"/>
    </xf>
    <xf numFmtId="166" fontId="75" fillId="3" borderId="0" xfId="4" applyNumberFormat="1" applyFont="1" applyFill="1" applyAlignment="1">
      <alignment horizontal="center" vertical="center"/>
    </xf>
    <xf numFmtId="164" fontId="75" fillId="3" borderId="0" xfId="4" applyNumberFormat="1" applyFont="1" applyFill="1" applyAlignment="1">
      <alignment horizontal="center" vertical="center"/>
    </xf>
    <xf numFmtId="2" fontId="75" fillId="3" borderId="0" xfId="4" applyNumberFormat="1" applyFont="1" applyFill="1" applyAlignment="1">
      <alignment horizontal="center"/>
    </xf>
    <xf numFmtId="165" fontId="75" fillId="3" borderId="0" xfId="4" applyNumberFormat="1" applyFont="1" applyFill="1" applyAlignment="1">
      <alignment horizontal="center"/>
    </xf>
    <xf numFmtId="2" fontId="76" fillId="3" borderId="0" xfId="4" applyNumberFormat="1" applyFont="1" applyFill="1" applyAlignment="1">
      <alignment horizontal="center" vertical="center"/>
    </xf>
    <xf numFmtId="1" fontId="4" fillId="3" borderId="6" xfId="4" applyNumberFormat="1" applyFill="1" applyBorder="1" applyAlignment="1">
      <alignment horizontal="center" vertical="center" wrapText="1"/>
    </xf>
    <xf numFmtId="2" fontId="61" fillId="3" borderId="0" xfId="4" applyNumberFormat="1" applyFont="1" applyFill="1" applyAlignment="1">
      <alignment horizontal="center" vertical="center"/>
    </xf>
    <xf numFmtId="165" fontId="12" fillId="3" borderId="0" xfId="4" applyNumberFormat="1" applyFont="1" applyFill="1" applyAlignment="1">
      <alignment horizontal="center" vertical="center" wrapText="1"/>
    </xf>
    <xf numFmtId="164" fontId="12" fillId="3" borderId="0" xfId="4" applyNumberFormat="1" applyFont="1" applyFill="1" applyAlignment="1">
      <alignment horizontal="center" vertical="center"/>
    </xf>
    <xf numFmtId="165" fontId="12" fillId="3" borderId="0" xfId="4" applyNumberFormat="1" applyFont="1" applyFill="1" applyAlignment="1">
      <alignment horizontal="center" vertical="center"/>
    </xf>
    <xf numFmtId="164" fontId="76" fillId="3" borderId="0" xfId="4" applyNumberFormat="1" applyFont="1" applyFill="1" applyAlignment="1">
      <alignment horizontal="center" vertical="center"/>
    </xf>
    <xf numFmtId="165" fontId="4" fillId="3" borderId="2" xfId="4" applyNumberFormat="1" applyFill="1" applyBorder="1" applyAlignment="1">
      <alignment horizontal="center" vertical="center" wrapText="1"/>
    </xf>
    <xf numFmtId="0" fontId="4" fillId="3" borderId="0" xfId="4" applyFill="1" applyAlignment="1">
      <alignment horizontal="center"/>
    </xf>
    <xf numFmtId="164" fontId="4" fillId="3" borderId="0" xfId="4" applyNumberFormat="1" applyFill="1" applyAlignment="1">
      <alignment horizontal="center"/>
    </xf>
    <xf numFmtId="165" fontId="4" fillId="3" borderId="0" xfId="4" applyNumberFormat="1" applyFill="1" applyAlignment="1">
      <alignment horizontal="center"/>
    </xf>
    <xf numFmtId="164" fontId="4" fillId="3" borderId="0" xfId="4" applyNumberFormat="1" applyFill="1" applyAlignment="1">
      <alignment horizontal="center" vertical="center"/>
    </xf>
    <xf numFmtId="0" fontId="75" fillId="0" borderId="8" xfId="4" applyFont="1" applyBorder="1"/>
    <xf numFmtId="0" fontId="79" fillId="6" borderId="7" xfId="4" applyFont="1" applyFill="1" applyBorder="1" applyAlignment="1">
      <alignment vertical="center"/>
    </xf>
    <xf numFmtId="0" fontId="79" fillId="3" borderId="8" xfId="4" applyFont="1" applyFill="1" applyBorder="1" applyAlignment="1">
      <alignment horizontal="center" vertical="center"/>
    </xf>
    <xf numFmtId="0" fontId="75" fillId="0" borderId="7" xfId="4" applyFont="1" applyBorder="1"/>
    <xf numFmtId="0" fontId="76" fillId="3" borderId="7" xfId="4" applyFont="1" applyFill="1" applyBorder="1" applyAlignment="1">
      <alignment vertical="center"/>
    </xf>
    <xf numFmtId="0" fontId="76" fillId="3" borderId="2" xfId="4" applyFont="1" applyFill="1" applyBorder="1" applyAlignment="1">
      <alignment horizontal="center" vertical="center"/>
    </xf>
    <xf numFmtId="1" fontId="76" fillId="3" borderId="8" xfId="4" applyNumberFormat="1" applyFont="1" applyFill="1" applyBorder="1" applyAlignment="1">
      <alignment horizontal="center" vertical="center"/>
    </xf>
    <xf numFmtId="0" fontId="80" fillId="0" borderId="2" xfId="4" applyFont="1" applyBorder="1" applyAlignment="1">
      <alignment horizontal="center" vertical="center"/>
    </xf>
    <xf numFmtId="0" fontId="75" fillId="3" borderId="7" xfId="4" applyFont="1" applyFill="1" applyBorder="1" applyAlignment="1">
      <alignment vertical="center"/>
    </xf>
    <xf numFmtId="0" fontId="80" fillId="0" borderId="7" xfId="4" applyFont="1" applyBorder="1" applyAlignment="1">
      <alignment vertical="center"/>
    </xf>
    <xf numFmtId="0" fontId="81" fillId="0" borderId="7" xfId="4" applyFont="1" applyBorder="1" applyAlignment="1">
      <alignment vertical="center"/>
    </xf>
    <xf numFmtId="0" fontId="24" fillId="0" borderId="7" xfId="4" applyFont="1" applyBorder="1" applyAlignment="1">
      <alignment vertical="center"/>
    </xf>
    <xf numFmtId="0" fontId="24" fillId="0" borderId="6" xfId="4" applyFont="1" applyBorder="1" applyAlignment="1">
      <alignment vertical="center"/>
    </xf>
    <xf numFmtId="0" fontId="75" fillId="0" borderId="7" xfId="4" applyFont="1" applyBorder="1" applyAlignment="1">
      <alignment vertical="center"/>
    </xf>
    <xf numFmtId="0" fontId="5" fillId="0" borderId="7" xfId="4" applyFont="1" applyBorder="1" applyAlignment="1">
      <alignment vertical="center"/>
    </xf>
    <xf numFmtId="0" fontId="4" fillId="0" borderId="7" xfId="4" applyBorder="1"/>
    <xf numFmtId="0" fontId="4" fillId="0" borderId="7" xfId="4" applyBorder="1" applyAlignment="1">
      <alignment vertical="center"/>
    </xf>
    <xf numFmtId="0" fontId="4" fillId="0" borderId="6" xfId="4" applyBorder="1" applyAlignment="1">
      <alignment vertical="center"/>
    </xf>
    <xf numFmtId="0" fontId="4" fillId="0" borderId="8" xfId="4" applyBorder="1"/>
    <xf numFmtId="0" fontId="75" fillId="0" borderId="2" xfId="4" applyFont="1" applyBorder="1" applyAlignment="1">
      <alignment horizontal="center" vertical="center"/>
    </xf>
    <xf numFmtId="0" fontId="75" fillId="0" borderId="0" xfId="4" applyFont="1"/>
    <xf numFmtId="0" fontId="75" fillId="0" borderId="2" xfId="4" applyFont="1" applyBorder="1" applyAlignment="1">
      <alignment horizontal="center"/>
    </xf>
    <xf numFmtId="166" fontId="4" fillId="3" borderId="2" xfId="4" applyNumberFormat="1" applyFill="1" applyBorder="1" applyAlignment="1">
      <alignment horizontal="center" vertical="center" wrapText="1"/>
    </xf>
    <xf numFmtId="167" fontId="4" fillId="0" borderId="0" xfId="4" applyNumberFormat="1" applyAlignment="1">
      <alignment horizontal="center"/>
    </xf>
    <xf numFmtId="165" fontId="12" fillId="4" borderId="2" xfId="4" applyNumberFormat="1" applyFont="1" applyFill="1" applyBorder="1" applyAlignment="1">
      <alignment horizontal="center" vertical="center" wrapText="1"/>
    </xf>
    <xf numFmtId="166" fontId="12" fillId="4" borderId="2" xfId="4" applyNumberFormat="1" applyFont="1" applyFill="1" applyBorder="1" applyAlignment="1">
      <alignment horizontal="center" vertical="center"/>
    </xf>
    <xf numFmtId="165" fontId="12" fillId="4" borderId="2" xfId="4" applyNumberFormat="1" applyFont="1" applyFill="1" applyBorder="1" applyAlignment="1">
      <alignment horizontal="center" vertical="center"/>
    </xf>
    <xf numFmtId="164" fontId="76" fillId="0" borderId="2" xfId="4" applyNumberFormat="1" applyFont="1" applyBorder="1" applyAlignment="1">
      <alignment horizontal="center" vertical="center"/>
    </xf>
    <xf numFmtId="0" fontId="6" fillId="12" borderId="0" xfId="3" applyFont="1" applyFill="1"/>
    <xf numFmtId="0" fontId="4" fillId="12" borderId="0" xfId="3" applyFill="1"/>
    <xf numFmtId="0" fontId="58" fillId="3" borderId="2" xfId="4" applyFont="1" applyFill="1" applyBorder="1" applyAlignment="1">
      <alignment horizontal="center" vertical="center" wrapText="1"/>
    </xf>
    <xf numFmtId="0" fontId="12" fillId="3" borderId="2" xfId="4" applyFont="1" applyFill="1" applyBorder="1" applyAlignment="1">
      <alignment horizontal="center" vertical="center" wrapText="1"/>
    </xf>
    <xf numFmtId="0" fontId="12" fillId="3" borderId="2" xfId="7" applyFont="1" applyFill="1" applyBorder="1" applyAlignment="1">
      <alignment horizontal="center" vertical="center" wrapText="1"/>
    </xf>
    <xf numFmtId="0" fontId="15" fillId="3" borderId="0" xfId="4" applyFont="1" applyFill="1" applyAlignment="1">
      <alignment horizontal="center" vertical="center" wrapText="1"/>
    </xf>
    <xf numFmtId="165" fontId="75" fillId="3" borderId="2" xfId="4" applyNumberFormat="1" applyFont="1" applyFill="1" applyBorder="1" applyAlignment="1">
      <alignment horizontal="center" vertical="center"/>
    </xf>
    <xf numFmtId="167" fontId="75" fillId="3" borderId="2" xfId="4" applyNumberFormat="1" applyFont="1" applyFill="1" applyBorder="1" applyAlignment="1">
      <alignment horizontal="center" vertical="center"/>
    </xf>
    <xf numFmtId="167" fontId="75" fillId="3" borderId="2" xfId="4" applyNumberFormat="1" applyFont="1" applyFill="1" applyBorder="1" applyAlignment="1">
      <alignment horizontal="center"/>
    </xf>
    <xf numFmtId="166" fontId="75" fillId="3" borderId="2" xfId="4" applyNumberFormat="1" applyFont="1" applyFill="1" applyBorder="1" applyAlignment="1">
      <alignment horizontal="center" vertical="center"/>
    </xf>
    <xf numFmtId="2" fontId="75" fillId="3" borderId="2" xfId="4" applyNumberFormat="1" applyFont="1" applyFill="1" applyBorder="1" applyAlignment="1">
      <alignment horizontal="center" vertical="center"/>
    </xf>
    <xf numFmtId="167" fontId="75" fillId="0" borderId="2" xfId="4" applyNumberFormat="1" applyFont="1" applyBorder="1" applyAlignment="1">
      <alignment horizontal="center" vertical="center"/>
    </xf>
    <xf numFmtId="2" fontId="75" fillId="3" borderId="2" xfId="4" applyNumberFormat="1" applyFont="1" applyFill="1" applyBorder="1" applyAlignment="1">
      <alignment horizontal="center"/>
    </xf>
    <xf numFmtId="164" fontId="75" fillId="0" borderId="2" xfId="4" applyNumberFormat="1" applyFont="1" applyBorder="1" applyAlignment="1">
      <alignment horizontal="center"/>
    </xf>
    <xf numFmtId="2" fontId="76" fillId="3" borderId="2" xfId="4" applyNumberFormat="1" applyFont="1" applyFill="1" applyBorder="1" applyAlignment="1">
      <alignment horizontal="center" vertical="center"/>
    </xf>
    <xf numFmtId="2" fontId="61" fillId="3" borderId="2" xfId="4" applyNumberFormat="1" applyFont="1" applyFill="1" applyBorder="1" applyAlignment="1">
      <alignment horizontal="center" vertical="center"/>
    </xf>
    <xf numFmtId="164" fontId="65" fillId="3" borderId="0" xfId="4" applyNumberFormat="1" applyFont="1" applyFill="1" applyAlignment="1">
      <alignment horizontal="center" vertical="center"/>
    </xf>
    <xf numFmtId="166" fontId="75" fillId="3" borderId="2" xfId="4" applyNumberFormat="1" applyFont="1" applyFill="1" applyBorder="1" applyAlignment="1">
      <alignment horizontal="center"/>
    </xf>
    <xf numFmtId="164" fontId="75" fillId="3" borderId="2" xfId="4" applyNumberFormat="1" applyFont="1" applyFill="1" applyBorder="1" applyAlignment="1">
      <alignment horizontal="center"/>
    </xf>
    <xf numFmtId="164" fontId="75" fillId="3" borderId="2" xfId="4" applyNumberFormat="1" applyFont="1" applyFill="1" applyBorder="1" applyAlignment="1">
      <alignment horizontal="center" vertical="center"/>
    </xf>
    <xf numFmtId="2" fontId="75" fillId="0" borderId="2" xfId="4" applyNumberFormat="1" applyFont="1" applyBorder="1" applyAlignment="1">
      <alignment horizontal="center" vertical="center"/>
    </xf>
    <xf numFmtId="165" fontId="76" fillId="3" borderId="2" xfId="4" applyNumberFormat="1" applyFont="1" applyFill="1" applyBorder="1" applyAlignment="1">
      <alignment horizontal="center" vertical="center"/>
    </xf>
    <xf numFmtId="165" fontId="61" fillId="3" borderId="2" xfId="4" applyNumberFormat="1" applyFont="1" applyFill="1" applyBorder="1" applyAlignment="1">
      <alignment horizontal="center" vertical="center"/>
    </xf>
    <xf numFmtId="0" fontId="10" fillId="0" borderId="0" xfId="8" applyFont="1"/>
    <xf numFmtId="0" fontId="4" fillId="0" borderId="0" xfId="8"/>
    <xf numFmtId="0" fontId="4" fillId="0" borderId="60" xfId="8" applyBorder="1"/>
    <xf numFmtId="0" fontId="6" fillId="11" borderId="2" xfId="8" applyFont="1" applyFill="1" applyBorder="1" applyAlignment="1">
      <alignment horizontal="center" vertical="center"/>
    </xf>
    <xf numFmtId="165" fontId="6" fillId="9" borderId="2" xfId="8" applyNumberFormat="1" applyFont="1" applyFill="1" applyBorder="1" applyAlignment="1">
      <alignment horizontal="center" vertical="center"/>
    </xf>
    <xf numFmtId="0" fontId="14" fillId="9" borderId="2" xfId="8" applyFont="1" applyFill="1" applyBorder="1" applyAlignment="1">
      <alignment horizontal="center" vertical="center"/>
    </xf>
    <xf numFmtId="0" fontId="14" fillId="11" borderId="2" xfId="8" applyFont="1" applyFill="1" applyBorder="1" applyAlignment="1">
      <alignment horizontal="center" vertical="center"/>
    </xf>
    <xf numFmtId="0" fontId="4" fillId="0" borderId="2" xfId="8" applyBorder="1"/>
    <xf numFmtId="165" fontId="4" fillId="9" borderId="2" xfId="8" applyNumberFormat="1" applyFill="1" applyBorder="1" applyAlignment="1">
      <alignment horizontal="center" vertical="center"/>
    </xf>
    <xf numFmtId="2" fontId="4" fillId="11" borderId="2" xfId="8" applyNumberFormat="1" applyFill="1" applyBorder="1" applyAlignment="1">
      <alignment horizontal="center"/>
    </xf>
    <xf numFmtId="0" fontId="4" fillId="0" borderId="17" xfId="8" applyBorder="1"/>
    <xf numFmtId="165" fontId="4" fillId="9" borderId="2" xfId="8" applyNumberFormat="1" applyFill="1" applyBorder="1" applyAlignment="1">
      <alignment horizontal="center"/>
    </xf>
    <xf numFmtId="0" fontId="4" fillId="9" borderId="2" xfId="8" quotePrefix="1" applyFill="1" applyBorder="1" applyAlignment="1">
      <alignment horizontal="center"/>
    </xf>
    <xf numFmtId="0" fontId="4" fillId="0" borderId="93" xfId="8" applyBorder="1"/>
    <xf numFmtId="0" fontId="4" fillId="0" borderId="14" xfId="8" applyBorder="1"/>
    <xf numFmtId="0" fontId="4" fillId="0" borderId="20" xfId="8" applyBorder="1"/>
    <xf numFmtId="0" fontId="6" fillId="9" borderId="2" xfId="8" applyFont="1" applyFill="1" applyBorder="1" applyAlignment="1">
      <alignment horizontal="center" vertical="center"/>
    </xf>
    <xf numFmtId="165" fontId="4" fillId="9" borderId="2" xfId="8" quotePrefix="1" applyNumberFormat="1" applyFill="1" applyBorder="1" applyAlignment="1">
      <alignment horizontal="center"/>
    </xf>
    <xf numFmtId="0" fontId="4" fillId="9" borderId="0" xfId="8" applyFill="1" applyAlignment="1">
      <alignment horizontal="center"/>
    </xf>
    <xf numFmtId="0" fontId="6" fillId="11" borderId="85" xfId="8" applyFont="1" applyFill="1" applyBorder="1" applyAlignment="1">
      <alignment horizontal="center" vertical="center"/>
    </xf>
    <xf numFmtId="0" fontId="6" fillId="9" borderId="87" xfId="8" applyFont="1" applyFill="1" applyBorder="1" applyAlignment="1">
      <alignment horizontal="center" vertical="center"/>
    </xf>
    <xf numFmtId="0" fontId="14" fillId="9" borderId="63" xfId="8" applyFont="1" applyFill="1" applyBorder="1" applyAlignment="1">
      <alignment horizontal="center" vertical="center"/>
    </xf>
    <xf numFmtId="0" fontId="14" fillId="11" borderId="63" xfId="8" applyFont="1" applyFill="1" applyBorder="1" applyAlignment="1">
      <alignment horizontal="center" vertical="center"/>
    </xf>
    <xf numFmtId="0" fontId="6" fillId="11" borderId="27" xfId="8" applyFont="1" applyFill="1" applyBorder="1" applyAlignment="1">
      <alignment horizontal="center" vertical="center"/>
    </xf>
    <xf numFmtId="0" fontId="6" fillId="9" borderId="26" xfId="8" applyFont="1" applyFill="1" applyBorder="1" applyAlignment="1">
      <alignment horizontal="center" vertical="center"/>
    </xf>
    <xf numFmtId="165" fontId="4" fillId="9" borderId="75" xfId="8" applyNumberFormat="1" applyFill="1" applyBorder="1" applyAlignment="1">
      <alignment horizontal="center" vertical="center"/>
    </xf>
    <xf numFmtId="165" fontId="4" fillId="9" borderId="1" xfId="8" applyNumberFormat="1" applyFill="1" applyBorder="1" applyAlignment="1">
      <alignment horizontal="center" vertical="center"/>
    </xf>
    <xf numFmtId="2" fontId="4" fillId="11" borderId="33" xfId="8" applyNumberFormat="1" applyFill="1" applyBorder="1" applyAlignment="1">
      <alignment horizontal="center"/>
    </xf>
    <xf numFmtId="165" fontId="4" fillId="9" borderId="30" xfId="8" applyNumberFormat="1" applyFill="1" applyBorder="1" applyAlignment="1">
      <alignment horizontal="center" vertical="center"/>
    </xf>
    <xf numFmtId="2" fontId="4" fillId="11" borderId="29" xfId="8" applyNumberFormat="1" applyFill="1" applyBorder="1" applyAlignment="1">
      <alignment horizontal="center"/>
    </xf>
    <xf numFmtId="165" fontId="4" fillId="9" borderId="45" xfId="8" applyNumberFormat="1" applyFill="1" applyBorder="1" applyAlignment="1">
      <alignment horizontal="center"/>
    </xf>
    <xf numFmtId="165" fontId="4" fillId="9" borderId="44" xfId="8" applyNumberFormat="1" applyFill="1" applyBorder="1" applyAlignment="1">
      <alignment horizontal="center"/>
    </xf>
    <xf numFmtId="165" fontId="4" fillId="9" borderId="15" xfId="8" applyNumberFormat="1" applyFill="1" applyBorder="1" applyAlignment="1">
      <alignment horizontal="center"/>
    </xf>
    <xf numFmtId="2" fontId="4" fillId="11" borderId="26" xfId="8" applyNumberFormat="1" applyFill="1" applyBorder="1" applyAlignment="1">
      <alignment horizontal="center"/>
    </xf>
    <xf numFmtId="0" fontId="4" fillId="0" borderId="92" xfId="8" applyBorder="1"/>
    <xf numFmtId="0" fontId="4" fillId="9" borderId="15" xfId="8" quotePrefix="1" applyFill="1" applyBorder="1" applyAlignment="1">
      <alignment horizontal="center"/>
    </xf>
    <xf numFmtId="0" fontId="4" fillId="3" borderId="20" xfId="8" applyFill="1" applyBorder="1" applyAlignment="1">
      <alignment horizontal="center" vertical="center"/>
    </xf>
    <xf numFmtId="165" fontId="4" fillId="3" borderId="0" xfId="8" applyNumberFormat="1" applyFill="1" applyAlignment="1">
      <alignment horizontal="center"/>
    </xf>
    <xf numFmtId="0" fontId="4" fillId="3" borderId="0" xfId="8" quotePrefix="1" applyFill="1" applyAlignment="1">
      <alignment horizontal="center"/>
    </xf>
    <xf numFmtId="164" fontId="4" fillId="3" borderId="0" xfId="8" applyNumberFormat="1" applyFill="1" applyAlignment="1">
      <alignment horizontal="center"/>
    </xf>
    <xf numFmtId="0" fontId="4" fillId="3" borderId="0" xfId="8" applyFill="1"/>
    <xf numFmtId="165" fontId="6" fillId="9" borderId="26" xfId="8" applyNumberFormat="1" applyFont="1" applyFill="1" applyBorder="1" applyAlignment="1">
      <alignment horizontal="center" vertical="center"/>
    </xf>
    <xf numFmtId="165" fontId="6" fillId="9" borderId="87" xfId="8" applyNumberFormat="1" applyFont="1" applyFill="1" applyBorder="1" applyAlignment="1">
      <alignment horizontal="center" vertical="center"/>
    </xf>
    <xf numFmtId="1" fontId="4" fillId="9" borderId="75" xfId="8" applyNumberFormat="1" applyFill="1" applyBorder="1" applyAlignment="1">
      <alignment horizontal="center" vertical="center"/>
    </xf>
    <xf numFmtId="1" fontId="4" fillId="9" borderId="30" xfId="8" applyNumberFormat="1" applyFill="1" applyBorder="1" applyAlignment="1">
      <alignment horizontal="center" vertical="center"/>
    </xf>
    <xf numFmtId="1" fontId="4" fillId="9" borderId="45" xfId="8" applyNumberFormat="1" applyFill="1" applyBorder="1" applyAlignment="1">
      <alignment horizontal="center"/>
    </xf>
    <xf numFmtId="1" fontId="4" fillId="9" borderId="44" xfId="8" applyNumberFormat="1" applyFill="1" applyBorder="1" applyAlignment="1">
      <alignment horizontal="center"/>
    </xf>
    <xf numFmtId="2" fontId="4" fillId="3" borderId="0" xfId="8" applyNumberFormat="1" applyFill="1" applyAlignment="1">
      <alignment horizontal="center"/>
    </xf>
    <xf numFmtId="0" fontId="14" fillId="9" borderId="63" xfId="8" quotePrefix="1" applyFont="1" applyFill="1" applyBorder="1" applyAlignment="1">
      <alignment horizontal="center" vertical="center"/>
    </xf>
    <xf numFmtId="164" fontId="4" fillId="9" borderId="1" xfId="8" applyNumberFormat="1" applyFill="1" applyBorder="1" applyAlignment="1">
      <alignment horizontal="center" vertical="center"/>
    </xf>
    <xf numFmtId="164" fontId="4" fillId="9" borderId="2" xfId="8" applyNumberFormat="1" applyFill="1" applyBorder="1" applyAlignment="1">
      <alignment horizontal="center" vertical="center"/>
    </xf>
    <xf numFmtId="165" fontId="4" fillId="9" borderId="70" xfId="8" applyNumberFormat="1" applyFill="1" applyBorder="1" applyAlignment="1">
      <alignment horizontal="center" vertical="center"/>
    </xf>
    <xf numFmtId="165" fontId="4" fillId="9" borderId="44" xfId="8" applyNumberFormat="1" applyFill="1" applyBorder="1" applyAlignment="1">
      <alignment horizontal="center" vertical="center"/>
    </xf>
    <xf numFmtId="0" fontId="10" fillId="5" borderId="92" xfId="8" applyFont="1" applyFill="1" applyBorder="1"/>
    <xf numFmtId="0" fontId="10" fillId="5" borderId="93" xfId="8" applyFont="1" applyFill="1" applyBorder="1"/>
    <xf numFmtId="0" fontId="10" fillId="5" borderId="14" xfId="8" applyFont="1" applyFill="1" applyBorder="1"/>
    <xf numFmtId="0" fontId="12" fillId="3" borderId="60" xfId="4" applyFont="1" applyFill="1" applyBorder="1" applyAlignment="1">
      <alignment vertical="center"/>
    </xf>
    <xf numFmtId="0" fontId="12" fillId="3" borderId="60" xfId="4" applyFont="1" applyFill="1" applyBorder="1" applyAlignment="1">
      <alignment horizontal="center" vertical="center"/>
    </xf>
    <xf numFmtId="0" fontId="73" fillId="11" borderId="2" xfId="8" applyFont="1" applyFill="1" applyBorder="1" applyAlignment="1">
      <alignment horizontal="center" vertical="center"/>
    </xf>
    <xf numFmtId="0" fontId="16" fillId="11" borderId="2" xfId="4" applyFont="1" applyFill="1" applyBorder="1" applyAlignment="1">
      <alignment horizontal="center" vertical="center"/>
    </xf>
    <xf numFmtId="0" fontId="10" fillId="6" borderId="2" xfId="8" applyFont="1" applyFill="1" applyBorder="1" applyAlignment="1">
      <alignment horizontal="center" vertical="center"/>
    </xf>
    <xf numFmtId="165" fontId="15" fillId="6" borderId="2" xfId="8" applyNumberFormat="1" applyFont="1" applyFill="1" applyBorder="1" applyAlignment="1">
      <alignment horizontal="center" vertical="center"/>
    </xf>
    <xf numFmtId="0" fontId="10" fillId="11" borderId="2" xfId="8" applyFont="1" applyFill="1" applyBorder="1" applyAlignment="1">
      <alignment horizontal="center" vertical="center"/>
    </xf>
    <xf numFmtId="2" fontId="10" fillId="11" borderId="2" xfId="8" applyNumberFormat="1" applyFont="1" applyFill="1" applyBorder="1" applyAlignment="1">
      <alignment horizontal="center" vertical="center"/>
    </xf>
    <xf numFmtId="0" fontId="10" fillId="6" borderId="2" xfId="8" applyFont="1" applyFill="1" applyBorder="1" applyAlignment="1">
      <alignment horizontal="center"/>
    </xf>
    <xf numFmtId="0" fontId="15" fillId="6" borderId="2" xfId="8" applyFont="1" applyFill="1" applyBorder="1" applyAlignment="1">
      <alignment horizontal="center" vertical="center"/>
    </xf>
    <xf numFmtId="0" fontId="15" fillId="6" borderId="2" xfId="8" applyFont="1" applyFill="1" applyBorder="1" applyAlignment="1">
      <alignment horizontal="center"/>
    </xf>
    <xf numFmtId="2" fontId="10" fillId="11" borderId="2" xfId="8" applyNumberFormat="1" applyFont="1" applyFill="1" applyBorder="1" applyAlignment="1">
      <alignment horizontal="center"/>
    </xf>
    <xf numFmtId="165" fontId="74" fillId="6" borderId="2" xfId="8" applyNumberFormat="1" applyFont="1" applyFill="1" applyBorder="1" applyAlignment="1">
      <alignment horizontal="center" vertical="center"/>
    </xf>
    <xf numFmtId="1" fontId="10" fillId="11" borderId="2" xfId="8" applyNumberFormat="1" applyFont="1" applyFill="1" applyBorder="1" applyAlignment="1">
      <alignment horizontal="center" vertical="center"/>
    </xf>
    <xf numFmtId="165" fontId="4" fillId="0" borderId="2" xfId="8" applyNumberFormat="1" applyBorder="1" applyAlignment="1">
      <alignment horizontal="center" vertical="center"/>
    </xf>
    <xf numFmtId="0" fontId="10" fillId="0" borderId="2" xfId="8" applyFont="1" applyBorder="1"/>
    <xf numFmtId="0" fontId="10" fillId="3" borderId="91" xfId="8" applyFont="1" applyFill="1" applyBorder="1" applyAlignment="1">
      <alignment horizontal="center" vertical="center"/>
    </xf>
    <xf numFmtId="0" fontId="10" fillId="3" borderId="3" xfId="8" applyFont="1" applyFill="1" applyBorder="1" applyAlignment="1">
      <alignment horizontal="center" vertical="center"/>
    </xf>
    <xf numFmtId="2" fontId="10" fillId="3" borderId="53" xfId="8" applyNumberFormat="1" applyFont="1" applyFill="1" applyBorder="1" applyAlignment="1">
      <alignment horizontal="center"/>
    </xf>
    <xf numFmtId="2" fontId="10" fillId="3" borderId="17" xfId="8" applyNumberFormat="1" applyFont="1" applyFill="1" applyBorder="1" applyAlignment="1">
      <alignment horizontal="center"/>
    </xf>
    <xf numFmtId="0" fontId="10" fillId="3" borderId="0" xfId="8" applyFont="1" applyFill="1"/>
    <xf numFmtId="0" fontId="10" fillId="3" borderId="2" xfId="8" applyFont="1" applyFill="1" applyBorder="1" applyAlignment="1">
      <alignment horizontal="center" vertical="center"/>
    </xf>
    <xf numFmtId="2" fontId="10" fillId="3" borderId="2" xfId="8" applyNumberFormat="1" applyFont="1" applyFill="1" applyBorder="1" applyAlignment="1">
      <alignment horizontal="center"/>
    </xf>
    <xf numFmtId="0" fontId="10" fillId="6" borderId="0" xfId="8" applyFont="1" applyFill="1" applyAlignment="1">
      <alignment horizontal="center" vertical="center"/>
    </xf>
    <xf numFmtId="2" fontId="10" fillId="3" borderId="5" xfId="8" applyNumberFormat="1" applyFont="1" applyFill="1" applyBorder="1" applyAlignment="1">
      <alignment horizontal="center" vertical="center"/>
    </xf>
    <xf numFmtId="2" fontId="10" fillId="3" borderId="77" xfId="8" applyNumberFormat="1" applyFont="1" applyFill="1" applyBorder="1" applyAlignment="1">
      <alignment horizontal="center" vertical="center"/>
    </xf>
    <xf numFmtId="0" fontId="10" fillId="3" borderId="53" xfId="8" applyFont="1" applyFill="1" applyBorder="1" applyAlignment="1">
      <alignment horizontal="center" vertical="center"/>
    </xf>
    <xf numFmtId="0" fontId="10" fillId="3" borderId="20" xfId="8" applyFont="1" applyFill="1" applyBorder="1" applyAlignment="1">
      <alignment horizontal="center" vertical="center"/>
    </xf>
    <xf numFmtId="0" fontId="10" fillId="0" borderId="20" xfId="8" applyFont="1" applyBorder="1" applyAlignment="1">
      <alignment horizontal="center" vertical="center"/>
    </xf>
    <xf numFmtId="0" fontId="10" fillId="3" borderId="0" xfId="8" applyFont="1" applyFill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12" fillId="3" borderId="85" xfId="4" applyFont="1" applyFill="1" applyBorder="1" applyAlignment="1">
      <alignment horizontal="center" vertical="center"/>
    </xf>
    <xf numFmtId="0" fontId="12" fillId="3" borderId="60" xfId="4" applyFont="1" applyFill="1" applyBorder="1" applyAlignment="1">
      <alignment horizontal="left" vertical="center" wrapText="1"/>
    </xf>
    <xf numFmtId="0" fontId="73" fillId="3" borderId="30" xfId="8" applyFont="1" applyFill="1" applyBorder="1" applyAlignment="1">
      <alignment horizontal="center" vertical="center"/>
    </xf>
    <xf numFmtId="0" fontId="73" fillId="3" borderId="6" xfId="8" applyFont="1" applyFill="1" applyBorder="1" applyAlignment="1">
      <alignment horizontal="center" vertical="center"/>
    </xf>
    <xf numFmtId="0" fontId="16" fillId="3" borderId="30" xfId="4" applyFont="1" applyFill="1" applyBorder="1" applyAlignment="1">
      <alignment horizontal="center" vertical="center"/>
    </xf>
    <xf numFmtId="0" fontId="73" fillId="3" borderId="2" xfId="8" applyFont="1" applyFill="1" applyBorder="1" applyAlignment="1">
      <alignment horizontal="center" vertical="center"/>
    </xf>
    <xf numFmtId="0" fontId="8" fillId="3" borderId="6" xfId="4" applyFont="1" applyFill="1" applyBorder="1" applyAlignment="1">
      <alignment horizontal="center" vertical="center"/>
    </xf>
    <xf numFmtId="165" fontId="10" fillId="3" borderId="30" xfId="8" applyNumberFormat="1" applyFont="1" applyFill="1" applyBorder="1" applyAlignment="1">
      <alignment horizontal="center" vertical="center"/>
    </xf>
    <xf numFmtId="165" fontId="10" fillId="3" borderId="2" xfId="8" applyNumberFormat="1" applyFont="1" applyFill="1" applyBorder="1" applyAlignment="1">
      <alignment horizontal="center" vertical="center"/>
    </xf>
    <xf numFmtId="165" fontId="10" fillId="3" borderId="8" xfId="8" applyNumberFormat="1" applyFont="1" applyFill="1" applyBorder="1" applyAlignment="1">
      <alignment horizontal="center" vertical="center"/>
    </xf>
    <xf numFmtId="165" fontId="10" fillId="3" borderId="6" xfId="8" applyNumberFormat="1" applyFont="1" applyFill="1" applyBorder="1" applyAlignment="1">
      <alignment horizontal="center" vertical="center"/>
    </xf>
    <xf numFmtId="165" fontId="10" fillId="3" borderId="29" xfId="8" applyNumberFormat="1" applyFont="1" applyFill="1" applyBorder="1" applyAlignment="1">
      <alignment horizontal="center" vertical="center"/>
    </xf>
    <xf numFmtId="0" fontId="10" fillId="3" borderId="2" xfId="8" applyFont="1" applyFill="1" applyBorder="1" applyAlignment="1">
      <alignment horizontal="center"/>
    </xf>
    <xf numFmtId="1" fontId="10" fillId="3" borderId="30" xfId="8" applyNumberFormat="1" applyFont="1" applyFill="1" applyBorder="1" applyAlignment="1">
      <alignment horizontal="center"/>
    </xf>
    <xf numFmtId="165" fontId="10" fillId="9" borderId="2" xfId="8" applyNumberFormat="1" applyFont="1" applyFill="1" applyBorder="1" applyAlignment="1">
      <alignment horizontal="center"/>
    </xf>
    <xf numFmtId="165" fontId="10" fillId="3" borderId="2" xfId="8" applyNumberFormat="1" applyFont="1" applyFill="1" applyBorder="1" applyAlignment="1">
      <alignment horizontal="center"/>
    </xf>
    <xf numFmtId="11" fontId="10" fillId="3" borderId="0" xfId="4" applyNumberFormat="1" applyFont="1" applyFill="1" applyAlignment="1">
      <alignment horizontal="center"/>
    </xf>
    <xf numFmtId="1" fontId="10" fillId="3" borderId="27" xfId="8" applyNumberFormat="1" applyFont="1" applyFill="1" applyBorder="1" applyAlignment="1">
      <alignment horizontal="center"/>
    </xf>
    <xf numFmtId="165" fontId="10" fillId="3" borderId="15" xfId="8" applyNumberFormat="1" applyFont="1" applyFill="1" applyBorder="1" applyAlignment="1">
      <alignment horizontal="center"/>
    </xf>
    <xf numFmtId="0" fontId="10" fillId="3" borderId="0" xfId="4" applyFont="1" applyFill="1" applyAlignment="1">
      <alignment horizontal="center"/>
    </xf>
    <xf numFmtId="167" fontId="10" fillId="3" borderId="0" xfId="4" applyNumberFormat="1" applyFont="1" applyFill="1" applyAlignment="1">
      <alignment horizontal="center"/>
    </xf>
    <xf numFmtId="167" fontId="10" fillId="3" borderId="17" xfId="4" applyNumberFormat="1" applyFont="1" applyFill="1" applyBorder="1" applyAlignment="1">
      <alignment horizontal="center"/>
    </xf>
    <xf numFmtId="0" fontId="15" fillId="3" borderId="17" xfId="4" applyFont="1" applyFill="1" applyBorder="1"/>
    <xf numFmtId="0" fontId="4" fillId="0" borderId="59" xfId="8" applyBorder="1"/>
    <xf numFmtId="0" fontId="8" fillId="3" borderId="17" xfId="4" applyFont="1" applyFill="1" applyBorder="1"/>
    <xf numFmtId="166" fontId="7" fillId="3" borderId="0" xfId="4" applyNumberFormat="1" applyFont="1" applyFill="1" applyAlignment="1">
      <alignment horizontal="center"/>
    </xf>
    <xf numFmtId="165" fontId="10" fillId="3" borderId="27" xfId="8" applyNumberFormat="1" applyFont="1" applyFill="1" applyBorder="1" applyAlignment="1">
      <alignment horizontal="center" vertical="center"/>
    </xf>
    <xf numFmtId="165" fontId="10" fillId="3" borderId="15" xfId="8" applyNumberFormat="1" applyFont="1" applyFill="1" applyBorder="1" applyAlignment="1">
      <alignment horizontal="center" vertical="center"/>
    </xf>
    <xf numFmtId="165" fontId="10" fillId="3" borderId="26" xfId="8" applyNumberFormat="1" applyFont="1" applyFill="1" applyBorder="1" applyAlignment="1">
      <alignment horizontal="center" vertical="center"/>
    </xf>
    <xf numFmtId="0" fontId="10" fillId="3" borderId="20" xfId="8" applyFont="1" applyFill="1" applyBorder="1"/>
    <xf numFmtId="164" fontId="17" fillId="3" borderId="0" xfId="4" applyNumberFormat="1" applyFont="1" applyFill="1" applyAlignment="1">
      <alignment horizontal="center"/>
    </xf>
    <xf numFmtId="0" fontId="7" fillId="3" borderId="0" xfId="4" applyFont="1" applyFill="1"/>
    <xf numFmtId="0" fontId="8" fillId="3" borderId="0" xfId="4" applyFont="1" applyFill="1"/>
    <xf numFmtId="167" fontId="8" fillId="3" borderId="0" xfId="4" applyNumberFormat="1" applyFont="1" applyFill="1" applyAlignment="1">
      <alignment horizontal="center"/>
    </xf>
    <xf numFmtId="0" fontId="12" fillId="3" borderId="85" xfId="8" applyFont="1" applyFill="1" applyBorder="1" applyAlignment="1">
      <alignment horizontal="center" vertical="center"/>
    </xf>
    <xf numFmtId="165" fontId="12" fillId="3" borderId="86" xfId="8" applyNumberFormat="1" applyFont="1" applyFill="1" applyBorder="1" applyAlignment="1">
      <alignment horizontal="center"/>
    </xf>
    <xf numFmtId="165" fontId="12" fillId="3" borderId="87" xfId="8" applyNumberFormat="1" applyFont="1" applyFill="1" applyBorder="1" applyAlignment="1">
      <alignment horizontal="center"/>
    </xf>
    <xf numFmtId="0" fontId="73" fillId="3" borderId="0" xfId="8" applyFont="1" applyFill="1" applyAlignment="1">
      <alignment vertical="center"/>
    </xf>
    <xf numFmtId="0" fontId="12" fillId="3" borderId="75" xfId="8" applyFont="1" applyFill="1" applyBorder="1" applyAlignment="1">
      <alignment horizontal="center" vertical="center"/>
    </xf>
    <xf numFmtId="0" fontId="10" fillId="3" borderId="17" xfId="8" applyFont="1" applyFill="1" applyBorder="1"/>
    <xf numFmtId="0" fontId="10" fillId="3" borderId="0" xfId="4" applyFont="1" applyFill="1"/>
    <xf numFmtId="165" fontId="12" fillId="3" borderId="30" xfId="8" applyNumberFormat="1" applyFont="1" applyFill="1" applyBorder="1" applyAlignment="1">
      <alignment horizontal="center" vertical="center"/>
    </xf>
    <xf numFmtId="165" fontId="12" fillId="3" borderId="2" xfId="8" applyNumberFormat="1" applyFont="1" applyFill="1" applyBorder="1" applyAlignment="1">
      <alignment horizontal="center"/>
    </xf>
    <xf numFmtId="165" fontId="12" fillId="3" borderId="8" xfId="8" applyNumberFormat="1" applyFont="1" applyFill="1" applyBorder="1" applyAlignment="1">
      <alignment horizontal="center"/>
    </xf>
    <xf numFmtId="165" fontId="15" fillId="3" borderId="90" xfId="8" applyNumberFormat="1" applyFont="1" applyFill="1" applyBorder="1" applyAlignment="1">
      <alignment horizontal="center" vertical="center"/>
    </xf>
    <xf numFmtId="165" fontId="12" fillId="3" borderId="6" xfId="8" applyNumberFormat="1" applyFont="1" applyFill="1" applyBorder="1" applyAlignment="1">
      <alignment horizontal="center" vertical="center"/>
    </xf>
    <xf numFmtId="2" fontId="12" fillId="3" borderId="2" xfId="8" applyNumberFormat="1" applyFont="1" applyFill="1" applyBorder="1" applyAlignment="1">
      <alignment horizontal="center"/>
    </xf>
    <xf numFmtId="2" fontId="10" fillId="3" borderId="90" xfId="8" applyNumberFormat="1" applyFont="1" applyFill="1" applyBorder="1" applyAlignment="1">
      <alignment horizontal="center"/>
    </xf>
    <xf numFmtId="2" fontId="16" fillId="3" borderId="0" xfId="4" applyNumberFormat="1" applyFont="1" applyFill="1" applyAlignment="1">
      <alignment horizontal="center"/>
    </xf>
    <xf numFmtId="0" fontId="12" fillId="3" borderId="27" xfId="8" applyFont="1" applyFill="1" applyBorder="1" applyAlignment="1">
      <alignment horizontal="center" vertical="center"/>
    </xf>
    <xf numFmtId="165" fontId="12" fillId="3" borderId="70" xfId="8" applyNumberFormat="1" applyFont="1" applyFill="1" applyBorder="1" applyAlignment="1">
      <alignment horizontal="center"/>
    </xf>
    <xf numFmtId="165" fontId="12" fillId="3" borderId="15" xfId="8" applyNumberFormat="1" applyFont="1" applyFill="1" applyBorder="1" applyAlignment="1">
      <alignment horizontal="center"/>
    </xf>
    <xf numFmtId="165" fontId="12" fillId="3" borderId="71" xfId="8" applyNumberFormat="1" applyFont="1" applyFill="1" applyBorder="1" applyAlignment="1">
      <alignment horizontal="center"/>
    </xf>
    <xf numFmtId="164" fontId="10" fillId="3" borderId="93" xfId="8" applyNumberFormat="1" applyFont="1" applyFill="1" applyBorder="1" applyAlignment="1">
      <alignment horizontal="center"/>
    </xf>
    <xf numFmtId="0" fontId="10" fillId="3" borderId="93" xfId="8" applyFont="1" applyFill="1" applyBorder="1"/>
    <xf numFmtId="0" fontId="10" fillId="3" borderId="14" xfId="8" applyFont="1" applyFill="1" applyBorder="1"/>
    <xf numFmtId="2" fontId="10" fillId="3" borderId="0" xfId="4" applyNumberFormat="1" applyFont="1" applyFill="1" applyAlignment="1">
      <alignment horizontal="center"/>
    </xf>
    <xf numFmtId="0" fontId="4" fillId="0" borderId="0" xfId="8" applyProtection="1">
      <protection locked="0"/>
    </xf>
    <xf numFmtId="0" fontId="10" fillId="11" borderId="45" xfId="8" applyFont="1" applyFill="1" applyBorder="1" applyAlignment="1" applyProtection="1">
      <alignment vertical="center"/>
      <protection locked="0"/>
    </xf>
    <xf numFmtId="0" fontId="10" fillId="11" borderId="7" xfId="8" applyFont="1" applyFill="1" applyBorder="1" applyAlignment="1" applyProtection="1">
      <alignment horizontal="center" vertical="center"/>
      <protection locked="0"/>
    </xf>
    <xf numFmtId="0" fontId="10" fillId="11" borderId="7" xfId="8" applyFont="1" applyFill="1" applyBorder="1" applyAlignment="1" applyProtection="1">
      <alignment vertical="center"/>
      <protection locked="0"/>
    </xf>
    <xf numFmtId="0" fontId="10" fillId="11" borderId="6" xfId="8" applyFont="1" applyFill="1" applyBorder="1" applyAlignment="1" applyProtection="1">
      <alignment vertical="center"/>
      <protection locked="0"/>
    </xf>
    <xf numFmtId="0" fontId="10" fillId="11" borderId="8" xfId="8" applyFont="1" applyFill="1" applyBorder="1" applyAlignment="1" applyProtection="1">
      <alignment vertical="center"/>
      <protection locked="0"/>
    </xf>
    <xf numFmtId="0" fontId="10" fillId="11" borderId="85" xfId="8" applyFont="1" applyFill="1" applyBorder="1" applyAlignment="1" applyProtection="1">
      <alignment horizontal="center" vertical="center"/>
      <protection locked="0"/>
    </xf>
    <xf numFmtId="0" fontId="10" fillId="11" borderId="87" xfId="8" applyFont="1" applyFill="1" applyBorder="1" applyAlignment="1" applyProtection="1">
      <alignment horizontal="center" vertical="center"/>
      <protection locked="0"/>
    </xf>
    <xf numFmtId="0" fontId="10" fillId="11" borderId="38" xfId="8" applyFont="1" applyFill="1" applyBorder="1" applyAlignment="1" applyProtection="1">
      <alignment horizontal="center" vertical="center"/>
      <protection locked="0"/>
    </xf>
    <xf numFmtId="1" fontId="7" fillId="3" borderId="2" xfId="4" applyNumberFormat="1" applyFont="1" applyFill="1" applyBorder="1" applyAlignment="1">
      <alignment horizontal="center" vertical="center"/>
    </xf>
    <xf numFmtId="0" fontId="34" fillId="0" borderId="2" xfId="8" applyFont="1" applyBorder="1" applyAlignment="1">
      <alignment vertical="center"/>
    </xf>
    <xf numFmtId="0" fontId="10" fillId="11" borderId="30" xfId="8" applyFont="1" applyFill="1" applyBorder="1" applyAlignment="1" applyProtection="1">
      <alignment horizontal="center" vertical="center"/>
      <protection locked="0"/>
    </xf>
    <xf numFmtId="0" fontId="10" fillId="11" borderId="29" xfId="8" applyFont="1" applyFill="1" applyBorder="1" applyAlignment="1" applyProtection="1">
      <alignment horizontal="center" vertical="center"/>
      <protection locked="0"/>
    </xf>
    <xf numFmtId="0" fontId="10" fillId="3" borderId="2" xfId="8" applyFont="1" applyFill="1" applyBorder="1"/>
    <xf numFmtId="2" fontId="34" fillId="0" borderId="2" xfId="8" applyNumberFormat="1" applyFont="1" applyBorder="1" applyAlignment="1">
      <alignment horizontal="center" vertical="center"/>
    </xf>
    <xf numFmtId="0" fontId="10" fillId="11" borderId="95" xfId="8" applyFont="1" applyFill="1" applyBorder="1" applyAlignment="1" applyProtection="1">
      <alignment horizontal="center" vertical="center"/>
      <protection locked="0"/>
    </xf>
    <xf numFmtId="0" fontId="10" fillId="11" borderId="27" xfId="8" applyFont="1" applyFill="1" applyBorder="1" applyAlignment="1" applyProtection="1">
      <alignment horizontal="center" vertical="center"/>
      <protection locked="0"/>
    </xf>
    <xf numFmtId="0" fontId="10" fillId="11" borderId="26" xfId="8" applyFont="1" applyFill="1" applyBorder="1" applyAlignment="1" applyProtection="1">
      <alignment horizontal="center" vertical="center"/>
      <protection locked="0"/>
    </xf>
    <xf numFmtId="0" fontId="49" fillId="2" borderId="2" xfId="0" applyFont="1" applyFill="1" applyBorder="1" applyAlignment="1">
      <alignment horizontal="center" vertical="center"/>
    </xf>
    <xf numFmtId="1" fontId="49" fillId="2" borderId="2" xfId="0" applyNumberFormat="1" applyFont="1" applyFill="1" applyBorder="1" applyAlignment="1">
      <alignment horizontal="center" vertical="center"/>
    </xf>
    <xf numFmtId="164" fontId="0" fillId="0" borderId="93" xfId="0" applyNumberFormat="1" applyBorder="1" applyAlignment="1">
      <alignment horizontal="center" vertical="center"/>
    </xf>
    <xf numFmtId="2" fontId="4" fillId="3" borderId="2" xfId="4" applyNumberFormat="1" applyFill="1" applyBorder="1" applyAlignment="1">
      <alignment horizontal="center" vertical="center" wrapText="1"/>
    </xf>
    <xf numFmtId="165" fontId="29" fillId="0" borderId="2" xfId="0" applyNumberFormat="1" applyFont="1" applyBorder="1" applyAlignment="1" applyProtection="1">
      <alignment horizontal="center"/>
      <protection hidden="1"/>
    </xf>
    <xf numFmtId="0" fontId="6" fillId="0" borderId="0" xfId="0" applyFont="1"/>
    <xf numFmtId="2" fontId="6" fillId="6" borderId="0" xfId="0" applyNumberFormat="1" applyFon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164" fontId="0" fillId="6" borderId="0" xfId="0" applyNumberFormat="1" applyFill="1" applyAlignment="1">
      <alignment horizontal="center"/>
    </xf>
    <xf numFmtId="165" fontId="49" fillId="0" borderId="2" xfId="0" applyNumberFormat="1" applyFont="1" applyBorder="1" applyAlignment="1">
      <alignment horizontal="center"/>
    </xf>
    <xf numFmtId="165" fontId="49" fillId="2" borderId="2" xfId="0" applyNumberFormat="1" applyFont="1" applyFill="1" applyBorder="1" applyAlignment="1">
      <alignment horizontal="center" vertical="center"/>
    </xf>
    <xf numFmtId="1" fontId="10" fillId="0" borderId="2" xfId="3" applyNumberFormat="1" applyFont="1" applyBorder="1" applyAlignment="1">
      <alignment horizontal="center"/>
    </xf>
    <xf numFmtId="164" fontId="10" fillId="0" borderId="2" xfId="3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2" fontId="49" fillId="0" borderId="2" xfId="0" applyNumberFormat="1" applyFont="1" applyBorder="1" applyAlignment="1">
      <alignment horizontal="center"/>
    </xf>
    <xf numFmtId="2" fontId="49" fillId="2" borderId="2" xfId="0" applyNumberFormat="1" applyFont="1" applyFill="1" applyBorder="1" applyAlignment="1">
      <alignment horizontal="center" vertical="center"/>
    </xf>
    <xf numFmtId="2" fontId="0" fillId="3" borderId="7" xfId="0" applyNumberFormat="1" applyFont="1" applyFill="1" applyBorder="1"/>
    <xf numFmtId="164" fontId="33" fillId="2" borderId="1" xfId="0" applyNumberFormat="1" applyFont="1" applyFill="1" applyBorder="1" applyAlignment="1" applyProtection="1">
      <alignment horizontal="center" vertical="center"/>
      <protection hidden="1"/>
    </xf>
    <xf numFmtId="0" fontId="29" fillId="0" borderId="0" xfId="0" applyFont="1" applyAlignment="1" applyProtection="1">
      <alignment horizontal="right"/>
      <protection locked="0"/>
    </xf>
    <xf numFmtId="0" fontId="33" fillId="2" borderId="0" xfId="0" applyFont="1" applyFill="1" applyAlignment="1" applyProtection="1">
      <alignment horizontal="right"/>
      <protection hidden="1"/>
    </xf>
    <xf numFmtId="0" fontId="33" fillId="2" borderId="0" xfId="0" applyFont="1" applyFill="1" applyAlignment="1" applyProtection="1">
      <alignment horizontal="right" vertical="center"/>
      <protection hidden="1"/>
    </xf>
    <xf numFmtId="0" fontId="34" fillId="0" borderId="0" xfId="0" applyFont="1" applyAlignment="1">
      <alignment vertical="center"/>
    </xf>
    <xf numFmtId="0" fontId="47" fillId="0" borderId="2" xfId="0" applyFont="1" applyBorder="1" applyAlignment="1">
      <alignment horizontal="center" vertical="center"/>
    </xf>
    <xf numFmtId="0" fontId="47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/>
    </xf>
    <xf numFmtId="2" fontId="47" fillId="0" borderId="2" xfId="0" applyNumberFormat="1" applyFont="1" applyBorder="1" applyAlignment="1">
      <alignment horizontal="center" vertical="center"/>
    </xf>
    <xf numFmtId="168" fontId="47" fillId="0" borderId="2" xfId="0" applyNumberFormat="1" applyFont="1" applyBorder="1" applyAlignment="1">
      <alignment horizontal="center" vertical="center"/>
    </xf>
    <xf numFmtId="0" fontId="47" fillId="0" borderId="0" xfId="0" applyFont="1" applyAlignment="1">
      <alignment vertical="center"/>
    </xf>
    <xf numFmtId="0" fontId="4" fillId="0" borderId="8" xfId="1" applyBorder="1" applyAlignment="1">
      <alignment vertical="center"/>
    </xf>
    <xf numFmtId="0" fontId="0" fillId="0" borderId="7" xfId="0" applyBorder="1"/>
    <xf numFmtId="0" fontId="0" fillId="0" borderId="6" xfId="0" applyBorder="1"/>
    <xf numFmtId="169" fontId="0" fillId="0" borderId="2" xfId="0" applyNumberFormat="1" applyBorder="1" applyAlignment="1">
      <alignment horizontal="center"/>
    </xf>
    <xf numFmtId="0" fontId="4" fillId="0" borderId="11" xfId="1" applyBorder="1" applyAlignment="1">
      <alignment vertical="center"/>
    </xf>
    <xf numFmtId="0" fontId="0" fillId="0" borderId="52" xfId="0" applyBorder="1"/>
    <xf numFmtId="0" fontId="0" fillId="0" borderId="12" xfId="0" applyBorder="1"/>
    <xf numFmtId="0" fontId="4" fillId="3" borderId="1" xfId="0" applyFont="1" applyFill="1" applyBorder="1" applyAlignment="1">
      <alignment vertical="center"/>
    </xf>
    <xf numFmtId="170" fontId="0" fillId="0" borderId="2" xfId="0" applyNumberFormat="1" applyBorder="1" applyAlignment="1">
      <alignment horizontal="center"/>
    </xf>
    <xf numFmtId="0" fontId="84" fillId="0" borderId="2" xfId="0" applyFont="1" applyBorder="1" applyAlignment="1">
      <alignment horizontal="center" vertical="center"/>
    </xf>
    <xf numFmtId="164" fontId="59" fillId="7" borderId="2" xfId="4" applyNumberFormat="1" applyFont="1" applyFill="1" applyBorder="1" applyAlignment="1">
      <alignment horizontal="center" vertical="center"/>
    </xf>
    <xf numFmtId="165" fontId="59" fillId="7" borderId="2" xfId="4" applyNumberFormat="1" applyFont="1" applyFill="1" applyBorder="1" applyAlignment="1">
      <alignment horizontal="center" vertical="center"/>
    </xf>
    <xf numFmtId="165" fontId="55" fillId="3" borderId="30" xfId="4" applyNumberFormat="1" applyFont="1" applyFill="1" applyBorder="1" applyAlignment="1">
      <alignment horizontal="center" vertical="center" wrapText="1"/>
    </xf>
    <xf numFmtId="0" fontId="26" fillId="0" borderId="7" xfId="0" applyFont="1" applyBorder="1" applyAlignment="1" applyProtection="1">
      <alignment horizontal="right"/>
      <protection hidden="1"/>
    </xf>
    <xf numFmtId="1" fontId="47" fillId="6" borderId="2" xfId="0" applyNumberFormat="1" applyFont="1" applyFill="1" applyBorder="1" applyAlignment="1" applyProtection="1">
      <alignment horizontal="center" vertical="center"/>
      <protection hidden="1"/>
    </xf>
    <xf numFmtId="1" fontId="34" fillId="0" borderId="2" xfId="0" applyNumberFormat="1" applyFont="1" applyBorder="1" applyAlignment="1">
      <alignment horizontal="center" vertical="center"/>
    </xf>
    <xf numFmtId="165" fontId="28" fillId="0" borderId="0" xfId="0" applyNumberFormat="1" applyFont="1" applyAlignment="1" applyProtection="1">
      <alignment horizontal="center"/>
      <protection hidden="1"/>
    </xf>
    <xf numFmtId="0" fontId="32" fillId="2" borderId="2" xfId="0" applyFont="1" applyFill="1" applyBorder="1" applyAlignment="1" applyProtection="1">
      <alignment horizontal="center"/>
      <protection locked="0"/>
    </xf>
    <xf numFmtId="1" fontId="44" fillId="0" borderId="2" xfId="0" applyNumberFormat="1" applyFont="1" applyBorder="1" applyAlignment="1" applyProtection="1">
      <alignment horizontal="center"/>
      <protection locked="0"/>
    </xf>
    <xf numFmtId="0" fontId="4" fillId="0" borderId="0" xfId="9"/>
    <xf numFmtId="0" fontId="36" fillId="6" borderId="0" xfId="1" applyFont="1" applyFill="1" applyAlignment="1">
      <alignment horizontal="center"/>
    </xf>
    <xf numFmtId="0" fontId="4" fillId="0" borderId="0" xfId="9" applyProtection="1">
      <protection locked="0"/>
    </xf>
    <xf numFmtId="0" fontId="88" fillId="0" borderId="0" xfId="9" applyFont="1" applyAlignment="1">
      <alignment horizontal="center" vertical="center" wrapText="1"/>
    </xf>
    <xf numFmtId="0" fontId="6" fillId="0" borderId="0" xfId="9" applyFont="1" applyProtection="1">
      <protection locked="0"/>
    </xf>
    <xf numFmtId="0" fontId="8" fillId="0" borderId="8" xfId="9" applyFont="1" applyBorder="1" applyAlignment="1">
      <alignment horizontal="left" vertical="top" wrapText="1"/>
    </xf>
    <xf numFmtId="0" fontId="8" fillId="0" borderId="6" xfId="9" applyFont="1" applyBorder="1" applyAlignment="1">
      <alignment horizontal="left" vertical="top" wrapText="1"/>
    </xf>
    <xf numFmtId="0" fontId="4" fillId="0" borderId="0" xfId="9" applyAlignment="1">
      <alignment horizontal="left" vertical="top"/>
    </xf>
    <xf numFmtId="0" fontId="8" fillId="0" borderId="6" xfId="9" applyFont="1" applyBorder="1" applyAlignment="1">
      <alignment horizontal="left" vertical="top"/>
    </xf>
    <xf numFmtId="0" fontId="8" fillId="0" borderId="0" xfId="9" applyFont="1" applyAlignment="1">
      <alignment vertical="center" wrapText="1"/>
    </xf>
    <xf numFmtId="0" fontId="8" fillId="0" borderId="0" xfId="9" applyFont="1" applyAlignment="1">
      <alignment horizontal="center" vertical="center" wrapText="1"/>
    </xf>
    <xf numFmtId="0" fontId="90" fillId="0" borderId="0" xfId="9" applyFont="1"/>
    <xf numFmtId="0" fontId="8" fillId="0" borderId="0" xfId="9" applyFont="1" applyAlignment="1" applyProtection="1">
      <alignment horizontal="center" vertical="center" wrapText="1"/>
      <protection locked="0"/>
    </xf>
    <xf numFmtId="1" fontId="8" fillId="0" borderId="0" xfId="9" quotePrefix="1" applyNumberFormat="1" applyFont="1" applyAlignment="1" applyProtection="1">
      <alignment horizontal="left"/>
      <protection locked="0"/>
    </xf>
    <xf numFmtId="0" fontId="8" fillId="0" borderId="0" xfId="9" applyFont="1" applyProtection="1">
      <protection locked="0"/>
    </xf>
    <xf numFmtId="1" fontId="89" fillId="0" borderId="0" xfId="9" quotePrefix="1" applyNumberFormat="1" applyFont="1" applyProtection="1">
      <protection locked="0"/>
    </xf>
    <xf numFmtId="0" fontId="90" fillId="0" borderId="0" xfId="9" applyFont="1" applyProtection="1">
      <protection locked="0"/>
    </xf>
    <xf numFmtId="172" fontId="8" fillId="0" borderId="0" xfId="9" quotePrefix="1" applyNumberFormat="1" applyFont="1" applyAlignment="1" applyProtection="1">
      <alignment horizontal="left"/>
      <protection locked="0"/>
    </xf>
    <xf numFmtId="2" fontId="89" fillId="0" borderId="0" xfId="9" quotePrefix="1" applyNumberFormat="1" applyFont="1" applyProtection="1">
      <protection locked="0"/>
    </xf>
    <xf numFmtId="0" fontId="4" fillId="0" borderId="0" xfId="9" applyAlignment="1">
      <alignment vertical="top" wrapText="1"/>
    </xf>
    <xf numFmtId="0" fontId="8" fillId="0" borderId="8" xfId="9" applyFont="1" applyBorder="1" applyAlignment="1">
      <alignment vertical="top"/>
    </xf>
    <xf numFmtId="0" fontId="8" fillId="0" borderId="6" xfId="9" applyFont="1" applyBorder="1" applyAlignment="1" applyProtection="1">
      <alignment vertical="top" wrapText="1"/>
      <protection locked="0"/>
    </xf>
    <xf numFmtId="0" fontId="8" fillId="0" borderId="6" xfId="9" applyFont="1" applyBorder="1" applyAlignment="1" applyProtection="1">
      <alignment vertical="top"/>
      <protection locked="0"/>
    </xf>
    <xf numFmtId="0" fontId="27" fillId="0" borderId="0" xfId="9" applyFont="1" applyAlignment="1">
      <alignment vertical="top"/>
    </xf>
    <xf numFmtId="0" fontId="8" fillId="0" borderId="0" xfId="9" applyFont="1" applyAlignment="1" applyProtection="1">
      <alignment horizontal="center" vertical="top" wrapText="1"/>
      <protection locked="0"/>
    </xf>
    <xf numFmtId="0" fontId="88" fillId="0" borderId="0" xfId="9" applyFont="1" applyAlignment="1">
      <alignment wrapText="1"/>
    </xf>
    <xf numFmtId="0" fontId="85" fillId="0" borderId="0" xfId="9" applyFont="1" applyAlignment="1">
      <alignment horizontal="center"/>
    </xf>
    <xf numFmtId="0" fontId="50" fillId="0" borderId="0" xfId="9" applyFont="1"/>
    <xf numFmtId="0" fontId="8" fillId="0" borderId="0" xfId="9" applyFont="1" applyAlignment="1">
      <alignment horizontal="center" vertical="top" wrapText="1"/>
    </xf>
    <xf numFmtId="0" fontId="8" fillId="0" borderId="0" xfId="9" applyFont="1" applyAlignment="1">
      <alignment vertical="top" wrapText="1"/>
    </xf>
    <xf numFmtId="0" fontId="8" fillId="0" borderId="0" xfId="9" applyFont="1" applyAlignment="1">
      <alignment horizontal="justify" vertical="center" wrapText="1"/>
    </xf>
    <xf numFmtId="0" fontId="91" fillId="0" borderId="0" xfId="9" applyFont="1" applyAlignment="1">
      <alignment vertical="center"/>
    </xf>
    <xf numFmtId="0" fontId="4" fillId="0" borderId="61" xfId="9" applyBorder="1"/>
    <xf numFmtId="0" fontId="92" fillId="0" borderId="59" xfId="9" applyFont="1" applyBorder="1"/>
    <xf numFmtId="0" fontId="4" fillId="0" borderId="20" xfId="9" applyBorder="1"/>
    <xf numFmtId="0" fontId="4" fillId="0" borderId="17" xfId="9" applyBorder="1"/>
    <xf numFmtId="0" fontId="4" fillId="0" borderId="20" xfId="9" applyBorder="1" applyAlignment="1">
      <alignment wrapText="1"/>
    </xf>
    <xf numFmtId="0" fontId="4" fillId="0" borderId="17" xfId="9" applyBorder="1" applyAlignment="1">
      <alignment wrapText="1"/>
    </xf>
    <xf numFmtId="0" fontId="92" fillId="0" borderId="17" xfId="9" applyFont="1" applyBorder="1"/>
    <xf numFmtId="0" fontId="93" fillId="0" borderId="17" xfId="9" applyFont="1" applyBorder="1" applyAlignment="1">
      <alignment horizontal="left" wrapText="1"/>
    </xf>
    <xf numFmtId="0" fontId="4" fillId="0" borderId="0" xfId="9" applyAlignment="1">
      <alignment wrapText="1"/>
    </xf>
    <xf numFmtId="0" fontId="93" fillId="0" borderId="20" xfId="9" applyFont="1" applyBorder="1" applyAlignment="1">
      <alignment wrapText="1"/>
    </xf>
    <xf numFmtId="171" fontId="93" fillId="0" borderId="17" xfId="9" applyNumberFormat="1" applyFont="1" applyBorder="1" applyAlignment="1">
      <alignment horizontal="left"/>
    </xf>
    <xf numFmtId="171" fontId="4" fillId="0" borderId="17" xfId="9" applyNumberFormat="1" applyBorder="1"/>
    <xf numFmtId="0" fontId="94" fillId="0" borderId="17" xfId="9" applyFont="1" applyBorder="1" applyAlignment="1">
      <alignment horizontal="left" wrapText="1"/>
    </xf>
    <xf numFmtId="0" fontId="93" fillId="0" borderId="17" xfId="9" applyFont="1" applyBorder="1" applyAlignment="1">
      <alignment wrapText="1"/>
    </xf>
    <xf numFmtId="0" fontId="93" fillId="0" borderId="20" xfId="9" applyFont="1" applyBorder="1"/>
    <xf numFmtId="0" fontId="93" fillId="0" borderId="92" xfId="9" applyFont="1" applyBorder="1"/>
    <xf numFmtId="0" fontId="93" fillId="0" borderId="14" xfId="9" applyFont="1" applyBorder="1" applyAlignment="1">
      <alignment wrapText="1"/>
    </xf>
    <xf numFmtId="0" fontId="97" fillId="2" borderId="0" xfId="0" applyFont="1" applyFill="1" applyProtection="1">
      <protection hidden="1"/>
    </xf>
    <xf numFmtId="0" fontId="99" fillId="2" borderId="0" xfId="0" applyFont="1" applyFill="1"/>
    <xf numFmtId="0" fontId="100" fillId="2" borderId="0" xfId="0" applyFont="1" applyFill="1" applyAlignment="1">
      <alignment vertical="center"/>
    </xf>
    <xf numFmtId="0" fontId="101" fillId="2" borderId="0" xfId="0" applyFont="1" applyFill="1"/>
    <xf numFmtId="0" fontId="99" fillId="2" borderId="0" xfId="2" applyFont="1" applyFill="1"/>
    <xf numFmtId="0" fontId="102" fillId="2" borderId="0" xfId="0" applyFont="1" applyFill="1"/>
    <xf numFmtId="0" fontId="50" fillId="2" borderId="0" xfId="0" applyFont="1" applyFill="1"/>
    <xf numFmtId="0" fontId="50" fillId="0" borderId="2" xfId="1" applyFont="1" applyBorder="1" applyAlignment="1">
      <alignment horizontal="center" vertical="center"/>
    </xf>
    <xf numFmtId="0" fontId="50" fillId="2" borderId="0" xfId="0" applyFont="1" applyFill="1" applyAlignment="1">
      <alignment horizontal="right"/>
    </xf>
    <xf numFmtId="0" fontId="101" fillId="2" borderId="6" xfId="0" applyFont="1" applyFill="1" applyBorder="1"/>
    <xf numFmtId="0" fontId="104" fillId="0" borderId="6" xfId="0" applyFont="1" applyBorder="1" applyAlignment="1">
      <alignment horizontal="left"/>
    </xf>
    <xf numFmtId="0" fontId="105" fillId="0" borderId="7" xfId="0" applyFont="1" applyBorder="1" applyAlignment="1">
      <alignment horizontal="center"/>
    </xf>
    <xf numFmtId="0" fontId="48" fillId="0" borderId="2" xfId="0" applyFont="1" applyBorder="1" applyAlignment="1">
      <alignment horizontal="center" vertical="center" wrapText="1"/>
    </xf>
    <xf numFmtId="0" fontId="50" fillId="2" borderId="5" xfId="0" applyFont="1" applyFill="1" applyBorder="1" applyAlignment="1">
      <alignment horizontal="center"/>
    </xf>
    <xf numFmtId="0" fontId="50" fillId="2" borderId="4" xfId="0" applyFont="1" applyFill="1" applyBorder="1" applyAlignment="1">
      <alignment horizontal="center"/>
    </xf>
    <xf numFmtId="0" fontId="50" fillId="2" borderId="0" xfId="0" applyFont="1" applyFill="1" applyAlignment="1">
      <alignment horizontal="center"/>
    </xf>
    <xf numFmtId="0" fontId="106" fillId="0" borderId="2" xfId="0" applyFont="1" applyBorder="1" applyAlignment="1">
      <alignment horizontal="center" vertical="center" wrapText="1"/>
    </xf>
    <xf numFmtId="0" fontId="106" fillId="0" borderId="0" xfId="0" applyFont="1" applyAlignment="1">
      <alignment horizontal="center" vertical="center" wrapText="1"/>
    </xf>
    <xf numFmtId="0" fontId="50" fillId="0" borderId="0" xfId="0" applyFont="1"/>
    <xf numFmtId="0" fontId="106" fillId="0" borderId="2" xfId="1" applyFont="1" applyBorder="1" applyAlignment="1">
      <alignment horizontal="center" vertical="center" wrapText="1"/>
    </xf>
    <xf numFmtId="0" fontId="107" fillId="0" borderId="0" xfId="1" applyFont="1"/>
    <xf numFmtId="0" fontId="101" fillId="2" borderId="0" xfId="1" applyFont="1" applyFill="1"/>
    <xf numFmtId="0" fontId="106" fillId="3" borderId="5" xfId="0" applyFont="1" applyFill="1" applyBorder="1" applyAlignment="1" applyProtection="1">
      <alignment horizontal="left" vertical="top"/>
      <protection hidden="1"/>
    </xf>
    <xf numFmtId="0" fontId="101" fillId="0" borderId="0" xfId="1" applyFont="1"/>
    <xf numFmtId="0" fontId="106" fillId="3" borderId="8" xfId="0" applyFont="1" applyFill="1" applyBorder="1" applyAlignment="1" applyProtection="1">
      <alignment horizontal="left" vertical="top"/>
      <protection hidden="1"/>
    </xf>
    <xf numFmtId="0" fontId="108" fillId="0" borderId="0" xfId="8" applyFont="1"/>
    <xf numFmtId="0" fontId="110" fillId="2" borderId="0" xfId="0" applyFont="1" applyFill="1"/>
    <xf numFmtId="0" fontId="111" fillId="2" borderId="0" xfId="0" applyFont="1" applyFill="1"/>
    <xf numFmtId="0" fontId="109" fillId="2" borderId="0" xfId="0" applyFont="1" applyFill="1"/>
    <xf numFmtId="0" fontId="111" fillId="2" borderId="0" xfId="0" applyFont="1" applyFill="1" applyAlignment="1">
      <alignment horizontal="left"/>
    </xf>
    <xf numFmtId="165" fontId="49" fillId="0" borderId="2" xfId="1" applyNumberFormat="1" applyFont="1" applyBorder="1" applyAlignment="1" applyProtection="1">
      <alignment horizontal="center" vertical="center"/>
      <protection locked="0"/>
    </xf>
    <xf numFmtId="165" fontId="49" fillId="0" borderId="2" xfId="1" applyNumberFormat="1" applyFont="1" applyBorder="1" applyAlignment="1">
      <alignment horizontal="center"/>
    </xf>
    <xf numFmtId="0" fontId="49" fillId="0" borderId="8" xfId="1" applyFont="1" applyBorder="1" applyAlignment="1">
      <alignment horizontal="right"/>
    </xf>
    <xf numFmtId="165" fontId="49" fillId="0" borderId="8" xfId="0" applyNumberFormat="1" applyFont="1" applyBorder="1" applyAlignment="1">
      <alignment horizontal="right"/>
    </xf>
    <xf numFmtId="0" fontId="112" fillId="2" borderId="0" xfId="0" applyFont="1" applyFill="1"/>
    <xf numFmtId="0" fontId="112" fillId="2" borderId="0" xfId="0" applyFont="1" applyFill="1" applyAlignment="1">
      <alignment horizontal="right"/>
    </xf>
    <xf numFmtId="0" fontId="112" fillId="0" borderId="0" xfId="0" applyFont="1"/>
    <xf numFmtId="2" fontId="112" fillId="0" borderId="6" xfId="0" applyNumberFormat="1" applyFont="1" applyBorder="1" applyAlignment="1">
      <alignment horizontal="left" vertical="center"/>
    </xf>
    <xf numFmtId="164" fontId="112" fillId="0" borderId="6" xfId="0" applyNumberFormat="1" applyFont="1" applyBorder="1" applyAlignment="1">
      <alignment horizontal="left" vertical="center"/>
    </xf>
    <xf numFmtId="0" fontId="48" fillId="0" borderId="2" xfId="0" applyFont="1" applyBorder="1" applyAlignment="1">
      <alignment horizontal="center" vertical="center"/>
    </xf>
    <xf numFmtId="2" fontId="49" fillId="0" borderId="2" xfId="0" applyNumberFormat="1" applyFont="1" applyBorder="1" applyAlignment="1">
      <alignment horizontal="center" vertical="center"/>
    </xf>
    <xf numFmtId="0" fontId="50" fillId="2" borderId="2" xfId="0" applyFont="1" applyFill="1" applyBorder="1" applyAlignment="1">
      <alignment horizontal="center" vertical="center" wrapText="1"/>
    </xf>
    <xf numFmtId="164" fontId="29" fillId="0" borderId="12" xfId="0" applyNumberFormat="1" applyFont="1" applyBorder="1" applyAlignment="1" applyProtection="1">
      <alignment horizontal="left" vertical="center"/>
      <protection hidden="1"/>
    </xf>
    <xf numFmtId="165" fontId="112" fillId="0" borderId="0" xfId="1" applyNumberFormat="1" applyFont="1" applyAlignment="1" applyProtection="1">
      <alignment horizontal="right" vertical="center"/>
      <protection locked="0"/>
    </xf>
    <xf numFmtId="165" fontId="112" fillId="0" borderId="8" xfId="1" applyNumberFormat="1" applyFont="1" applyBorder="1" applyAlignment="1">
      <alignment horizontal="right" vertical="center"/>
    </xf>
    <xf numFmtId="164" fontId="112" fillId="0" borderId="8" xfId="1" applyNumberFormat="1" applyFont="1" applyBorder="1" applyAlignment="1">
      <alignment horizontal="right" vertical="center"/>
    </xf>
    <xf numFmtId="165" fontId="112" fillId="2" borderId="2" xfId="0" applyNumberFormat="1" applyFont="1" applyFill="1" applyBorder="1" applyAlignment="1">
      <alignment horizontal="center" vertical="center"/>
    </xf>
    <xf numFmtId="2" fontId="112" fillId="2" borderId="2" xfId="0" applyNumberFormat="1" applyFont="1" applyFill="1" applyBorder="1" applyAlignment="1">
      <alignment horizontal="center" vertical="center"/>
    </xf>
    <xf numFmtId="2" fontId="112" fillId="2" borderId="1" xfId="0" applyNumberFormat="1" applyFont="1" applyFill="1" applyBorder="1" applyAlignment="1">
      <alignment horizontal="center" vertical="center"/>
    </xf>
    <xf numFmtId="164" fontId="112" fillId="2" borderId="1" xfId="0" applyNumberFormat="1" applyFont="1" applyFill="1" applyBorder="1" applyAlignment="1">
      <alignment horizontal="center" vertical="center"/>
    </xf>
    <xf numFmtId="0" fontId="112" fillId="2" borderId="0" xfId="0" applyFont="1" applyFill="1" applyAlignment="1" applyProtection="1">
      <alignment horizontal="left"/>
      <protection locked="0"/>
    </xf>
    <xf numFmtId="0" fontId="112" fillId="0" borderId="0" xfId="0" applyFont="1" applyProtection="1">
      <protection locked="0"/>
    </xf>
    <xf numFmtId="0" fontId="51" fillId="0" borderId="0" xfId="0" applyFont="1"/>
    <xf numFmtId="0" fontId="62" fillId="0" borderId="0" xfId="0" applyFont="1" applyProtection="1">
      <protection locked="0"/>
    </xf>
    <xf numFmtId="0" fontId="51" fillId="0" borderId="0" xfId="0" applyFont="1" applyProtection="1">
      <protection locked="0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0" borderId="0" xfId="0" applyFont="1"/>
    <xf numFmtId="0" fontId="1" fillId="0" borderId="0" xfId="1" applyFont="1"/>
    <xf numFmtId="0" fontId="1" fillId="0" borderId="0" xfId="0" quotePrefix="1" applyFont="1"/>
    <xf numFmtId="165" fontId="1" fillId="0" borderId="2" xfId="1" applyNumberFormat="1" applyFont="1" applyBorder="1" applyAlignment="1">
      <alignment horizontal="center" vertical="center"/>
    </xf>
    <xf numFmtId="165" fontId="1" fillId="0" borderId="10" xfId="1" applyNumberFormat="1" applyFont="1" applyBorder="1" applyAlignment="1"/>
    <xf numFmtId="0" fontId="1" fillId="2" borderId="0" xfId="0" applyFont="1" applyFill="1" applyBorder="1"/>
    <xf numFmtId="2" fontId="1" fillId="0" borderId="0" xfId="1" applyNumberFormat="1" applyFont="1" applyAlignment="1" applyProtection="1">
      <alignment horizontal="center" vertical="center"/>
      <protection locked="0"/>
    </xf>
    <xf numFmtId="2" fontId="1" fillId="0" borderId="0" xfId="1" applyNumberFormat="1" applyFont="1" applyAlignment="1">
      <alignment horizontal="center" vertical="center"/>
    </xf>
    <xf numFmtId="164" fontId="1" fillId="2" borderId="0" xfId="0" applyNumberFormat="1" applyFont="1" applyFill="1"/>
    <xf numFmtId="0" fontId="1" fillId="0" borderId="2" xfId="1" quotePrefix="1" applyFont="1" applyBorder="1" applyAlignment="1">
      <alignment horizontal="center"/>
    </xf>
    <xf numFmtId="0" fontId="1" fillId="0" borderId="8" xfId="1" applyFont="1" applyBorder="1" applyAlignment="1" applyProtection="1">
      <alignment vertical="center"/>
      <protection locked="0"/>
    </xf>
    <xf numFmtId="0" fontId="1" fillId="0" borderId="7" xfId="1" applyFont="1" applyBorder="1"/>
    <xf numFmtId="0" fontId="1" fillId="0" borderId="6" xfId="0" applyFont="1" applyBorder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0" fontId="1" fillId="0" borderId="8" xfId="1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1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1" fillId="2" borderId="0" xfId="0" quotePrefix="1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0" fontId="1" fillId="0" borderId="0" xfId="1" applyFont="1" applyAlignment="1" applyProtection="1">
      <alignment horizontal="left"/>
      <protection locked="0"/>
    </xf>
    <xf numFmtId="0" fontId="1" fillId="2" borderId="0" xfId="0" applyFont="1" applyFill="1" applyAlignment="1">
      <alignment horizontal="left"/>
    </xf>
    <xf numFmtId="2" fontId="1" fillId="0" borderId="0" xfId="0" applyNumberFormat="1" applyFont="1" applyAlignment="1" applyProtection="1">
      <alignment horizontal="left"/>
      <protection locked="0"/>
    </xf>
    <xf numFmtId="0" fontId="1" fillId="0" borderId="0" xfId="0" applyFont="1" applyAlignment="1">
      <alignment horizontal="left"/>
    </xf>
    <xf numFmtId="0" fontId="1" fillId="3" borderId="0" xfId="0" quotePrefix="1" applyFont="1" applyFill="1" applyProtection="1">
      <protection locked="0"/>
    </xf>
    <xf numFmtId="0" fontId="1" fillId="0" borderId="0" xfId="1" applyFont="1" applyAlignment="1">
      <alignment horizontal="left" vertical="center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left"/>
      <protection locked="0"/>
    </xf>
    <xf numFmtId="0" fontId="49" fillId="2" borderId="0" xfId="0" applyFont="1" applyFill="1" applyAlignment="1">
      <alignment horizontal="left"/>
    </xf>
    <xf numFmtId="0" fontId="104" fillId="2" borderId="0" xfId="0" applyFont="1" applyFill="1"/>
    <xf numFmtId="0" fontId="104" fillId="0" borderId="0" xfId="0" applyFont="1" applyAlignment="1">
      <alignment horizontal="right"/>
    </xf>
    <xf numFmtId="0" fontId="104" fillId="0" borderId="0" xfId="0" applyFont="1"/>
    <xf numFmtId="0" fontId="104" fillId="0" borderId="0" xfId="1" applyFont="1"/>
    <xf numFmtId="0" fontId="59" fillId="0" borderId="0" xfId="1" quotePrefix="1" applyFont="1"/>
    <xf numFmtId="0" fontId="114" fillId="0" borderId="0" xfId="0" applyFont="1" applyAlignment="1">
      <alignment wrapText="1"/>
    </xf>
    <xf numFmtId="0" fontId="59" fillId="0" borderId="0" xfId="1" applyFont="1"/>
    <xf numFmtId="0" fontId="104" fillId="2" borderId="0" xfId="0" applyFont="1" applyFill="1" applyAlignment="1">
      <alignment horizontal="right"/>
    </xf>
    <xf numFmtId="0" fontId="115" fillId="2" borderId="0" xfId="0" applyFont="1" applyFill="1"/>
    <xf numFmtId="0" fontId="115" fillId="0" borderId="0" xfId="1" applyFont="1" applyAlignment="1">
      <alignment horizontal="center"/>
    </xf>
    <xf numFmtId="165" fontId="104" fillId="0" borderId="0" xfId="1" applyNumberFormat="1" applyFont="1" applyAlignment="1" applyProtection="1">
      <alignment horizontal="right" vertical="center"/>
      <protection locked="0"/>
    </xf>
    <xf numFmtId="165" fontId="104" fillId="0" borderId="0" xfId="1" applyNumberFormat="1" applyFont="1" applyAlignment="1" applyProtection="1">
      <alignment horizontal="left" vertical="center"/>
      <protection locked="0"/>
    </xf>
    <xf numFmtId="2" fontId="104" fillId="0" borderId="0" xfId="1" applyNumberFormat="1" applyFont="1" applyAlignment="1" applyProtection="1">
      <alignment horizontal="center" vertical="center"/>
      <protection locked="0"/>
    </xf>
    <xf numFmtId="2" fontId="104" fillId="0" borderId="0" xfId="1" applyNumberFormat="1" applyFont="1" applyAlignment="1">
      <alignment horizontal="center" vertical="center"/>
    </xf>
    <xf numFmtId="164" fontId="104" fillId="2" borderId="0" xfId="0" applyNumberFormat="1" applyFont="1" applyFill="1"/>
    <xf numFmtId="0" fontId="115" fillId="2" borderId="2" xfId="0" applyFont="1" applyFill="1" applyBorder="1" applyAlignment="1">
      <alignment horizontal="center" vertical="center" wrapText="1"/>
    </xf>
    <xf numFmtId="0" fontId="104" fillId="0" borderId="2" xfId="1" quotePrefix="1" applyFont="1" applyBorder="1" applyAlignment="1">
      <alignment horizontal="center"/>
    </xf>
    <xf numFmtId="0" fontId="104" fillId="0" borderId="8" xfId="1" applyFont="1" applyBorder="1"/>
    <xf numFmtId="0" fontId="104" fillId="0" borderId="7" xfId="1" applyFont="1" applyBorder="1"/>
    <xf numFmtId="0" fontId="104" fillId="0" borderId="6" xfId="1" applyFont="1" applyBorder="1"/>
    <xf numFmtId="0" fontId="116" fillId="0" borderId="7" xfId="0" applyFont="1" applyBorder="1" applyAlignment="1">
      <alignment horizontal="right"/>
    </xf>
    <xf numFmtId="0" fontId="115" fillId="2" borderId="0" xfId="0" applyFont="1" applyFill="1" applyAlignment="1">
      <alignment horizontal="center"/>
    </xf>
    <xf numFmtId="0" fontId="104" fillId="2" borderId="2" xfId="0" applyFont="1" applyFill="1" applyBorder="1" applyAlignment="1">
      <alignment horizontal="center" vertical="center"/>
    </xf>
    <xf numFmtId="0" fontId="104" fillId="0" borderId="8" xfId="0" applyFont="1" applyBorder="1" applyAlignment="1">
      <alignment horizontal="right" vertical="center"/>
    </xf>
    <xf numFmtId="165" fontId="104" fillId="0" borderId="0" xfId="0" applyNumberFormat="1" applyFont="1" applyAlignment="1">
      <alignment horizontal="center"/>
    </xf>
    <xf numFmtId="0" fontId="104" fillId="0" borderId="2" xfId="0" applyFont="1" applyBorder="1" applyAlignment="1">
      <alignment horizontal="center" vertical="center"/>
    </xf>
    <xf numFmtId="0" fontId="104" fillId="0" borderId="2" xfId="0" applyFont="1" applyBorder="1" applyAlignment="1">
      <alignment horizontal="center" vertical="center" wrapText="1"/>
    </xf>
    <xf numFmtId="165" fontId="104" fillId="2" borderId="2" xfId="0" quotePrefix="1" applyNumberFormat="1" applyFont="1" applyFill="1" applyBorder="1" applyAlignment="1">
      <alignment horizontal="center" vertical="center"/>
    </xf>
    <xf numFmtId="2" fontId="104" fillId="0" borderId="0" xfId="0" applyNumberFormat="1" applyFont="1" applyAlignment="1">
      <alignment horizontal="center" vertical="center"/>
    </xf>
    <xf numFmtId="1" fontId="104" fillId="2" borderId="0" xfId="0" applyNumberFormat="1" applyFont="1" applyFill="1" applyAlignment="1">
      <alignment horizontal="center" vertical="center"/>
    </xf>
    <xf numFmtId="2" fontId="104" fillId="2" borderId="0" xfId="0" applyNumberFormat="1" applyFont="1" applyFill="1" applyAlignment="1">
      <alignment horizontal="center" vertical="center"/>
    </xf>
    <xf numFmtId="2" fontId="104" fillId="2" borderId="0" xfId="0" quotePrefix="1" applyNumberFormat="1" applyFont="1" applyFill="1" applyAlignment="1">
      <alignment horizontal="center" vertical="center"/>
    </xf>
    <xf numFmtId="9" fontId="117" fillId="0" borderId="9" xfId="0" quotePrefix="1" applyNumberFormat="1" applyFont="1" applyBorder="1" applyAlignment="1">
      <alignment vertical="center"/>
    </xf>
    <xf numFmtId="0" fontId="115" fillId="0" borderId="0" xfId="0" applyFont="1"/>
    <xf numFmtId="9" fontId="117" fillId="0" borderId="52" xfId="0" quotePrefix="1" applyNumberFormat="1" applyFont="1" applyBorder="1" applyAlignment="1">
      <alignment vertical="center"/>
    </xf>
    <xf numFmtId="0" fontId="104" fillId="0" borderId="0" xfId="0" applyFont="1" applyAlignment="1">
      <alignment horizontal="center" vertical="center"/>
    </xf>
    <xf numFmtId="0" fontId="104" fillId="0" borderId="0" xfId="0" applyFont="1" applyAlignment="1">
      <alignment horizontal="center" vertical="center" wrapText="1"/>
    </xf>
    <xf numFmtId="0" fontId="104" fillId="2" borderId="0" xfId="0" applyFont="1" applyFill="1" applyAlignment="1">
      <alignment horizontal="center" vertical="center"/>
    </xf>
    <xf numFmtId="165" fontId="104" fillId="2" borderId="0" xfId="0" quotePrefix="1" applyNumberFormat="1" applyFont="1" applyFill="1" applyAlignment="1">
      <alignment horizontal="center" vertical="center"/>
    </xf>
    <xf numFmtId="0" fontId="104" fillId="0" borderId="0" xfId="0" applyFont="1" applyAlignment="1">
      <alignment horizontal="right" vertical="center"/>
    </xf>
    <xf numFmtId="2" fontId="104" fillId="0" borderId="0" xfId="0" applyNumberFormat="1" applyFont="1" applyAlignment="1">
      <alignment horizontal="left" vertical="center"/>
    </xf>
    <xf numFmtId="0" fontId="115" fillId="0" borderId="0" xfId="0" applyFont="1" applyAlignment="1">
      <alignment horizontal="left" vertical="center"/>
    </xf>
    <xf numFmtId="0" fontId="104" fillId="0" borderId="1" xfId="0" applyFont="1" applyBorder="1" applyAlignment="1">
      <alignment horizontal="center" vertical="center"/>
    </xf>
    <xf numFmtId="0" fontId="104" fillId="0" borderId="1" xfId="1" applyFont="1" applyBorder="1" applyAlignment="1">
      <alignment horizontal="center" vertical="center" wrapText="1"/>
    </xf>
    <xf numFmtId="0" fontId="104" fillId="2" borderId="1" xfId="0" applyFont="1" applyFill="1" applyBorder="1" applyAlignment="1">
      <alignment horizontal="center" vertical="center"/>
    </xf>
    <xf numFmtId="0" fontId="104" fillId="2" borderId="11" xfId="0" applyFont="1" applyFill="1" applyBorder="1" applyAlignment="1">
      <alignment horizontal="center" vertical="center"/>
    </xf>
    <xf numFmtId="0" fontId="104" fillId="2" borderId="8" xfId="0" applyFont="1" applyFill="1" applyBorder="1" applyAlignment="1">
      <alignment horizontal="right" vertical="center"/>
    </xf>
    <xf numFmtId="0" fontId="104" fillId="0" borderId="0" xfId="0" applyFont="1" applyAlignment="1" applyProtection="1">
      <alignment horizontal="right"/>
      <protection locked="0"/>
    </xf>
    <xf numFmtId="0" fontId="115" fillId="2" borderId="0" xfId="0" applyFont="1" applyFill="1" applyProtection="1">
      <protection locked="0"/>
    </xf>
    <xf numFmtId="1" fontId="104" fillId="2" borderId="0" xfId="0" applyNumberFormat="1" applyFont="1" applyFill="1" applyAlignment="1" applyProtection="1">
      <alignment horizontal="center" vertical="center"/>
      <protection locked="0"/>
    </xf>
    <xf numFmtId="2" fontId="104" fillId="2" borderId="0" xfId="0" applyNumberFormat="1" applyFont="1" applyFill="1" applyAlignment="1" applyProtection="1">
      <alignment horizontal="center" vertical="center"/>
      <protection locked="0"/>
    </xf>
    <xf numFmtId="2" fontId="104" fillId="2" borderId="0" xfId="0" quotePrefix="1" applyNumberFormat="1" applyFont="1" applyFill="1" applyAlignment="1" applyProtection="1">
      <alignment horizontal="center" vertical="center"/>
      <protection locked="0"/>
    </xf>
    <xf numFmtId="9" fontId="117" fillId="0" borderId="0" xfId="0" quotePrefix="1" applyNumberFormat="1" applyFont="1" applyAlignment="1">
      <alignment vertical="center"/>
    </xf>
    <xf numFmtId="0" fontId="104" fillId="2" borderId="0" xfId="0" applyFont="1" applyFill="1" applyProtection="1">
      <protection locked="0"/>
    </xf>
    <xf numFmtId="0" fontId="104" fillId="2" borderId="0" xfId="0" applyFont="1" applyFill="1" applyAlignment="1" applyProtection="1">
      <alignment horizontal="left"/>
      <protection locked="0"/>
    </xf>
    <xf numFmtId="0" fontId="104" fillId="0" borderId="0" xfId="0" applyFont="1" applyAlignment="1">
      <alignment vertical="center"/>
    </xf>
    <xf numFmtId="0" fontId="104" fillId="0" borderId="0" xfId="0" applyFont="1" applyProtection="1">
      <protection locked="0"/>
    </xf>
    <xf numFmtId="0" fontId="115" fillId="0" borderId="0" xfId="0" applyFont="1" applyProtection="1">
      <protection locked="0"/>
    </xf>
    <xf numFmtId="0" fontId="104" fillId="3" borderId="0" xfId="0" applyFont="1" applyFill="1" applyAlignment="1" applyProtection="1">
      <alignment vertical="center"/>
      <protection locked="0"/>
    </xf>
    <xf numFmtId="0" fontId="104" fillId="2" borderId="0" xfId="0" applyFont="1" applyFill="1" applyAlignment="1" applyProtection="1">
      <alignment vertical="center"/>
      <protection locked="0"/>
    </xf>
    <xf numFmtId="0" fontId="117" fillId="0" borderId="0" xfId="1" applyFont="1" applyProtection="1">
      <protection locked="0"/>
    </xf>
    <xf numFmtId="0" fontId="104" fillId="0" borderId="0" xfId="1" applyFont="1" applyAlignment="1" applyProtection="1">
      <alignment vertical="center"/>
      <protection locked="0"/>
    </xf>
    <xf numFmtId="0" fontId="104" fillId="0" borderId="0" xfId="1" applyFont="1" applyProtection="1">
      <protection locked="0"/>
    </xf>
    <xf numFmtId="0" fontId="104" fillId="3" borderId="0" xfId="0" applyFont="1" applyFill="1" applyAlignment="1" applyProtection="1">
      <alignment horizontal="center" vertical="center"/>
      <protection locked="0"/>
    </xf>
    <xf numFmtId="0" fontId="115" fillId="3" borderId="0" xfId="1" applyFont="1" applyFill="1" applyAlignment="1" applyProtection="1">
      <alignment vertical="center"/>
      <protection locked="0"/>
    </xf>
    <xf numFmtId="0" fontId="104" fillId="0" borderId="0" xfId="0" applyFont="1" applyAlignment="1" applyProtection="1">
      <alignment vertical="center"/>
      <protection locked="0"/>
    </xf>
    <xf numFmtId="0" fontId="51" fillId="3" borderId="0" xfId="1" applyFont="1" applyFill="1" applyAlignment="1" applyProtection="1">
      <alignment vertical="center"/>
      <protection locked="0"/>
    </xf>
    <xf numFmtId="0" fontId="62" fillId="3" borderId="0" xfId="1" applyFont="1" applyFill="1" applyAlignment="1" applyProtection="1">
      <alignment vertical="center"/>
      <protection locked="0"/>
    </xf>
    <xf numFmtId="0" fontId="104" fillId="0" borderId="0" xfId="0" applyFont="1" applyAlignment="1" applyProtection="1">
      <alignment horizontal="right" vertical="center"/>
      <protection locked="0"/>
    </xf>
    <xf numFmtId="49" fontId="112" fillId="0" borderId="0" xfId="0" applyNumberFormat="1" applyFont="1"/>
    <xf numFmtId="0" fontId="8" fillId="0" borderId="8" xfId="9" applyFont="1" applyBorder="1" applyAlignment="1">
      <alignment horizontal="left" vertical="top" wrapText="1"/>
    </xf>
    <xf numFmtId="0" fontId="8" fillId="0" borderId="7" xfId="9" applyFont="1" applyBorder="1" applyAlignment="1">
      <alignment horizontal="left" vertical="top" wrapText="1"/>
    </xf>
    <xf numFmtId="0" fontId="87" fillId="0" borderId="0" xfId="9" applyFont="1" applyAlignment="1" applyProtection="1">
      <alignment horizontal="center" vertical="center"/>
      <protection locked="0"/>
    </xf>
    <xf numFmtId="171" fontId="89" fillId="0" borderId="0" xfId="9" quotePrefix="1" applyNumberFormat="1" applyFont="1" applyAlignment="1" applyProtection="1">
      <alignment horizontal="center" vertical="center"/>
      <protection locked="0"/>
    </xf>
    <xf numFmtId="171" fontId="89" fillId="0" borderId="0" xfId="9" applyNumberFormat="1" applyFont="1" applyAlignment="1" applyProtection="1">
      <alignment horizontal="center" vertical="center"/>
      <protection locked="0"/>
    </xf>
    <xf numFmtId="0" fontId="8" fillId="0" borderId="0" xfId="9" applyFont="1" applyAlignment="1">
      <alignment horizontal="center"/>
    </xf>
    <xf numFmtId="0" fontId="39" fillId="0" borderId="0" xfId="9" applyFont="1" applyAlignment="1">
      <alignment horizontal="right" vertical="center"/>
    </xf>
    <xf numFmtId="0" fontId="86" fillId="0" borderId="0" xfId="9" applyFont="1" applyAlignment="1">
      <alignment horizontal="center"/>
    </xf>
    <xf numFmtId="0" fontId="89" fillId="0" borderId="0" xfId="9" quotePrefix="1" applyFont="1" applyAlignment="1" applyProtection="1">
      <alignment horizontal="left"/>
      <protection locked="0"/>
    </xf>
    <xf numFmtId="0" fontId="8" fillId="0" borderId="0" xfId="9" applyFont="1" applyAlignment="1">
      <alignment horizontal="left" vertical="center" wrapText="1"/>
    </xf>
    <xf numFmtId="1" fontId="8" fillId="0" borderId="0" xfId="9" applyNumberFormat="1" applyFont="1" applyAlignment="1">
      <alignment horizontal="left" vertical="center" wrapText="1"/>
    </xf>
    <xf numFmtId="0" fontId="90" fillId="0" borderId="0" xfId="9" quotePrefix="1" applyFont="1" applyAlignment="1" applyProtection="1">
      <alignment horizontal="left" vertical="center" wrapText="1"/>
      <protection locked="0"/>
    </xf>
    <xf numFmtId="11" fontId="89" fillId="0" borderId="0" xfId="9" quotePrefix="1" applyNumberFormat="1" applyFont="1" applyAlignment="1" applyProtection="1">
      <alignment horizontal="left"/>
      <protection locked="0"/>
    </xf>
    <xf numFmtId="0" fontId="89" fillId="0" borderId="0" xfId="9" applyFont="1" applyAlignment="1" applyProtection="1">
      <alignment horizontal="left"/>
      <protection locked="0"/>
    </xf>
    <xf numFmtId="0" fontId="8" fillId="0" borderId="0" xfId="9" applyFont="1" applyAlignment="1" applyProtection="1">
      <alignment horizontal="left" vertical="center" wrapText="1"/>
      <protection locked="0"/>
    </xf>
    <xf numFmtId="171" fontId="8" fillId="0" borderId="0" xfId="9" applyNumberFormat="1" applyFont="1" applyAlignment="1">
      <alignment horizontal="left" vertical="center" wrapText="1"/>
    </xf>
    <xf numFmtId="0" fontId="90" fillId="0" borderId="0" xfId="9" applyFont="1" applyAlignment="1" applyProtection="1">
      <alignment horizontal="left" vertical="center" wrapText="1"/>
      <protection locked="0"/>
    </xf>
    <xf numFmtId="0" fontId="8" fillId="0" borderId="0" xfId="9" applyFont="1" applyAlignment="1" applyProtection="1">
      <alignment horizontal="left" vertical="top" wrapText="1"/>
      <protection locked="0"/>
    </xf>
    <xf numFmtId="0" fontId="8" fillId="0" borderId="0" xfId="9" applyFont="1" applyAlignment="1" applyProtection="1">
      <alignment horizontal="justify" vertical="top" wrapText="1"/>
      <protection locked="0"/>
    </xf>
    <xf numFmtId="173" fontId="89" fillId="0" borderId="0" xfId="9" quotePrefix="1" applyNumberFormat="1" applyFont="1" applyAlignment="1" applyProtection="1">
      <alignment horizontal="left" vertical="center"/>
      <protection locked="0"/>
    </xf>
    <xf numFmtId="173" fontId="89" fillId="0" borderId="0" xfId="9" applyNumberFormat="1" applyFont="1" applyAlignment="1" applyProtection="1">
      <alignment horizontal="left" vertical="center"/>
      <protection locked="0"/>
    </xf>
    <xf numFmtId="1" fontId="8" fillId="0" borderId="0" xfId="9" applyNumberFormat="1" applyFont="1" applyAlignment="1">
      <alignment horizontal="left" vertical="top" wrapText="1"/>
    </xf>
    <xf numFmtId="0" fontId="8" fillId="0" borderId="0" xfId="9" applyFont="1" applyAlignment="1">
      <alignment horizontal="left" vertical="top" wrapText="1"/>
    </xf>
    <xf numFmtId="0" fontId="85" fillId="0" borderId="0" xfId="9" applyFont="1" applyAlignment="1">
      <alignment horizontal="center"/>
    </xf>
    <xf numFmtId="0" fontId="8" fillId="6" borderId="0" xfId="9" applyFont="1" applyFill="1" applyAlignment="1">
      <alignment horizontal="justify" vertical="center" wrapText="1"/>
    </xf>
    <xf numFmtId="0" fontId="7" fillId="0" borderId="0" xfId="9" applyFont="1" applyAlignment="1">
      <alignment horizontal="left" vertical="center" wrapText="1"/>
    </xf>
    <xf numFmtId="171" fontId="8" fillId="0" borderId="0" xfId="9" applyNumberFormat="1" applyFont="1" applyAlignment="1">
      <alignment horizontal="left" vertical="top" wrapText="1"/>
    </xf>
    <xf numFmtId="0" fontId="32" fillId="2" borderId="4" xfId="0" applyFont="1" applyFill="1" applyBorder="1" applyAlignment="1">
      <alignment horizontal="center" vertical="center" wrapText="1"/>
    </xf>
    <xf numFmtId="0" fontId="32" fillId="2" borderId="1" xfId="0" applyFont="1" applyFill="1" applyBorder="1" applyAlignment="1">
      <alignment horizontal="center" vertical="center" wrapText="1"/>
    </xf>
    <xf numFmtId="0" fontId="32" fillId="2" borderId="4" xfId="0" applyFont="1" applyFill="1" applyBorder="1" applyAlignment="1">
      <alignment horizontal="center" vertical="center"/>
    </xf>
    <xf numFmtId="0" fontId="32" fillId="2" borderId="3" xfId="0" applyFont="1" applyFill="1" applyBorder="1" applyAlignment="1">
      <alignment horizontal="center" vertical="center"/>
    </xf>
    <xf numFmtId="0" fontId="32" fillId="2" borderId="3" xfId="0" applyFont="1" applyFill="1" applyBorder="1" applyAlignment="1">
      <alignment horizontal="center" vertical="center" wrapText="1"/>
    </xf>
    <xf numFmtId="0" fontId="32" fillId="2" borderId="8" xfId="0" applyFont="1" applyFill="1" applyBorder="1" applyAlignment="1">
      <alignment horizontal="center"/>
    </xf>
    <xf numFmtId="0" fontId="32" fillId="2" borderId="7" xfId="0" applyFont="1" applyFill="1" applyBorder="1" applyAlignment="1">
      <alignment horizontal="center"/>
    </xf>
    <xf numFmtId="0" fontId="32" fillId="2" borderId="6" xfId="0" applyFont="1" applyFill="1" applyBorder="1" applyAlignment="1">
      <alignment horizontal="center"/>
    </xf>
    <xf numFmtId="0" fontId="29" fillId="0" borderId="0" xfId="0" applyFont="1" applyAlignment="1">
      <alignment horizontal="left" vertical="top" wrapText="1"/>
    </xf>
    <xf numFmtId="0" fontId="33" fillId="2" borderId="2" xfId="0" applyFont="1" applyFill="1" applyBorder="1" applyAlignment="1">
      <alignment horizontal="center" vertical="center" wrapText="1"/>
    </xf>
    <xf numFmtId="165" fontId="33" fillId="2" borderId="4" xfId="0" quotePrefix="1" applyNumberFormat="1" applyFont="1" applyFill="1" applyBorder="1" applyAlignment="1">
      <alignment horizontal="center" vertical="center"/>
    </xf>
    <xf numFmtId="165" fontId="33" fillId="2" borderId="3" xfId="0" quotePrefix="1" applyNumberFormat="1" applyFont="1" applyFill="1" applyBorder="1" applyAlignment="1">
      <alignment horizontal="center" vertical="center"/>
    </xf>
    <xf numFmtId="165" fontId="33" fillId="2" borderId="1" xfId="0" quotePrefix="1" applyNumberFormat="1" applyFont="1" applyFill="1" applyBorder="1" applyAlignment="1">
      <alignment horizontal="center" vertical="center"/>
    </xf>
    <xf numFmtId="165" fontId="27" fillId="0" borderId="8" xfId="0" applyNumberFormat="1" applyFont="1" applyBorder="1" applyAlignment="1">
      <alignment horizontal="center" vertical="center"/>
    </xf>
    <xf numFmtId="165" fontId="27" fillId="0" borderId="6" xfId="0" applyNumberFormat="1" applyFont="1" applyBorder="1" applyAlignment="1">
      <alignment horizontal="center" vertical="center"/>
    </xf>
    <xf numFmtId="165" fontId="27" fillId="0" borderId="2" xfId="0" applyNumberFormat="1" applyFont="1" applyBorder="1" applyAlignment="1">
      <alignment horizontal="center" vertical="center"/>
    </xf>
    <xf numFmtId="165" fontId="29" fillId="0" borderId="8" xfId="0" applyNumberFormat="1" applyFont="1" applyBorder="1" applyAlignment="1">
      <alignment horizontal="center"/>
    </xf>
    <xf numFmtId="165" fontId="29" fillId="0" borderId="6" xfId="0" applyNumberFormat="1" applyFont="1" applyBorder="1" applyAlignment="1">
      <alignment horizontal="center"/>
    </xf>
    <xf numFmtId="165" fontId="29" fillId="0" borderId="2" xfId="0" applyNumberFormat="1" applyFont="1" applyBorder="1" applyAlignment="1">
      <alignment horizontal="center"/>
    </xf>
    <xf numFmtId="0" fontId="36" fillId="0" borderId="0" xfId="0" applyFont="1" applyAlignment="1">
      <alignment horizontal="center"/>
    </xf>
    <xf numFmtId="0" fontId="37" fillId="0" borderId="0" xfId="0" applyFont="1" applyAlignment="1">
      <alignment horizontal="center"/>
    </xf>
    <xf numFmtId="0" fontId="27" fillId="0" borderId="8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 wrapText="1"/>
    </xf>
    <xf numFmtId="0" fontId="29" fillId="0" borderId="6" xfId="0" applyFont="1" applyBorder="1" applyAlignment="1">
      <alignment horizontal="center" vertical="center" wrapText="1"/>
    </xf>
    <xf numFmtId="0" fontId="29" fillId="0" borderId="6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wrapText="1"/>
    </xf>
    <xf numFmtId="0" fontId="27" fillId="0" borderId="6" xfId="0" applyFont="1" applyBorder="1" applyAlignment="1">
      <alignment horizontal="center" wrapText="1"/>
    </xf>
    <xf numFmtId="0" fontId="30" fillId="0" borderId="0" xfId="0" applyFont="1" applyAlignment="1">
      <alignment horizontal="center" vertical="center" wrapText="1"/>
    </xf>
    <xf numFmtId="0" fontId="27" fillId="0" borderId="8" xfId="1" applyFont="1" applyBorder="1" applyAlignment="1">
      <alignment horizontal="center"/>
    </xf>
    <xf numFmtId="0" fontId="27" fillId="0" borderId="6" xfId="1" applyFont="1" applyBorder="1" applyAlignment="1">
      <alignment horizontal="center"/>
    </xf>
    <xf numFmtId="0" fontId="29" fillId="0" borderId="8" xfId="0" applyFont="1" applyBorder="1" applyAlignment="1">
      <alignment horizontal="center"/>
    </xf>
    <xf numFmtId="0" fontId="29" fillId="0" borderId="7" xfId="0" applyFont="1" applyBorder="1" applyAlignment="1">
      <alignment horizontal="center"/>
    </xf>
    <xf numFmtId="0" fontId="29" fillId="0" borderId="6" xfId="0" applyFont="1" applyBorder="1" applyAlignment="1">
      <alignment horizontal="center"/>
    </xf>
    <xf numFmtId="0" fontId="14" fillId="11" borderId="2" xfId="8" applyFont="1" applyFill="1" applyBorder="1" applyAlignment="1">
      <alignment horizontal="center" vertical="center"/>
    </xf>
    <xf numFmtId="0" fontId="16" fillId="11" borderId="2" xfId="4" applyFont="1" applyFill="1" applyBorder="1" applyAlignment="1">
      <alignment horizontal="center" vertical="center"/>
    </xf>
    <xf numFmtId="0" fontId="21" fillId="11" borderId="2" xfId="4" applyFont="1" applyFill="1" applyBorder="1" applyAlignment="1">
      <alignment horizontal="center" vertical="center"/>
    </xf>
    <xf numFmtId="0" fontId="4" fillId="0" borderId="61" xfId="8" applyBorder="1" applyAlignment="1">
      <alignment horizontal="center" vertical="center"/>
    </xf>
    <xf numFmtId="0" fontId="4" fillId="0" borderId="20" xfId="8" applyBorder="1" applyAlignment="1">
      <alignment horizontal="center" vertical="center"/>
    </xf>
    <xf numFmtId="0" fontId="4" fillId="0" borderId="92" xfId="8" applyBorder="1" applyAlignment="1">
      <alignment horizontal="center" vertical="center"/>
    </xf>
    <xf numFmtId="0" fontId="12" fillId="11" borderId="2" xfId="4" applyFont="1" applyFill="1" applyBorder="1" applyAlignment="1">
      <alignment horizontal="center" vertical="center"/>
    </xf>
    <xf numFmtId="0" fontId="82" fillId="5" borderId="48" xfId="8" applyFont="1" applyFill="1" applyBorder="1" applyAlignment="1">
      <alignment horizontal="center" vertical="center"/>
    </xf>
    <xf numFmtId="0" fontId="82" fillId="5" borderId="60" xfId="8" applyFont="1" applyFill="1" applyBorder="1" applyAlignment="1">
      <alignment horizontal="center" vertical="center"/>
    </xf>
    <xf numFmtId="0" fontId="82" fillId="5" borderId="51" xfId="8" applyFont="1" applyFill="1" applyBorder="1" applyAlignment="1">
      <alignment horizontal="center" vertical="center"/>
    </xf>
    <xf numFmtId="0" fontId="82" fillId="5" borderId="59" xfId="8" applyFont="1" applyFill="1" applyBorder="1" applyAlignment="1">
      <alignment horizontal="center" vertical="center"/>
    </xf>
    <xf numFmtId="1" fontId="58" fillId="11" borderId="2" xfId="8" applyNumberFormat="1" applyFont="1" applyFill="1" applyBorder="1" applyAlignment="1">
      <alignment horizontal="center" vertical="center"/>
    </xf>
    <xf numFmtId="1" fontId="58" fillId="11" borderId="61" xfId="8" applyNumberFormat="1" applyFont="1" applyFill="1" applyBorder="1" applyAlignment="1">
      <alignment horizontal="center" vertical="center"/>
    </xf>
    <xf numFmtId="1" fontId="58" fillId="11" borderId="59" xfId="8" applyNumberFormat="1" applyFont="1" applyFill="1" applyBorder="1" applyAlignment="1">
      <alignment horizontal="center" vertical="center"/>
    </xf>
    <xf numFmtId="0" fontId="14" fillId="11" borderId="48" xfId="8" applyFont="1" applyFill="1" applyBorder="1" applyAlignment="1">
      <alignment horizontal="center" vertical="center"/>
    </xf>
    <xf numFmtId="0" fontId="14" fillId="11" borderId="47" xfId="8" applyFont="1" applyFill="1" applyBorder="1" applyAlignment="1">
      <alignment horizontal="center" vertical="center"/>
    </xf>
    <xf numFmtId="0" fontId="14" fillId="11" borderId="50" xfId="8" applyFont="1" applyFill="1" applyBorder="1" applyAlignment="1">
      <alignment horizontal="center" vertical="center"/>
    </xf>
    <xf numFmtId="0" fontId="14" fillId="11" borderId="51" xfId="8" applyFont="1" applyFill="1" applyBorder="1" applyAlignment="1">
      <alignment horizontal="center" vertical="center"/>
    </xf>
    <xf numFmtId="0" fontId="14" fillId="11" borderId="67" xfId="8" applyFont="1" applyFill="1" applyBorder="1" applyAlignment="1">
      <alignment horizontal="center" vertical="center"/>
    </xf>
    <xf numFmtId="0" fontId="14" fillId="11" borderId="68" xfId="8" applyFont="1" applyFill="1" applyBorder="1" applyAlignment="1">
      <alignment horizontal="center" vertical="center"/>
    </xf>
    <xf numFmtId="0" fontId="16" fillId="11" borderId="48" xfId="4" applyFont="1" applyFill="1" applyBorder="1" applyAlignment="1">
      <alignment horizontal="center" vertical="center"/>
    </xf>
    <xf numFmtId="0" fontId="16" fillId="11" borderId="47" xfId="4" applyFont="1" applyFill="1" applyBorder="1" applyAlignment="1">
      <alignment horizontal="center" vertical="center"/>
    </xf>
    <xf numFmtId="0" fontId="21" fillId="11" borderId="92" xfId="4" applyFont="1" applyFill="1" applyBorder="1" applyAlignment="1">
      <alignment horizontal="center" vertical="center"/>
    </xf>
    <xf numFmtId="0" fontId="16" fillId="11" borderId="62" xfId="4" applyFont="1" applyFill="1" applyBorder="1" applyAlignment="1">
      <alignment horizontal="center" vertical="center"/>
    </xf>
    <xf numFmtId="0" fontId="4" fillId="0" borderId="67" xfId="8" applyBorder="1" applyAlignment="1">
      <alignment horizontal="center" vertical="center"/>
    </xf>
    <xf numFmtId="0" fontId="4" fillId="0" borderId="28" xfId="8" applyBorder="1" applyAlignment="1">
      <alignment horizontal="center" vertical="center"/>
    </xf>
    <xf numFmtId="0" fontId="4" fillId="0" borderId="68" xfId="8" applyBorder="1" applyAlignment="1">
      <alignment horizontal="center" vertical="center"/>
    </xf>
    <xf numFmtId="0" fontId="12" fillId="11" borderId="61" xfId="4" applyFont="1" applyFill="1" applyBorder="1" applyAlignment="1">
      <alignment horizontal="center" vertical="center"/>
    </xf>
    <xf numFmtId="0" fontId="12" fillId="11" borderId="60" xfId="4" applyFont="1" applyFill="1" applyBorder="1" applyAlignment="1">
      <alignment horizontal="center" vertical="center"/>
    </xf>
    <xf numFmtId="0" fontId="12" fillId="11" borderId="59" xfId="4" applyFont="1" applyFill="1" applyBorder="1" applyAlignment="1">
      <alignment horizontal="center" vertical="center"/>
    </xf>
    <xf numFmtId="0" fontId="12" fillId="11" borderId="48" xfId="4" applyFont="1" applyFill="1" applyBorder="1" applyAlignment="1">
      <alignment horizontal="center" vertical="center"/>
    </xf>
    <xf numFmtId="0" fontId="12" fillId="11" borderId="51" xfId="4" applyFont="1" applyFill="1" applyBorder="1" applyAlignment="1">
      <alignment horizontal="center" vertical="center"/>
    </xf>
    <xf numFmtId="0" fontId="12" fillId="11" borderId="49" xfId="4" applyFont="1" applyFill="1" applyBorder="1" applyAlignment="1">
      <alignment horizontal="center" vertical="center"/>
    </xf>
    <xf numFmtId="0" fontId="10" fillId="11" borderId="30" xfId="8" applyFont="1" applyFill="1" applyBorder="1" applyAlignment="1">
      <alignment horizontal="center" vertical="center"/>
    </xf>
    <xf numFmtId="0" fontId="10" fillId="11" borderId="2" xfId="8" applyFont="1" applyFill="1" applyBorder="1" applyAlignment="1">
      <alignment horizontal="center" vertical="center"/>
    </xf>
    <xf numFmtId="1" fontId="12" fillId="6" borderId="2" xfId="8" applyNumberFormat="1" applyFont="1" applyFill="1" applyBorder="1" applyAlignment="1">
      <alignment horizontal="center" vertical="center"/>
    </xf>
    <xf numFmtId="1" fontId="12" fillId="6" borderId="8" xfId="8" applyNumberFormat="1" applyFont="1" applyFill="1" applyBorder="1" applyAlignment="1">
      <alignment horizontal="center" vertical="center"/>
    </xf>
    <xf numFmtId="0" fontId="15" fillId="6" borderId="2" xfId="8" applyFont="1" applyFill="1" applyBorder="1" applyAlignment="1">
      <alignment horizontal="center" vertical="center"/>
    </xf>
    <xf numFmtId="0" fontId="15" fillId="6" borderId="8" xfId="8" applyFont="1" applyFill="1" applyBorder="1" applyAlignment="1">
      <alignment horizontal="center" vertical="center"/>
    </xf>
    <xf numFmtId="0" fontId="12" fillId="11" borderId="86" xfId="4" applyFont="1" applyFill="1" applyBorder="1" applyAlignment="1">
      <alignment horizontal="center" vertical="center"/>
    </xf>
    <xf numFmtId="1" fontId="12" fillId="6" borderId="86" xfId="8" applyNumberFormat="1" applyFont="1" applyFill="1" applyBorder="1" applyAlignment="1">
      <alignment horizontal="center" vertical="center"/>
    </xf>
    <xf numFmtId="1" fontId="12" fillId="6" borderId="80" xfId="8" applyNumberFormat="1" applyFont="1" applyFill="1" applyBorder="1" applyAlignment="1">
      <alignment horizontal="center" vertical="center"/>
    </xf>
    <xf numFmtId="0" fontId="73" fillId="11" borderId="2" xfId="8" applyFont="1" applyFill="1" applyBorder="1" applyAlignment="1">
      <alignment horizontal="center" vertical="center"/>
    </xf>
    <xf numFmtId="0" fontId="15" fillId="11" borderId="85" xfId="8" applyFont="1" applyFill="1" applyBorder="1" applyAlignment="1">
      <alignment horizontal="center" vertical="center"/>
    </xf>
    <xf numFmtId="0" fontId="15" fillId="11" borderId="30" xfId="8" applyFont="1" applyFill="1" applyBorder="1" applyAlignment="1">
      <alignment horizontal="center" vertical="center"/>
    </xf>
    <xf numFmtId="0" fontId="15" fillId="11" borderId="86" xfId="8" applyFont="1" applyFill="1" applyBorder="1" applyAlignment="1">
      <alignment horizontal="center" vertical="center" wrapText="1"/>
    </xf>
    <xf numFmtId="0" fontId="15" fillId="11" borderId="2" xfId="8" applyFont="1" applyFill="1" applyBorder="1" applyAlignment="1">
      <alignment horizontal="center" vertical="center" wrapText="1"/>
    </xf>
    <xf numFmtId="0" fontId="15" fillId="11" borderId="86" xfId="8" applyFont="1" applyFill="1" applyBorder="1" applyAlignment="1">
      <alignment horizontal="center" vertical="center"/>
    </xf>
    <xf numFmtId="0" fontId="15" fillId="11" borderId="2" xfId="8" applyFont="1" applyFill="1" applyBorder="1" applyAlignment="1">
      <alignment horizontal="center" vertical="center"/>
    </xf>
    <xf numFmtId="0" fontId="12" fillId="3" borderId="86" xfId="4" applyFont="1" applyFill="1" applyBorder="1" applyAlignment="1">
      <alignment horizontal="left" vertical="center" wrapText="1"/>
    </xf>
    <xf numFmtId="0" fontId="12" fillId="3" borderId="87" xfId="4" applyFont="1" applyFill="1" applyBorder="1" applyAlignment="1">
      <alignment horizontal="left" vertical="center" wrapText="1"/>
    </xf>
    <xf numFmtId="0" fontId="15" fillId="11" borderId="27" xfId="8" applyFont="1" applyFill="1" applyBorder="1" applyAlignment="1" applyProtection="1">
      <alignment horizontal="center" vertical="center"/>
      <protection locked="0"/>
    </xf>
    <xf numFmtId="0" fontId="15" fillId="11" borderId="15" xfId="8" applyFont="1" applyFill="1" applyBorder="1" applyAlignment="1" applyProtection="1">
      <alignment horizontal="center" vertical="center"/>
      <protection locked="0"/>
    </xf>
    <xf numFmtId="0" fontId="15" fillId="11" borderId="70" xfId="8" applyFont="1" applyFill="1" applyBorder="1" applyAlignment="1" applyProtection="1">
      <alignment horizontal="center" vertical="center"/>
      <protection locked="0"/>
    </xf>
    <xf numFmtId="0" fontId="15" fillId="11" borderId="26" xfId="8" applyFont="1" applyFill="1" applyBorder="1" applyAlignment="1" applyProtection="1">
      <alignment horizontal="center" vertical="center"/>
      <protection locked="0"/>
    </xf>
    <xf numFmtId="0" fontId="12" fillId="3" borderId="2" xfId="8" applyFont="1" applyFill="1" applyBorder="1" applyAlignment="1">
      <alignment horizontal="center" vertical="center" wrapText="1"/>
    </xf>
    <xf numFmtId="0" fontId="15" fillId="3" borderId="29" xfId="4" applyFont="1" applyFill="1" applyBorder="1" applyAlignment="1">
      <alignment horizontal="center" vertical="center" wrapText="1"/>
    </xf>
    <xf numFmtId="0" fontId="10" fillId="3" borderId="67" xfId="8" applyFont="1" applyFill="1" applyBorder="1" applyAlignment="1">
      <alignment horizontal="center" vertical="center"/>
    </xf>
    <xf numFmtId="0" fontId="10" fillId="3" borderId="68" xfId="8" applyFont="1" applyFill="1" applyBorder="1" applyAlignment="1">
      <alignment horizontal="center" vertical="center"/>
    </xf>
    <xf numFmtId="0" fontId="12" fillId="3" borderId="48" xfId="8" applyFont="1" applyFill="1" applyBorder="1" applyAlignment="1">
      <alignment horizontal="center" vertical="center"/>
    </xf>
    <xf numFmtId="0" fontId="12" fillId="3" borderId="51" xfId="8" applyFont="1" applyFill="1" applyBorder="1" applyAlignment="1">
      <alignment horizontal="center" vertical="center"/>
    </xf>
    <xf numFmtId="0" fontId="12" fillId="3" borderId="49" xfId="8" applyFont="1" applyFill="1" applyBorder="1" applyAlignment="1">
      <alignment horizontal="center" vertical="center"/>
    </xf>
    <xf numFmtId="0" fontId="15" fillId="11" borderId="55" xfId="8" applyFont="1" applyFill="1" applyBorder="1" applyAlignment="1" applyProtection="1">
      <alignment horizontal="center" vertical="center"/>
      <protection locked="0"/>
    </xf>
    <xf numFmtId="0" fontId="15" fillId="11" borderId="22" xfId="8" applyFont="1" applyFill="1" applyBorder="1" applyAlignment="1" applyProtection="1">
      <alignment horizontal="center" vertical="center"/>
      <protection locked="0"/>
    </xf>
    <xf numFmtId="0" fontId="15" fillId="11" borderId="60" xfId="8" applyFont="1" applyFill="1" applyBorder="1" applyAlignment="1" applyProtection="1">
      <alignment horizontal="center" vertical="center"/>
      <protection locked="0"/>
    </xf>
    <xf numFmtId="0" fontId="15" fillId="11" borderId="42" xfId="8" applyFont="1" applyFill="1" applyBorder="1" applyAlignment="1" applyProtection="1">
      <alignment horizontal="center" vertical="center"/>
      <protection locked="0"/>
    </xf>
    <xf numFmtId="0" fontId="15" fillId="3" borderId="2" xfId="4" applyFont="1" applyFill="1" applyBorder="1" applyAlignment="1">
      <alignment horizontal="center" vertical="center"/>
    </xf>
    <xf numFmtId="0" fontId="12" fillId="3" borderId="80" xfId="4" applyFont="1" applyFill="1" applyBorder="1" applyAlignment="1">
      <alignment horizontal="left" vertical="center" wrapText="1"/>
    </xf>
    <xf numFmtId="0" fontId="12" fillId="3" borderId="22" xfId="4" applyFont="1" applyFill="1" applyBorder="1" applyAlignment="1">
      <alignment horizontal="left" vertical="center" wrapText="1"/>
    </xf>
    <xf numFmtId="0" fontId="12" fillId="3" borderId="42" xfId="4" applyFont="1" applyFill="1" applyBorder="1" applyAlignment="1">
      <alignment horizontal="left" vertical="center" wrapText="1"/>
    </xf>
    <xf numFmtId="0" fontId="73" fillId="3" borderId="2" xfId="8" applyFont="1" applyFill="1" applyBorder="1" applyAlignment="1">
      <alignment horizontal="center" vertical="center"/>
    </xf>
    <xf numFmtId="0" fontId="73" fillId="3" borderId="8" xfId="8" applyFont="1" applyFill="1" applyBorder="1" applyAlignment="1">
      <alignment horizontal="center" vertical="center"/>
    </xf>
    <xf numFmtId="0" fontId="10" fillId="3" borderId="4" xfId="8" applyFont="1" applyFill="1" applyBorder="1" applyAlignment="1">
      <alignment horizontal="center"/>
    </xf>
    <xf numFmtId="0" fontId="10" fillId="3" borderId="1" xfId="8" applyFont="1" applyFill="1" applyBorder="1" applyAlignment="1">
      <alignment horizontal="center"/>
    </xf>
    <xf numFmtId="0" fontId="73" fillId="3" borderId="29" xfId="8" applyFont="1" applyFill="1" applyBorder="1" applyAlignment="1">
      <alignment horizontal="center" vertical="center"/>
    </xf>
    <xf numFmtId="0" fontId="12" fillId="3" borderId="95" xfId="8" applyFont="1" applyFill="1" applyBorder="1" applyAlignment="1">
      <alignment horizontal="center" vertical="center" wrapText="1"/>
    </xf>
    <xf numFmtId="0" fontId="12" fillId="3" borderId="91" xfId="8" applyFont="1" applyFill="1" applyBorder="1" applyAlignment="1">
      <alignment horizontal="center" vertical="center" wrapText="1"/>
    </xf>
    <xf numFmtId="0" fontId="12" fillId="3" borderId="75" xfId="8" applyFont="1" applyFill="1" applyBorder="1" applyAlignment="1">
      <alignment horizontal="center" vertical="center" wrapText="1"/>
    </xf>
    <xf numFmtId="0" fontId="16" fillId="11" borderId="45" xfId="4" applyFont="1" applyFill="1" applyBorder="1" applyAlignment="1">
      <alignment horizontal="center"/>
    </xf>
    <xf numFmtId="0" fontId="16" fillId="11" borderId="7" xfId="4" applyFont="1" applyFill="1" applyBorder="1" applyAlignment="1">
      <alignment horizontal="center"/>
    </xf>
    <xf numFmtId="0" fontId="16" fillId="11" borderId="6" xfId="4" applyFont="1" applyFill="1" applyBorder="1" applyAlignment="1">
      <alignment horizontal="center"/>
    </xf>
    <xf numFmtId="0" fontId="14" fillId="11" borderId="4" xfId="4" applyFont="1" applyFill="1" applyBorder="1" applyAlignment="1">
      <alignment horizontal="center" vertical="center"/>
    </xf>
    <xf numFmtId="0" fontId="14" fillId="11" borderId="3" xfId="4" applyFont="1" applyFill="1" applyBorder="1" applyAlignment="1">
      <alignment horizontal="center" vertical="center"/>
    </xf>
    <xf numFmtId="0" fontId="14" fillId="11" borderId="1" xfId="4" applyFont="1" applyFill="1" applyBorder="1" applyAlignment="1">
      <alignment horizontal="center" vertical="center"/>
    </xf>
    <xf numFmtId="0" fontId="6" fillId="11" borderId="96" xfId="4" applyFont="1" applyFill="1" applyBorder="1" applyAlignment="1">
      <alignment horizontal="center" vertical="center"/>
    </xf>
    <xf numFmtId="0" fontId="6" fillId="11" borderId="77" xfId="4" applyFont="1" applyFill="1" applyBorder="1" applyAlignment="1">
      <alignment horizontal="center" vertical="center"/>
    </xf>
    <xf numFmtId="0" fontId="6" fillId="11" borderId="33" xfId="4" applyFont="1" applyFill="1" applyBorder="1" applyAlignment="1">
      <alignment horizontal="center" vertical="center"/>
    </xf>
    <xf numFmtId="0" fontId="14" fillId="11" borderId="2" xfId="4" applyFont="1" applyFill="1" applyBorder="1" applyAlignment="1">
      <alignment horizontal="center" vertical="center"/>
    </xf>
    <xf numFmtId="0" fontId="14" fillId="11" borderId="8" xfId="4" applyFont="1" applyFill="1" applyBorder="1" applyAlignment="1">
      <alignment horizontal="center" vertical="center"/>
    </xf>
    <xf numFmtId="0" fontId="14" fillId="11" borderId="7" xfId="4" applyFont="1" applyFill="1" applyBorder="1" applyAlignment="1">
      <alignment horizontal="center" vertical="center"/>
    </xf>
    <xf numFmtId="0" fontId="14" fillId="11" borderId="6" xfId="4" applyFont="1" applyFill="1" applyBorder="1" applyAlignment="1">
      <alignment horizontal="center" vertical="center"/>
    </xf>
    <xf numFmtId="1" fontId="6" fillId="11" borderId="67" xfId="4" applyNumberFormat="1" applyFont="1" applyFill="1" applyBorder="1" applyAlignment="1">
      <alignment horizontal="center" vertical="center" wrapText="1"/>
    </xf>
    <xf numFmtId="1" fontId="6" fillId="11" borderId="28" xfId="4" applyNumberFormat="1" applyFont="1" applyFill="1" applyBorder="1" applyAlignment="1">
      <alignment horizontal="center" vertical="center" wrapText="1"/>
    </xf>
    <xf numFmtId="1" fontId="6" fillId="11" borderId="68" xfId="4" applyNumberFormat="1" applyFont="1" applyFill="1" applyBorder="1" applyAlignment="1">
      <alignment horizontal="center" vertical="center" wrapText="1"/>
    </xf>
    <xf numFmtId="0" fontId="16" fillId="11" borderId="85" xfId="4" applyFont="1" applyFill="1" applyBorder="1" applyAlignment="1">
      <alignment horizontal="center"/>
    </xf>
    <xf numFmtId="0" fontId="16" fillId="11" borderId="86" xfId="4" applyFont="1" applyFill="1" applyBorder="1" applyAlignment="1">
      <alignment horizontal="center"/>
    </xf>
    <xf numFmtId="0" fontId="14" fillId="11" borderId="86" xfId="4" applyFont="1" applyFill="1" applyBorder="1" applyAlignment="1">
      <alignment horizontal="center" vertical="center"/>
    </xf>
    <xf numFmtId="0" fontId="6" fillId="11" borderId="87" xfId="4" applyFont="1" applyFill="1" applyBorder="1" applyAlignment="1">
      <alignment horizontal="center" vertical="center"/>
    </xf>
    <xf numFmtId="0" fontId="6" fillId="11" borderId="29" xfId="4" applyFont="1" applyFill="1" applyBorder="1" applyAlignment="1">
      <alignment horizontal="center" vertical="center"/>
    </xf>
    <xf numFmtId="0" fontId="14" fillId="11" borderId="22" xfId="4" applyFont="1" applyFill="1" applyBorder="1" applyAlignment="1">
      <alignment horizontal="center" vertical="center"/>
    </xf>
    <xf numFmtId="0" fontId="14" fillId="11" borderId="9" xfId="4" applyFont="1" applyFill="1" applyBorder="1" applyAlignment="1">
      <alignment horizontal="center" vertical="center"/>
    </xf>
    <xf numFmtId="0" fontId="6" fillId="11" borderId="81" xfId="4" applyFont="1" applyFill="1" applyBorder="1" applyAlignment="1">
      <alignment horizontal="center" vertical="center"/>
    </xf>
    <xf numFmtId="0" fontId="6" fillId="11" borderId="82" xfId="4" applyFont="1" applyFill="1" applyBorder="1" applyAlignment="1">
      <alignment horizontal="center" vertical="center"/>
    </xf>
    <xf numFmtId="0" fontId="6" fillId="11" borderId="88" xfId="4" applyFont="1" applyFill="1" applyBorder="1" applyAlignment="1">
      <alignment horizontal="center" vertical="center"/>
    </xf>
    <xf numFmtId="0" fontId="16" fillId="11" borderId="30" xfId="4" applyFont="1" applyFill="1" applyBorder="1" applyAlignment="1">
      <alignment horizontal="center"/>
    </xf>
    <xf numFmtId="0" fontId="16" fillId="11" borderId="2" xfId="4" applyFont="1" applyFill="1" applyBorder="1" applyAlignment="1">
      <alignment horizontal="center"/>
    </xf>
    <xf numFmtId="0" fontId="4" fillId="0" borderId="0" xfId="4" applyAlignment="1">
      <alignment horizontal="center" wrapText="1"/>
    </xf>
    <xf numFmtId="0" fontId="58" fillId="3" borderId="4" xfId="4" applyFont="1" applyFill="1" applyBorder="1" applyAlignment="1">
      <alignment horizontal="center" vertical="top" wrapText="1"/>
    </xf>
    <xf numFmtId="0" fontId="58" fillId="3" borderId="3" xfId="4" applyFont="1" applyFill="1" applyBorder="1" applyAlignment="1">
      <alignment horizontal="center" vertical="top" wrapText="1"/>
    </xf>
    <xf numFmtId="0" fontId="58" fillId="3" borderId="1" xfId="4" applyFont="1" applyFill="1" applyBorder="1" applyAlignment="1">
      <alignment horizontal="center" vertical="top" wrapText="1"/>
    </xf>
    <xf numFmtId="0" fontId="12" fillId="3" borderId="4" xfId="4" applyFont="1" applyFill="1" applyBorder="1" applyAlignment="1">
      <alignment horizontal="center" vertical="top" wrapText="1"/>
    </xf>
    <xf numFmtId="0" fontId="12" fillId="3" borderId="3" xfId="4" applyFont="1" applyFill="1" applyBorder="1" applyAlignment="1">
      <alignment horizontal="center" vertical="top" wrapText="1"/>
    </xf>
    <xf numFmtId="0" fontId="12" fillId="3" borderId="1" xfId="4" applyFont="1" applyFill="1" applyBorder="1" applyAlignment="1">
      <alignment horizontal="center" vertical="top" wrapText="1"/>
    </xf>
    <xf numFmtId="0" fontId="6" fillId="0" borderId="8" xfId="4" applyFont="1" applyBorder="1" applyAlignment="1">
      <alignment horizontal="center" vertical="center"/>
    </xf>
    <xf numFmtId="0" fontId="6" fillId="0" borderId="7" xfId="4" applyFont="1" applyBorder="1" applyAlignment="1">
      <alignment horizontal="center" vertical="center"/>
    </xf>
    <xf numFmtId="0" fontId="6" fillId="0" borderId="6" xfId="4" applyFont="1" applyBorder="1" applyAlignment="1">
      <alignment horizontal="center" vertical="center"/>
    </xf>
    <xf numFmtId="0" fontId="12" fillId="3" borderId="0" xfId="4" applyFont="1" applyFill="1" applyAlignment="1">
      <alignment horizontal="center" vertical="center" wrapText="1"/>
    </xf>
    <xf numFmtId="1" fontId="53" fillId="6" borderId="81" xfId="4" applyNumberFormat="1" applyFont="1" applyFill="1" applyBorder="1" applyAlignment="1">
      <alignment horizontal="center" vertical="center" wrapText="1"/>
    </xf>
    <xf numFmtId="1" fontId="53" fillId="6" borderId="82" xfId="4" applyNumberFormat="1" applyFont="1" applyFill="1" applyBorder="1" applyAlignment="1">
      <alignment horizontal="center" vertical="center" wrapText="1"/>
    </xf>
    <xf numFmtId="1" fontId="53" fillId="6" borderId="84" xfId="4" applyNumberFormat="1" applyFont="1" applyFill="1" applyBorder="1" applyAlignment="1">
      <alignment horizontal="center" vertical="center" wrapText="1"/>
    </xf>
    <xf numFmtId="1" fontId="78" fillId="3" borderId="6" xfId="4" applyNumberFormat="1" applyFont="1" applyFill="1" applyBorder="1" applyAlignment="1">
      <alignment horizontal="center" vertical="center" wrapText="1"/>
    </xf>
    <xf numFmtId="1" fontId="78" fillId="3" borderId="2" xfId="4" applyNumberFormat="1" applyFont="1" applyFill="1" applyBorder="1" applyAlignment="1">
      <alignment horizontal="center" vertical="center" wrapText="1"/>
    </xf>
    <xf numFmtId="1" fontId="6" fillId="3" borderId="45" xfId="4" applyNumberFormat="1" applyFont="1" applyFill="1" applyBorder="1" applyAlignment="1">
      <alignment horizontal="center" vertical="center" wrapText="1"/>
    </xf>
    <xf numFmtId="1" fontId="6" fillId="3" borderId="7" xfId="4" applyNumberFormat="1" applyFont="1" applyFill="1" applyBorder="1" applyAlignment="1">
      <alignment horizontal="center" vertical="center" wrapText="1"/>
    </xf>
    <xf numFmtId="1" fontId="6" fillId="3" borderId="6" xfId="4" applyNumberFormat="1" applyFont="1" applyFill="1" applyBorder="1" applyAlignment="1">
      <alignment horizontal="center" vertical="center" wrapText="1"/>
    </xf>
    <xf numFmtId="1" fontId="4" fillId="3" borderId="8" xfId="4" applyNumberFormat="1" applyFill="1" applyBorder="1" applyAlignment="1">
      <alignment horizontal="center" vertical="center" wrapText="1"/>
    </xf>
    <xf numFmtId="1" fontId="4" fillId="3" borderId="7" xfId="4" applyNumberFormat="1" applyFill="1" applyBorder="1" applyAlignment="1">
      <alignment horizontal="center" vertical="center" wrapText="1"/>
    </xf>
    <xf numFmtId="1" fontId="4" fillId="3" borderId="6" xfId="4" applyNumberFormat="1" applyFill="1" applyBorder="1" applyAlignment="1">
      <alignment horizontal="center" vertical="center" wrapText="1"/>
    </xf>
    <xf numFmtId="0" fontId="79" fillId="3" borderId="2" xfId="4" applyFont="1" applyFill="1" applyBorder="1" applyAlignment="1">
      <alignment horizontal="center" vertical="center"/>
    </xf>
    <xf numFmtId="0" fontId="68" fillId="0" borderId="8" xfId="4" applyFont="1" applyBorder="1" applyAlignment="1">
      <alignment horizontal="center"/>
    </xf>
    <xf numFmtId="0" fontId="68" fillId="0" borderId="7" xfId="4" applyFont="1" applyBorder="1" applyAlignment="1">
      <alignment horizontal="center"/>
    </xf>
    <xf numFmtId="0" fontId="68" fillId="0" borderId="6" xfId="4" applyFont="1" applyBorder="1" applyAlignment="1">
      <alignment horizontal="center"/>
    </xf>
    <xf numFmtId="2" fontId="14" fillId="3" borderId="8" xfId="0" applyNumberFormat="1" applyFont="1" applyFill="1" applyBorder="1" applyAlignment="1">
      <alignment horizontal="center" vertical="center"/>
    </xf>
    <xf numFmtId="2" fontId="14" fillId="3" borderId="7" xfId="0" applyNumberFormat="1" applyFont="1" applyFill="1" applyBorder="1" applyAlignment="1">
      <alignment horizontal="center" vertical="center"/>
    </xf>
    <xf numFmtId="2" fontId="14" fillId="3" borderId="6" xfId="0" applyNumberFormat="1" applyFont="1" applyFill="1" applyBorder="1" applyAlignment="1">
      <alignment horizontal="center" vertical="center"/>
    </xf>
    <xf numFmtId="2" fontId="0" fillId="3" borderId="45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10" fillId="3" borderId="8" xfId="0" applyNumberFormat="1" applyFont="1" applyFill="1" applyBorder="1" applyAlignment="1">
      <alignment horizontal="center"/>
    </xf>
    <xf numFmtId="2" fontId="10" fillId="3" borderId="7" xfId="0" applyNumberFormat="1" applyFont="1" applyFill="1" applyBorder="1" applyAlignment="1">
      <alignment horizontal="center"/>
    </xf>
    <xf numFmtId="2" fontId="10" fillId="3" borderId="6" xfId="0" applyNumberFormat="1" applyFon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2" fontId="0" fillId="3" borderId="38" xfId="0" applyNumberFormat="1" applyFill="1" applyBorder="1" applyAlignment="1">
      <alignment horizontal="center"/>
    </xf>
    <xf numFmtId="2" fontId="13" fillId="5" borderId="61" xfId="0" applyNumberFormat="1" applyFont="1" applyFill="1" applyBorder="1" applyAlignment="1">
      <alignment horizontal="center" vertical="center"/>
    </xf>
    <xf numFmtId="2" fontId="13" fillId="5" borderId="60" xfId="0" applyNumberFormat="1" applyFont="1" applyFill="1" applyBorder="1" applyAlignment="1">
      <alignment horizontal="center" vertical="center"/>
    </xf>
    <xf numFmtId="2" fontId="13" fillId="5" borderId="59" xfId="0" applyNumberFormat="1" applyFont="1" applyFill="1" applyBorder="1" applyAlignment="1">
      <alignment horizontal="center" vertical="center"/>
    </xf>
    <xf numFmtId="2" fontId="70" fillId="9" borderId="30" xfId="4" applyNumberFormat="1" applyFont="1" applyFill="1" applyBorder="1" applyAlignment="1">
      <alignment horizontal="center" vertical="center"/>
    </xf>
    <xf numFmtId="2" fontId="70" fillId="9" borderId="6" xfId="4" applyNumberFormat="1" applyFont="1" applyFill="1" applyBorder="1" applyAlignment="1">
      <alignment horizontal="center" vertical="center"/>
    </xf>
    <xf numFmtId="2" fontId="70" fillId="9" borderId="2" xfId="4" applyNumberFormat="1" applyFont="1" applyFill="1" applyBorder="1" applyAlignment="1">
      <alignment horizontal="center" vertical="center"/>
    </xf>
    <xf numFmtId="2" fontId="14" fillId="3" borderId="2" xfId="0" applyNumberFormat="1" applyFont="1" applyFill="1" applyBorder="1" applyAlignment="1">
      <alignment horizontal="center" vertical="center"/>
    </xf>
    <xf numFmtId="2" fontId="14" fillId="3" borderId="2" xfId="0" applyNumberFormat="1" applyFont="1" applyFill="1" applyBorder="1" applyAlignment="1">
      <alignment horizontal="center" vertical="center" wrapText="1"/>
    </xf>
    <xf numFmtId="2" fontId="14" fillId="3" borderId="29" xfId="0" applyNumberFormat="1" applyFont="1" applyFill="1" applyBorder="1" applyAlignment="1">
      <alignment horizontal="center" vertical="center" wrapText="1"/>
    </xf>
    <xf numFmtId="2" fontId="8" fillId="9" borderId="8" xfId="4" applyNumberFormat="1" applyFont="1" applyFill="1" applyBorder="1" applyAlignment="1">
      <alignment horizontal="center"/>
    </xf>
    <xf numFmtId="2" fontId="8" fillId="9" borderId="7" xfId="4" applyNumberFormat="1" applyFont="1" applyFill="1" applyBorder="1" applyAlignment="1">
      <alignment horizontal="center"/>
    </xf>
    <xf numFmtId="2" fontId="8" fillId="9" borderId="6" xfId="4" applyNumberFormat="1" applyFont="1" applyFill="1" applyBorder="1" applyAlignment="1">
      <alignment horizontal="center"/>
    </xf>
    <xf numFmtId="2" fontId="70" fillId="9" borderId="30" xfId="4" applyNumberFormat="1" applyFont="1" applyFill="1" applyBorder="1" applyAlignment="1">
      <alignment horizontal="center"/>
    </xf>
    <xf numFmtId="2" fontId="70" fillId="9" borderId="6" xfId="4" applyNumberFormat="1" applyFont="1" applyFill="1" applyBorder="1" applyAlignment="1">
      <alignment horizontal="center"/>
    </xf>
    <xf numFmtId="2" fontId="70" fillId="9" borderId="2" xfId="4" applyNumberFormat="1" applyFont="1" applyFill="1" applyBorder="1" applyAlignment="1">
      <alignment horizontal="center"/>
    </xf>
    <xf numFmtId="2" fontId="8" fillId="9" borderId="45" xfId="4" applyNumberFormat="1" applyFont="1" applyFill="1" applyBorder="1" applyAlignment="1">
      <alignment horizontal="center"/>
    </xf>
    <xf numFmtId="2" fontId="0" fillId="3" borderId="46" xfId="0" applyNumberFormat="1" applyFill="1" applyBorder="1" applyAlignment="1">
      <alignment horizontal="center"/>
    </xf>
    <xf numFmtId="2" fontId="0" fillId="3" borderId="52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2" fontId="10" fillId="3" borderId="11" xfId="0" applyNumberFormat="1" applyFont="1" applyFill="1" applyBorder="1" applyAlignment="1">
      <alignment horizontal="center"/>
    </xf>
    <xf numFmtId="2" fontId="10" fillId="3" borderId="52" xfId="0" applyNumberFormat="1" applyFont="1" applyFill="1" applyBorder="1" applyAlignment="1">
      <alignment horizontal="center"/>
    </xf>
    <xf numFmtId="2" fontId="10" fillId="3" borderId="12" xfId="0" applyNumberFormat="1" applyFont="1" applyFill="1" applyBorder="1" applyAlignment="1">
      <alignment horizontal="center"/>
    </xf>
    <xf numFmtId="2" fontId="6" fillId="0" borderId="87" xfId="0" applyNumberFormat="1" applyFont="1" applyBorder="1" applyAlignment="1">
      <alignment horizontal="center" vertical="center" wrapText="1"/>
    </xf>
    <xf numFmtId="2" fontId="6" fillId="0" borderId="29" xfId="0" applyNumberFormat="1" applyFont="1" applyBorder="1" applyAlignment="1">
      <alignment horizontal="center" vertical="center" wrapText="1"/>
    </xf>
    <xf numFmtId="2" fontId="10" fillId="10" borderId="41" xfId="0" applyNumberFormat="1" applyFont="1" applyFill="1" applyBorder="1" applyAlignment="1">
      <alignment horizontal="center" vertical="center"/>
    </xf>
    <xf numFmtId="2" fontId="10" fillId="10" borderId="91" xfId="0" applyNumberFormat="1" applyFont="1" applyFill="1" applyBorder="1" applyAlignment="1">
      <alignment horizontal="center" vertical="center"/>
    </xf>
    <xf numFmtId="2" fontId="10" fillId="10" borderId="91" xfId="0" applyNumberFormat="1" applyFont="1" applyFill="1" applyBorder="1" applyAlignment="1">
      <alignment horizontal="center" vertical="center" wrapText="1"/>
    </xf>
    <xf numFmtId="2" fontId="0" fillId="5" borderId="92" xfId="0" applyNumberFormat="1" applyFill="1" applyBorder="1" applyAlignment="1">
      <alignment horizontal="center" vertical="center"/>
    </xf>
    <xf numFmtId="2" fontId="0" fillId="5" borderId="93" xfId="0" applyNumberFormat="1" applyFill="1" applyBorder="1" applyAlignment="1">
      <alignment horizontal="center" vertical="center"/>
    </xf>
    <xf numFmtId="2" fontId="0" fillId="5" borderId="14" xfId="0" applyNumberFormat="1" applyFill="1" applyBorder="1" applyAlignment="1">
      <alignment horizontal="center" vertical="center"/>
    </xf>
    <xf numFmtId="2" fontId="15" fillId="10" borderId="85" xfId="0" applyNumberFormat="1" applyFont="1" applyFill="1" applyBorder="1" applyAlignment="1">
      <alignment horizontal="center" vertical="center" wrapText="1"/>
    </xf>
    <xf numFmtId="2" fontId="15" fillId="10" borderId="30" xfId="0" applyNumberFormat="1" applyFont="1" applyFill="1" applyBorder="1" applyAlignment="1">
      <alignment horizontal="center" vertical="center" wrapText="1"/>
    </xf>
    <xf numFmtId="2" fontId="15" fillId="10" borderId="95" xfId="0" applyNumberFormat="1" applyFont="1" applyFill="1" applyBorder="1" applyAlignment="1">
      <alignment horizontal="center" vertical="center" wrapText="1"/>
    </xf>
    <xf numFmtId="2" fontId="15" fillId="10" borderId="40" xfId="0" applyNumberFormat="1" applyFont="1" applyFill="1" applyBorder="1" applyAlignment="1">
      <alignment horizontal="center" vertical="center" wrapText="1"/>
    </xf>
    <xf numFmtId="2" fontId="15" fillId="10" borderId="3" xfId="0" applyNumberFormat="1" applyFont="1" applyFill="1" applyBorder="1" applyAlignment="1">
      <alignment horizontal="center" vertical="center" wrapText="1"/>
    </xf>
    <xf numFmtId="2" fontId="15" fillId="10" borderId="70" xfId="0" applyNumberFormat="1" applyFont="1" applyFill="1" applyBorder="1" applyAlignment="1">
      <alignment horizontal="center" vertical="center" wrapText="1"/>
    </xf>
    <xf numFmtId="2" fontId="73" fillId="10" borderId="86" xfId="0" applyNumberFormat="1" applyFont="1" applyFill="1" applyBorder="1" applyAlignment="1">
      <alignment horizontal="center" vertical="center" wrapText="1"/>
    </xf>
    <xf numFmtId="2" fontId="73" fillId="10" borderId="2" xfId="0" applyNumberFormat="1" applyFont="1" applyFill="1" applyBorder="1" applyAlignment="1">
      <alignment horizontal="center" vertical="center" wrapText="1"/>
    </xf>
    <xf numFmtId="2" fontId="73" fillId="10" borderId="86" xfId="0" applyNumberFormat="1" applyFont="1" applyFill="1" applyBorder="1" applyAlignment="1">
      <alignment horizontal="center" vertical="center"/>
    </xf>
    <xf numFmtId="2" fontId="73" fillId="10" borderId="2" xfId="0" applyNumberFormat="1" applyFont="1" applyFill="1" applyBorder="1" applyAlignment="1">
      <alignment horizontal="center" vertical="center"/>
    </xf>
    <xf numFmtId="2" fontId="73" fillId="10" borderId="40" xfId="0" applyNumberFormat="1" applyFont="1" applyFill="1" applyBorder="1" applyAlignment="1">
      <alignment horizontal="center" vertical="center"/>
    </xf>
    <xf numFmtId="2" fontId="73" fillId="10" borderId="3" xfId="0" applyNumberFormat="1" applyFont="1" applyFill="1" applyBorder="1" applyAlignment="1">
      <alignment horizontal="center" vertical="center"/>
    </xf>
    <xf numFmtId="2" fontId="73" fillId="10" borderId="70" xfId="0" applyNumberFormat="1" applyFont="1" applyFill="1" applyBorder="1" applyAlignment="1">
      <alignment horizontal="center" vertical="center"/>
    </xf>
    <xf numFmtId="2" fontId="73" fillId="10" borderId="4" xfId="0" applyNumberFormat="1" applyFont="1" applyFill="1" applyBorder="1" applyAlignment="1">
      <alignment horizontal="center" vertical="center" wrapText="1"/>
    </xf>
    <xf numFmtId="2" fontId="15" fillId="10" borderId="86" xfId="0" applyNumberFormat="1" applyFont="1" applyFill="1" applyBorder="1" applyAlignment="1">
      <alignment horizontal="center" vertical="center" wrapText="1"/>
    </xf>
    <xf numFmtId="2" fontId="15" fillId="10" borderId="2" xfId="0" applyNumberFormat="1" applyFont="1" applyFill="1" applyBorder="1" applyAlignment="1">
      <alignment horizontal="center" vertical="center" wrapText="1"/>
    </xf>
    <xf numFmtId="2" fontId="10" fillId="10" borderId="41" xfId="0" applyNumberFormat="1" applyFont="1" applyFill="1" applyBorder="1" applyAlignment="1">
      <alignment horizontal="center" vertical="center" wrapText="1"/>
    </xf>
    <xf numFmtId="2" fontId="10" fillId="10" borderId="85" xfId="0" applyNumberFormat="1" applyFont="1" applyFill="1" applyBorder="1" applyAlignment="1">
      <alignment horizontal="center" vertical="center" wrapText="1"/>
    </xf>
    <xf numFmtId="2" fontId="10" fillId="10" borderId="30" xfId="0" applyNumberFormat="1" applyFont="1" applyFill="1" applyBorder="1" applyAlignment="1">
      <alignment horizontal="center" vertical="center" wrapText="1"/>
    </xf>
    <xf numFmtId="2" fontId="10" fillId="10" borderId="95" xfId="0" applyNumberFormat="1" applyFont="1" applyFill="1" applyBorder="1" applyAlignment="1">
      <alignment horizontal="center" vertical="center" wrapText="1"/>
    </xf>
    <xf numFmtId="2" fontId="10" fillId="3" borderId="85" xfId="0" applyNumberFormat="1" applyFont="1" applyFill="1" applyBorder="1" applyAlignment="1">
      <alignment horizontal="center" vertical="center" wrapText="1"/>
    </xf>
    <xf numFmtId="2" fontId="10" fillId="3" borderId="30" xfId="0" applyNumberFormat="1" applyFont="1" applyFill="1" applyBorder="1" applyAlignment="1">
      <alignment horizontal="center" vertical="center" wrapText="1"/>
    </xf>
    <xf numFmtId="2" fontId="10" fillId="3" borderId="95" xfId="0" applyNumberFormat="1" applyFont="1" applyFill="1" applyBorder="1" applyAlignment="1">
      <alignment horizontal="center" vertical="center" wrapText="1"/>
    </xf>
    <xf numFmtId="2" fontId="73" fillId="10" borderId="1" xfId="0" applyNumberFormat="1" applyFont="1" applyFill="1" applyBorder="1" applyAlignment="1">
      <alignment horizontal="center" vertical="center"/>
    </xf>
    <xf numFmtId="2" fontId="14" fillId="3" borderId="0" xfId="0" applyNumberFormat="1" applyFont="1" applyFill="1" applyAlignment="1">
      <alignment horizontal="center" vertical="center" wrapText="1"/>
    </xf>
    <xf numFmtId="2" fontId="15" fillId="3" borderId="85" xfId="0" applyNumberFormat="1" applyFont="1" applyFill="1" applyBorder="1" applyAlignment="1">
      <alignment horizontal="center" vertical="center"/>
    </xf>
    <xf numFmtId="2" fontId="15" fillId="3" borderId="79" xfId="0" applyNumberFormat="1" applyFont="1" applyFill="1" applyBorder="1" applyAlignment="1">
      <alignment horizontal="center" vertical="center"/>
    </xf>
    <xf numFmtId="2" fontId="15" fillId="3" borderId="86" xfId="0" applyNumberFormat="1" applyFont="1" applyFill="1" applyBorder="1" applyAlignment="1">
      <alignment horizontal="center" vertical="center"/>
    </xf>
    <xf numFmtId="2" fontId="15" fillId="3" borderId="87" xfId="0" applyNumberFormat="1" applyFont="1" applyFill="1" applyBorder="1" applyAlignment="1">
      <alignment horizontal="center" vertical="center"/>
    </xf>
    <xf numFmtId="2" fontId="13" fillId="3" borderId="85" xfId="0" applyNumberFormat="1" applyFont="1" applyFill="1" applyBorder="1" applyAlignment="1">
      <alignment horizontal="center" vertical="center"/>
    </xf>
    <xf numFmtId="2" fontId="13" fillId="3" borderId="86" xfId="0" applyNumberFormat="1" applyFont="1" applyFill="1" applyBorder="1" applyAlignment="1">
      <alignment horizontal="center" vertical="center"/>
    </xf>
    <xf numFmtId="2" fontId="13" fillId="3" borderId="87" xfId="0" applyNumberFormat="1" applyFont="1" applyFill="1" applyBorder="1" applyAlignment="1">
      <alignment horizontal="center" vertical="center"/>
    </xf>
    <xf numFmtId="2" fontId="27" fillId="3" borderId="48" xfId="0" applyNumberFormat="1" applyFont="1" applyFill="1" applyBorder="1" applyAlignment="1">
      <alignment horizontal="center" vertical="center"/>
    </xf>
    <xf numFmtId="2" fontId="27" fillId="3" borderId="51" xfId="0" applyNumberFormat="1" applyFont="1" applyFill="1" applyBorder="1" applyAlignment="1">
      <alignment horizontal="center" vertical="center"/>
    </xf>
    <xf numFmtId="2" fontId="27" fillId="3" borderId="49" xfId="0" applyNumberFormat="1" applyFont="1" applyFill="1" applyBorder="1" applyAlignment="1">
      <alignment horizontal="center" vertical="center"/>
    </xf>
    <xf numFmtId="2" fontId="0" fillId="0" borderId="44" xfId="0" applyNumberFormat="1" applyBorder="1" applyAlignment="1">
      <alignment horizontal="left" vertical="center"/>
    </xf>
    <xf numFmtId="2" fontId="0" fillId="0" borderId="83" xfId="0" applyNumberFormat="1" applyBorder="1" applyAlignment="1">
      <alignment horizontal="left" vertical="center"/>
    </xf>
    <xf numFmtId="2" fontId="0" fillId="0" borderId="34" xfId="0" applyNumberFormat="1" applyBorder="1" applyAlignment="1">
      <alignment horizontal="left" vertical="center"/>
    </xf>
    <xf numFmtId="2" fontId="4" fillId="0" borderId="85" xfId="0" applyNumberFormat="1" applyFont="1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10" fillId="10" borderId="69" xfId="0" applyNumberFormat="1" applyFont="1" applyFill="1" applyBorder="1" applyAlignment="1">
      <alignment horizontal="center" vertical="center" wrapText="1"/>
    </xf>
    <xf numFmtId="2" fontId="12" fillId="3" borderId="8" xfId="4" applyNumberFormat="1" applyFont="1" applyFill="1" applyBorder="1" applyAlignment="1">
      <alignment horizontal="center" vertical="center" wrapText="1"/>
    </xf>
    <xf numFmtId="2" fontId="12" fillId="3" borderId="7" xfId="4" applyNumberFormat="1" applyFont="1" applyFill="1" applyBorder="1" applyAlignment="1">
      <alignment horizontal="center" vertical="center" wrapText="1"/>
    </xf>
    <xf numFmtId="2" fontId="12" fillId="3" borderId="13" xfId="4" applyNumberFormat="1" applyFont="1" applyFill="1" applyBorder="1" applyAlignment="1">
      <alignment horizontal="center" vertical="center" wrapText="1"/>
    </xf>
    <xf numFmtId="2" fontId="12" fillId="3" borderId="0" xfId="4" applyNumberFormat="1" applyFont="1" applyFill="1" applyAlignment="1">
      <alignment horizontal="left" vertical="center" wrapText="1"/>
    </xf>
    <xf numFmtId="2" fontId="73" fillId="3" borderId="8" xfId="0" applyNumberFormat="1" applyFont="1" applyFill="1" applyBorder="1" applyAlignment="1">
      <alignment horizontal="center" vertical="center"/>
    </xf>
    <xf numFmtId="2" fontId="73" fillId="3" borderId="7" xfId="0" applyNumberFormat="1" applyFont="1" applyFill="1" applyBorder="1" applyAlignment="1">
      <alignment horizontal="center" vertical="center"/>
    </xf>
    <xf numFmtId="2" fontId="73" fillId="3" borderId="6" xfId="0" applyNumberFormat="1" applyFont="1" applyFill="1" applyBorder="1" applyAlignment="1">
      <alignment horizontal="center" vertical="center"/>
    </xf>
    <xf numFmtId="2" fontId="73" fillId="3" borderId="4" xfId="0" applyNumberFormat="1" applyFont="1" applyFill="1" applyBorder="1" applyAlignment="1">
      <alignment horizontal="center" vertical="center"/>
    </xf>
    <xf numFmtId="2" fontId="73" fillId="3" borderId="1" xfId="0" applyNumberFormat="1" applyFont="1" applyFill="1" applyBorder="1" applyAlignment="1">
      <alignment horizontal="center" vertical="center"/>
    </xf>
    <xf numFmtId="2" fontId="73" fillId="3" borderId="2" xfId="0" applyNumberFormat="1" applyFont="1" applyFill="1" applyBorder="1" applyAlignment="1">
      <alignment horizontal="center" vertical="center"/>
    </xf>
    <xf numFmtId="2" fontId="73" fillId="3" borderId="2" xfId="0" applyNumberFormat="1" applyFont="1" applyFill="1" applyBorder="1" applyAlignment="1">
      <alignment horizontal="center" vertical="center" wrapText="1"/>
    </xf>
    <xf numFmtId="2" fontId="14" fillId="3" borderId="0" xfId="0" applyNumberFormat="1" applyFont="1" applyFill="1" applyAlignment="1">
      <alignment horizontal="center" vertical="center"/>
    </xf>
    <xf numFmtId="0" fontId="52" fillId="3" borderId="20" xfId="4" applyFont="1" applyFill="1" applyBorder="1" applyAlignment="1">
      <alignment horizontal="center" vertical="center"/>
    </xf>
    <xf numFmtId="0" fontId="52" fillId="3" borderId="0" xfId="4" applyFont="1" applyFill="1" applyAlignment="1">
      <alignment horizontal="center" vertical="center"/>
    </xf>
    <xf numFmtId="0" fontId="52" fillId="3" borderId="17" xfId="4" applyFont="1" applyFill="1" applyBorder="1" applyAlignment="1">
      <alignment horizontal="center" vertical="center"/>
    </xf>
    <xf numFmtId="0" fontId="53" fillId="4" borderId="4" xfId="4" applyFont="1" applyFill="1" applyBorder="1" applyAlignment="1" applyProtection="1">
      <alignment horizontal="center" vertical="center" wrapText="1"/>
      <protection locked="0"/>
    </xf>
    <xf numFmtId="0" fontId="53" fillId="4" borderId="3" xfId="4" applyFont="1" applyFill="1" applyBorder="1" applyAlignment="1" applyProtection="1">
      <alignment horizontal="center" vertical="center" wrapText="1"/>
      <protection locked="0"/>
    </xf>
    <xf numFmtId="0" fontId="53" fillId="4" borderId="1" xfId="4" applyFont="1" applyFill="1" applyBorder="1" applyAlignment="1" applyProtection="1">
      <alignment horizontal="center" vertical="center" wrapText="1"/>
      <protection locked="0"/>
    </xf>
    <xf numFmtId="0" fontId="50" fillId="4" borderId="2" xfId="4" applyFont="1" applyFill="1" applyBorder="1" applyAlignment="1" applyProtection="1">
      <alignment horizontal="center" vertical="center" wrapText="1"/>
      <protection locked="0"/>
    </xf>
    <xf numFmtId="0" fontId="16" fillId="4" borderId="2" xfId="4" applyFont="1" applyFill="1" applyBorder="1" applyAlignment="1" applyProtection="1">
      <alignment horizontal="center"/>
      <protection locked="0"/>
    </xf>
    <xf numFmtId="0" fontId="14" fillId="4" borderId="8" xfId="4" applyFont="1" applyFill="1" applyBorder="1" applyAlignment="1" applyProtection="1">
      <alignment horizontal="center" vertical="center"/>
      <protection locked="0"/>
    </xf>
    <xf numFmtId="0" fontId="14" fillId="4" borderId="7" xfId="4" applyFont="1" applyFill="1" applyBorder="1" applyAlignment="1" applyProtection="1">
      <alignment horizontal="center" vertical="center"/>
      <protection locked="0"/>
    </xf>
    <xf numFmtId="0" fontId="14" fillId="4" borderId="6" xfId="4" applyFont="1" applyFill="1" applyBorder="1" applyAlignment="1" applyProtection="1">
      <alignment horizontal="center" vertical="center"/>
      <protection locked="0"/>
    </xf>
    <xf numFmtId="0" fontId="14" fillId="4" borderId="8" xfId="4" applyFont="1" applyFill="1" applyBorder="1" applyAlignment="1" applyProtection="1">
      <alignment horizontal="center" vertical="center" wrapText="1"/>
      <protection locked="0"/>
    </xf>
    <xf numFmtId="0" fontId="14" fillId="4" borderId="7" xfId="4" applyFont="1" applyFill="1" applyBorder="1" applyAlignment="1" applyProtection="1">
      <alignment horizontal="center" vertical="center" wrapText="1"/>
      <protection locked="0"/>
    </xf>
    <xf numFmtId="0" fontId="14" fillId="4" borderId="6" xfId="4" applyFont="1" applyFill="1" applyBorder="1" applyAlignment="1" applyProtection="1">
      <alignment horizontal="center" vertical="center" wrapText="1"/>
      <protection locked="0"/>
    </xf>
    <xf numFmtId="0" fontId="6" fillId="4" borderId="2" xfId="4" applyFont="1" applyFill="1" applyBorder="1" applyAlignment="1" applyProtection="1">
      <alignment horizontal="center" vertical="center" wrapText="1"/>
      <protection locked="0"/>
    </xf>
    <xf numFmtId="0" fontId="16" fillId="4" borderId="1" xfId="4" applyFont="1" applyFill="1" applyBorder="1" applyAlignment="1" applyProtection="1">
      <alignment horizontal="center"/>
      <protection locked="0"/>
    </xf>
    <xf numFmtId="0" fontId="16" fillId="4" borderId="8" xfId="4" applyFont="1" applyFill="1" applyBorder="1" applyAlignment="1" applyProtection="1">
      <alignment horizontal="center" vertical="center"/>
      <protection locked="0"/>
    </xf>
    <xf numFmtId="0" fontId="16" fillId="4" borderId="7" xfId="4" applyFont="1" applyFill="1" applyBorder="1" applyAlignment="1" applyProtection="1">
      <alignment horizontal="center" vertical="center"/>
      <protection locked="0"/>
    </xf>
    <xf numFmtId="0" fontId="16" fillId="4" borderId="6" xfId="4" applyFont="1" applyFill="1" applyBorder="1" applyAlignment="1" applyProtection="1">
      <alignment horizontal="center" vertical="center"/>
      <protection locked="0"/>
    </xf>
    <xf numFmtId="0" fontId="50" fillId="4" borderId="2" xfId="4" applyFont="1" applyFill="1" applyBorder="1" applyAlignment="1" applyProtection="1">
      <alignment horizontal="center" vertical="center"/>
      <protection locked="0"/>
    </xf>
    <xf numFmtId="0" fontId="14" fillId="4" borderId="11" xfId="4" applyFont="1" applyFill="1" applyBorder="1" applyAlignment="1" applyProtection="1">
      <alignment horizontal="center" vertical="center"/>
      <protection locked="0"/>
    </xf>
    <xf numFmtId="0" fontId="14" fillId="4" borderId="52" xfId="4" applyFont="1" applyFill="1" applyBorder="1" applyAlignment="1" applyProtection="1">
      <alignment horizontal="center" vertical="center"/>
      <protection locked="0"/>
    </xf>
    <xf numFmtId="0" fontId="14" fillId="4" borderId="12" xfId="4" applyFont="1" applyFill="1" applyBorder="1" applyAlignment="1" applyProtection="1">
      <alignment horizontal="center" vertical="center"/>
      <protection locked="0"/>
    </xf>
    <xf numFmtId="0" fontId="24" fillId="0" borderId="55" xfId="6" applyFont="1" applyBorder="1" applyAlignment="1">
      <alignment horizontal="center"/>
    </xf>
    <xf numFmtId="0" fontId="24" fillId="0" borderId="22" xfId="6" applyFont="1" applyBorder="1" applyAlignment="1">
      <alignment horizontal="center"/>
    </xf>
    <xf numFmtId="0" fontId="24" fillId="0" borderId="42" xfId="6" applyFont="1" applyBorder="1" applyAlignment="1">
      <alignment horizontal="center"/>
    </xf>
    <xf numFmtId="0" fontId="6" fillId="8" borderId="44" xfId="6" applyFont="1" applyFill="1" applyBorder="1" applyAlignment="1">
      <alignment horizontal="center"/>
    </xf>
    <xf numFmtId="0" fontId="6" fillId="8" borderId="83" xfId="6" applyFont="1" applyFill="1" applyBorder="1" applyAlignment="1">
      <alignment horizontal="center"/>
    </xf>
    <xf numFmtId="0" fontId="6" fillId="8" borderId="34" xfId="6" applyFont="1" applyFill="1" applyBorder="1" applyAlignment="1">
      <alignment horizontal="center"/>
    </xf>
    <xf numFmtId="0" fontId="12" fillId="7" borderId="45" xfId="4" applyFont="1" applyFill="1" applyBorder="1" applyAlignment="1">
      <alignment horizontal="center" vertical="center" wrapText="1"/>
    </xf>
    <xf numFmtId="0" fontId="12" fillId="7" borderId="7" xfId="4" applyFont="1" applyFill="1" applyBorder="1" applyAlignment="1">
      <alignment horizontal="center" vertical="center" wrapText="1"/>
    </xf>
    <xf numFmtId="0" fontId="12" fillId="7" borderId="38" xfId="4" applyFont="1" applyFill="1" applyBorder="1" applyAlignment="1">
      <alignment horizontal="center" vertical="center" wrapText="1"/>
    </xf>
    <xf numFmtId="0" fontId="60" fillId="7" borderId="45" xfId="4" applyFont="1" applyFill="1" applyBorder="1" applyAlignment="1">
      <alignment horizontal="center" vertical="center" wrapText="1"/>
    </xf>
    <xf numFmtId="0" fontId="60" fillId="7" borderId="7" xfId="4" applyFont="1" applyFill="1" applyBorder="1" applyAlignment="1">
      <alignment horizontal="center" vertical="center" wrapText="1"/>
    </xf>
    <xf numFmtId="0" fontId="60" fillId="7" borderId="38" xfId="4" applyFont="1" applyFill="1" applyBorder="1" applyAlignment="1">
      <alignment horizontal="center" vertical="center" wrapText="1"/>
    </xf>
    <xf numFmtId="0" fontId="14" fillId="6" borderId="55" xfId="6" applyFont="1" applyFill="1" applyBorder="1" applyAlignment="1">
      <alignment horizontal="center" vertical="center" wrapText="1"/>
    </xf>
    <xf numFmtId="0" fontId="14" fillId="6" borderId="22" xfId="6" applyFont="1" applyFill="1" applyBorder="1" applyAlignment="1">
      <alignment horizontal="center" vertical="center" wrapText="1"/>
    </xf>
    <xf numFmtId="0" fontId="14" fillId="6" borderId="42" xfId="6" applyFont="1" applyFill="1" applyBorder="1" applyAlignment="1">
      <alignment horizontal="center" vertical="center" wrapText="1"/>
    </xf>
    <xf numFmtId="0" fontId="12" fillId="7" borderId="55" xfId="4" applyFont="1" applyFill="1" applyBorder="1" applyAlignment="1">
      <alignment horizontal="center" vertical="center"/>
    </xf>
    <xf numFmtId="0" fontId="12" fillId="7" borderId="22" xfId="4" applyFont="1" applyFill="1" applyBorder="1" applyAlignment="1">
      <alignment horizontal="center" vertical="center"/>
    </xf>
    <xf numFmtId="0" fontId="12" fillId="7" borderId="42" xfId="4" applyFont="1" applyFill="1" applyBorder="1" applyAlignment="1">
      <alignment horizontal="center" vertical="center"/>
    </xf>
    <xf numFmtId="0" fontId="50" fillId="2" borderId="4" xfId="0" applyFont="1" applyFill="1" applyBorder="1" applyAlignment="1">
      <alignment horizontal="center" vertical="center" wrapText="1"/>
    </xf>
    <xf numFmtId="0" fontId="50" fillId="2" borderId="1" xfId="0" applyFont="1" applyFill="1" applyBorder="1" applyAlignment="1">
      <alignment horizontal="center" vertical="center" wrapText="1"/>
    </xf>
    <xf numFmtId="0" fontId="50" fillId="2" borderId="8" xfId="0" applyFont="1" applyFill="1" applyBorder="1" applyAlignment="1">
      <alignment horizontal="center" vertical="center"/>
    </xf>
    <xf numFmtId="0" fontId="50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03" fillId="0" borderId="2" xfId="0" applyFont="1" applyBorder="1" applyAlignment="1">
      <alignment horizontal="center" vertical="center"/>
    </xf>
    <xf numFmtId="0" fontId="48" fillId="0" borderId="2" xfId="0" applyFont="1" applyBorder="1" applyAlignment="1">
      <alignment horizontal="center" vertical="center"/>
    </xf>
    <xf numFmtId="0" fontId="50" fillId="0" borderId="4" xfId="1" applyFont="1" applyBorder="1" applyAlignment="1">
      <alignment horizontal="center" vertical="center"/>
    </xf>
    <xf numFmtId="0" fontId="50" fillId="0" borderId="3" xfId="1" applyFont="1" applyBorder="1" applyAlignment="1">
      <alignment horizontal="center" vertical="center"/>
    </xf>
    <xf numFmtId="0" fontId="50" fillId="2" borderId="2" xfId="0" applyFont="1" applyFill="1" applyBorder="1" applyAlignment="1">
      <alignment horizontal="center" vertical="center" wrapText="1"/>
    </xf>
    <xf numFmtId="0" fontId="50" fillId="2" borderId="52" xfId="0" applyFont="1" applyFill="1" applyBorder="1" applyAlignment="1">
      <alignment horizontal="left"/>
    </xf>
    <xf numFmtId="0" fontId="50" fillId="2" borderId="10" xfId="0" applyFont="1" applyFill="1" applyBorder="1" applyAlignment="1">
      <alignment horizontal="center" vertical="center" wrapText="1"/>
    </xf>
    <xf numFmtId="0" fontId="50" fillId="2" borderId="13" xfId="0" applyFont="1" applyFill="1" applyBorder="1" applyAlignment="1">
      <alignment horizontal="center" vertical="center" wrapText="1"/>
    </xf>
    <xf numFmtId="0" fontId="49" fillId="0" borderId="8" xfId="1" applyFont="1" applyBorder="1" applyAlignment="1">
      <alignment horizontal="left"/>
    </xf>
    <xf numFmtId="0" fontId="49" fillId="0" borderId="7" xfId="1" applyFont="1" applyBorder="1" applyAlignment="1">
      <alignment horizontal="left"/>
    </xf>
    <xf numFmtId="0" fontId="49" fillId="0" borderId="6" xfId="1" applyFont="1" applyBorder="1" applyAlignment="1">
      <alignment horizontal="left"/>
    </xf>
    <xf numFmtId="2" fontId="50" fillId="2" borderId="2" xfId="0" applyNumberFormat="1" applyFont="1" applyFill="1" applyBorder="1" applyAlignment="1">
      <alignment horizontal="center" vertical="center" wrapText="1"/>
    </xf>
    <xf numFmtId="2" fontId="50" fillId="2" borderId="2" xfId="0" applyNumberFormat="1" applyFont="1" applyFill="1" applyBorder="1" applyAlignment="1">
      <alignment horizontal="center" vertical="center"/>
    </xf>
    <xf numFmtId="165" fontId="50" fillId="2" borderId="2" xfId="0" applyNumberFormat="1" applyFont="1" applyFill="1" applyBorder="1" applyAlignment="1">
      <alignment horizontal="center" vertical="center" wrapText="1"/>
    </xf>
    <xf numFmtId="2" fontId="49" fillId="0" borderId="2" xfId="0" applyNumberFormat="1" applyFont="1" applyBorder="1" applyAlignment="1">
      <alignment horizontal="center" vertical="center"/>
    </xf>
    <xf numFmtId="0" fontId="50" fillId="2" borderId="4" xfId="0" applyFont="1" applyFill="1" applyBorder="1" applyAlignment="1">
      <alignment horizontal="center" vertical="center"/>
    </xf>
    <xf numFmtId="0" fontId="50" fillId="2" borderId="3" xfId="0" applyFont="1" applyFill="1" applyBorder="1" applyAlignment="1">
      <alignment horizontal="center" vertical="center"/>
    </xf>
    <xf numFmtId="0" fontId="50" fillId="2" borderId="8" xfId="0" applyFont="1" applyFill="1" applyBorder="1" applyAlignment="1">
      <alignment horizontal="center"/>
    </xf>
    <xf numFmtId="0" fontId="50" fillId="2" borderId="7" xfId="0" applyFont="1" applyFill="1" applyBorder="1" applyAlignment="1">
      <alignment horizontal="center"/>
    </xf>
    <xf numFmtId="0" fontId="50" fillId="2" borderId="6" xfId="0" applyFont="1" applyFill="1" applyBorder="1" applyAlignment="1">
      <alignment horizontal="center"/>
    </xf>
    <xf numFmtId="0" fontId="109" fillId="2" borderId="0" xfId="0" applyFont="1" applyFill="1" applyAlignment="1">
      <alignment horizontal="center"/>
    </xf>
    <xf numFmtId="0" fontId="49" fillId="0" borderId="0" xfId="0" applyFont="1" applyAlignment="1">
      <alignment horizontal="left"/>
    </xf>
    <xf numFmtId="0" fontId="49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09" fillId="2" borderId="0" xfId="0" applyFont="1" applyFill="1" applyAlignment="1">
      <alignment horizontal="right"/>
    </xf>
    <xf numFmtId="0" fontId="50" fillId="2" borderId="7" xfId="0" applyFont="1" applyFill="1" applyBorder="1" applyAlignment="1">
      <alignment horizontal="center" vertical="center"/>
    </xf>
    <xf numFmtId="0" fontId="50" fillId="2" borderId="2" xfId="0" applyFont="1" applyFill="1" applyBorder="1" applyAlignment="1">
      <alignment horizontal="center" vertical="center"/>
    </xf>
    <xf numFmtId="0" fontId="98" fillId="2" borderId="0" xfId="0" applyFont="1" applyFill="1" applyAlignment="1">
      <alignment horizontal="center" vertical="center"/>
    </xf>
    <xf numFmtId="0" fontId="100" fillId="2" borderId="0" xfId="0" applyFont="1" applyFill="1" applyAlignment="1">
      <alignment horizontal="right" vertical="center"/>
    </xf>
    <xf numFmtId="0" fontId="50" fillId="0" borderId="4" xfId="1" applyFont="1" applyBorder="1" applyAlignment="1">
      <alignment horizontal="center" vertical="center" wrapText="1"/>
    </xf>
    <xf numFmtId="0" fontId="50" fillId="0" borderId="3" xfId="1" applyFont="1" applyBorder="1" applyAlignment="1">
      <alignment horizontal="center" vertical="center" wrapText="1"/>
    </xf>
    <xf numFmtId="0" fontId="6" fillId="0" borderId="6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68" xfId="0" applyFont="1" applyBorder="1" applyAlignment="1">
      <alignment horizontal="center" vertical="center"/>
    </xf>
    <xf numFmtId="0" fontId="14" fillId="0" borderId="48" xfId="0" applyFont="1" applyBorder="1" applyAlignment="1">
      <alignment horizontal="center" vertical="center" wrapText="1"/>
    </xf>
    <xf numFmtId="0" fontId="14" fillId="0" borderId="51" xfId="0" applyFont="1" applyBorder="1" applyAlignment="1">
      <alignment horizontal="center" vertical="center" wrapText="1"/>
    </xf>
    <xf numFmtId="0" fontId="16" fillId="0" borderId="37" xfId="3" applyFont="1" applyBorder="1" applyAlignment="1">
      <alignment horizontal="center" vertical="center"/>
    </xf>
    <xf numFmtId="0" fontId="16" fillId="0" borderId="35" xfId="3" applyFont="1" applyBorder="1" applyAlignment="1">
      <alignment horizontal="center" vertical="center"/>
    </xf>
    <xf numFmtId="0" fontId="15" fillId="0" borderId="25" xfId="0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0" fontId="15" fillId="0" borderId="65" xfId="0" applyFont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0" borderId="69" xfId="3" applyFont="1" applyBorder="1" applyAlignment="1">
      <alignment horizontal="center" vertical="center"/>
    </xf>
    <xf numFmtId="0" fontId="7" fillId="0" borderId="70" xfId="3" applyFon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6" fillId="0" borderId="85" xfId="0" applyFont="1" applyBorder="1" applyAlignment="1">
      <alignment horizontal="center" vertical="center"/>
    </xf>
    <xf numFmtId="0" fontId="6" fillId="0" borderId="8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6" fillId="0" borderId="48" xfId="3" applyFont="1" applyBorder="1" applyAlignment="1">
      <alignment horizontal="center"/>
    </xf>
    <xf numFmtId="0" fontId="16" fillId="0" borderId="51" xfId="3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2" fillId="0" borderId="65" xfId="0" applyFont="1" applyBorder="1" applyAlignment="1">
      <alignment horizontal="center"/>
    </xf>
    <xf numFmtId="0" fontId="0" fillId="0" borderId="54" xfId="0" applyBorder="1" applyAlignment="1">
      <alignment horizontal="center" vertical="center"/>
    </xf>
    <xf numFmtId="0" fontId="14" fillId="0" borderId="23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6" fillId="0" borderId="54" xfId="3" applyFont="1" applyBorder="1" applyAlignment="1">
      <alignment horizontal="center" vertical="center"/>
    </xf>
    <xf numFmtId="0" fontId="16" fillId="0" borderId="6" xfId="3" applyFont="1" applyBorder="1" applyAlignment="1">
      <alignment horizontal="center" vertical="center"/>
    </xf>
    <xf numFmtId="0" fontId="7" fillId="0" borderId="54" xfId="3" applyFont="1" applyBorder="1" applyAlignment="1">
      <alignment horizontal="center" vertical="center"/>
    </xf>
    <xf numFmtId="0" fontId="7" fillId="0" borderId="6" xfId="3" applyFont="1" applyBorder="1" applyAlignment="1">
      <alignment horizontal="center" vertical="center"/>
    </xf>
    <xf numFmtId="0" fontId="7" fillId="0" borderId="72" xfId="3" applyFont="1" applyBorder="1" applyAlignment="1">
      <alignment horizontal="center" vertical="center"/>
    </xf>
    <xf numFmtId="0" fontId="7" fillId="0" borderId="13" xfId="3" applyFont="1" applyBorder="1" applyAlignment="1">
      <alignment horizontal="center" vertical="center"/>
    </xf>
    <xf numFmtId="0" fontId="7" fillId="0" borderId="48" xfId="3" applyFont="1" applyBorder="1" applyAlignment="1">
      <alignment horizontal="center" vertical="center"/>
    </xf>
    <xf numFmtId="0" fontId="7" fillId="0" borderId="47" xfId="3" applyFont="1" applyBorder="1" applyAlignment="1">
      <alignment horizontal="center" vertical="center"/>
    </xf>
    <xf numFmtId="0" fontId="4" fillId="0" borderId="54" xfId="3" applyBorder="1" applyAlignment="1">
      <alignment horizontal="center" vertical="center"/>
    </xf>
    <xf numFmtId="0" fontId="4" fillId="0" borderId="6" xfId="3" applyBorder="1" applyAlignment="1">
      <alignment horizontal="center" vertical="center"/>
    </xf>
    <xf numFmtId="0" fontId="23" fillId="0" borderId="61" xfId="0" applyFont="1" applyBorder="1" applyAlignment="1">
      <alignment horizontal="center"/>
    </xf>
    <xf numFmtId="0" fontId="23" fillId="0" borderId="60" xfId="0" applyFont="1" applyBorder="1" applyAlignment="1">
      <alignment horizontal="center"/>
    </xf>
    <xf numFmtId="0" fontId="23" fillId="0" borderId="59" xfId="0" applyFont="1" applyBorder="1" applyAlignment="1">
      <alignment horizontal="center"/>
    </xf>
    <xf numFmtId="0" fontId="16" fillId="0" borderId="37" xfId="3" applyFont="1" applyBorder="1" applyAlignment="1">
      <alignment horizontal="center"/>
    </xf>
    <xf numFmtId="0" fontId="16" fillId="0" borderId="36" xfId="3" applyFont="1" applyBorder="1" applyAlignment="1">
      <alignment horizontal="center"/>
    </xf>
    <xf numFmtId="0" fontId="16" fillId="0" borderId="35" xfId="3" applyFont="1" applyBorder="1" applyAlignment="1">
      <alignment horizontal="center"/>
    </xf>
    <xf numFmtId="0" fontId="14" fillId="0" borderId="55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74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16" fillId="0" borderId="50" xfId="3" applyFont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13" fillId="0" borderId="25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65" xfId="0" applyFont="1" applyBorder="1" applyAlignment="1">
      <alignment horizontal="center"/>
    </xf>
    <xf numFmtId="0" fontId="25" fillId="0" borderId="76" xfId="0" applyFont="1" applyBorder="1" applyAlignment="1">
      <alignment horizontal="center"/>
    </xf>
    <xf numFmtId="0" fontId="0" fillId="0" borderId="7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55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3" fillId="0" borderId="42" xfId="0" applyFont="1" applyBorder="1" applyAlignment="1">
      <alignment horizontal="center"/>
    </xf>
    <xf numFmtId="0" fontId="16" fillId="0" borderId="58" xfId="3" applyFont="1" applyBorder="1" applyAlignment="1">
      <alignment horizontal="center"/>
    </xf>
    <xf numFmtId="0" fontId="16" fillId="0" borderId="57" xfId="3" applyFont="1" applyBorder="1" applyAlignment="1">
      <alignment horizontal="center"/>
    </xf>
    <xf numFmtId="0" fontId="16" fillId="0" borderId="56" xfId="3" applyFont="1" applyBorder="1" applyAlignment="1">
      <alignment horizontal="center"/>
    </xf>
    <xf numFmtId="0" fontId="14" fillId="0" borderId="2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3" fillId="0" borderId="89" xfId="0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0" fontId="13" fillId="0" borderId="78" xfId="0" applyFont="1" applyBorder="1" applyAlignment="1">
      <alignment horizontal="center"/>
    </xf>
    <xf numFmtId="0" fontId="14" fillId="0" borderId="7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6" fillId="0" borderId="81" xfId="0" applyFont="1" applyBorder="1" applyAlignment="1">
      <alignment horizontal="center" vertical="center"/>
    </xf>
    <xf numFmtId="0" fontId="6" fillId="0" borderId="82" xfId="0" applyFont="1" applyBorder="1" applyAlignment="1">
      <alignment horizontal="center" vertical="center"/>
    </xf>
    <xf numFmtId="0" fontId="6" fillId="0" borderId="88" xfId="0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6" fillId="0" borderId="41" xfId="3" applyFont="1" applyBorder="1" applyAlignment="1">
      <alignment horizontal="center" vertical="center"/>
    </xf>
    <xf numFmtId="0" fontId="16" fillId="0" borderId="40" xfId="3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4" fillId="0" borderId="48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0" fontId="14" fillId="0" borderId="49" xfId="0" applyFont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81" xfId="0" applyFont="1" applyBorder="1" applyAlignment="1">
      <alignment horizontal="center" vertical="center"/>
    </xf>
    <xf numFmtId="0" fontId="14" fillId="0" borderId="82" xfId="0" applyFont="1" applyBorder="1" applyAlignment="1">
      <alignment horizontal="center" vertical="center"/>
    </xf>
    <xf numFmtId="0" fontId="14" fillId="0" borderId="84" xfId="0" applyFont="1" applyBorder="1" applyAlignment="1">
      <alignment horizontal="center" vertical="center"/>
    </xf>
    <xf numFmtId="0" fontId="6" fillId="0" borderId="87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16" fillId="0" borderId="48" xfId="3" applyFont="1" applyBorder="1" applyAlignment="1">
      <alignment horizontal="center" vertical="center"/>
    </xf>
    <xf numFmtId="0" fontId="16" fillId="0" borderId="47" xfId="3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6" fillId="0" borderId="49" xfId="3" applyFont="1" applyBorder="1" applyAlignment="1">
      <alignment horizontal="center"/>
    </xf>
    <xf numFmtId="0" fontId="14" fillId="0" borderId="42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/>
    </xf>
    <xf numFmtId="0" fontId="6" fillId="0" borderId="76" xfId="0" applyFont="1" applyBorder="1" applyAlignment="1">
      <alignment horizontal="center"/>
    </xf>
    <xf numFmtId="0" fontId="47" fillId="0" borderId="2" xfId="0" applyFont="1" applyBorder="1" applyAlignment="1">
      <alignment vertical="center"/>
    </xf>
    <xf numFmtId="0" fontId="25" fillId="0" borderId="2" xfId="1" applyFont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47" fillId="0" borderId="4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83" fillId="0" borderId="2" xfId="0" applyFont="1" applyBorder="1" applyAlignment="1">
      <alignment horizontal="center" vertical="center"/>
    </xf>
    <xf numFmtId="0" fontId="43" fillId="2" borderId="2" xfId="0" applyFont="1" applyFill="1" applyBorder="1" applyAlignment="1" applyProtection="1">
      <alignment horizontal="center" vertical="center"/>
      <protection hidden="1"/>
    </xf>
    <xf numFmtId="0" fontId="32" fillId="2" borderId="8" xfId="0" applyFont="1" applyFill="1" applyBorder="1" applyAlignment="1" applyProtection="1">
      <alignment horizontal="center" vertical="center" wrapText="1"/>
      <protection hidden="1"/>
    </xf>
    <xf numFmtId="0" fontId="32" fillId="2" borderId="6" xfId="0" applyFont="1" applyFill="1" applyBorder="1" applyAlignment="1" applyProtection="1">
      <alignment horizontal="center" vertical="center" wrapText="1"/>
      <protection hidden="1"/>
    </xf>
    <xf numFmtId="0" fontId="43" fillId="2" borderId="4" xfId="0" applyFont="1" applyFill="1" applyBorder="1" applyAlignment="1" applyProtection="1">
      <alignment horizontal="center" vertical="center"/>
      <protection hidden="1"/>
    </xf>
    <xf numFmtId="0" fontId="43" fillId="2" borderId="3" xfId="0" applyFont="1" applyFill="1" applyBorder="1" applyAlignment="1" applyProtection="1">
      <alignment horizontal="center" vertical="center"/>
      <protection hidden="1"/>
    </xf>
    <xf numFmtId="0" fontId="43" fillId="2" borderId="1" xfId="0" applyFont="1" applyFill="1" applyBorder="1" applyAlignment="1" applyProtection="1">
      <alignment horizontal="center" vertical="center"/>
      <protection hidden="1"/>
    </xf>
    <xf numFmtId="0" fontId="43" fillId="2" borderId="8" xfId="0" applyFont="1" applyFill="1" applyBorder="1" applyAlignment="1">
      <alignment horizontal="center"/>
    </xf>
    <xf numFmtId="0" fontId="43" fillId="2" borderId="7" xfId="0" applyFont="1" applyFill="1" applyBorder="1" applyAlignment="1">
      <alignment horizontal="center"/>
    </xf>
    <xf numFmtId="0" fontId="43" fillId="2" borderId="6" xfId="0" applyFont="1" applyFill="1" applyBorder="1" applyAlignment="1">
      <alignment horizontal="center"/>
    </xf>
    <xf numFmtId="0" fontId="44" fillId="0" borderId="10" xfId="0" applyFont="1" applyBorder="1" applyAlignment="1" applyProtection="1">
      <alignment horizontal="center" vertical="center" wrapText="1"/>
      <protection hidden="1"/>
    </xf>
    <xf numFmtId="0" fontId="44" fillId="0" borderId="5" xfId="0" applyFont="1" applyBorder="1" applyAlignment="1" applyProtection="1">
      <alignment horizontal="center" vertical="center" wrapText="1"/>
      <protection hidden="1"/>
    </xf>
    <xf numFmtId="0" fontId="44" fillId="0" borderId="11" xfId="0" applyFont="1" applyBorder="1" applyAlignment="1" applyProtection="1">
      <alignment horizontal="center" vertical="center" wrapText="1"/>
      <protection hidden="1"/>
    </xf>
    <xf numFmtId="0" fontId="33" fillId="2" borderId="2" xfId="0" applyFont="1" applyFill="1" applyBorder="1" applyAlignment="1" applyProtection="1">
      <alignment horizontal="center" vertical="center" wrapText="1"/>
      <protection hidden="1"/>
    </xf>
    <xf numFmtId="0" fontId="43" fillId="2" borderId="2" xfId="0" applyFont="1" applyFill="1" applyBorder="1" applyAlignment="1" applyProtection="1">
      <alignment horizontal="center" vertical="center" wrapText="1"/>
      <protection hidden="1"/>
    </xf>
    <xf numFmtId="0" fontId="43" fillId="2" borderId="8" xfId="0" applyFont="1" applyFill="1" applyBorder="1" applyAlignment="1">
      <alignment horizontal="center" vertical="center"/>
    </xf>
    <xf numFmtId="0" fontId="43" fillId="2" borderId="7" xfId="0" applyFont="1" applyFill="1" applyBorder="1" applyAlignment="1">
      <alignment horizontal="center" vertical="center"/>
    </xf>
    <xf numFmtId="0" fontId="43" fillId="2" borderId="6" xfId="0" applyFont="1" applyFill="1" applyBorder="1" applyAlignment="1">
      <alignment horizontal="center" vertical="center"/>
    </xf>
    <xf numFmtId="0" fontId="27" fillId="0" borderId="0" xfId="1" applyFont="1" applyAlignment="1" applyProtection="1">
      <alignment horizontal="center"/>
      <protection hidden="1"/>
    </xf>
    <xf numFmtId="2" fontId="29" fillId="0" borderId="0" xfId="1" applyNumberFormat="1" applyFont="1" applyAlignment="1" applyProtection="1">
      <alignment horizontal="center" vertical="center"/>
      <protection hidden="1"/>
    </xf>
    <xf numFmtId="0" fontId="28" fillId="2" borderId="2" xfId="0" applyFont="1" applyFill="1" applyBorder="1" applyAlignment="1" applyProtection="1">
      <alignment horizontal="center"/>
      <protection locked="0"/>
    </xf>
    <xf numFmtId="9" fontId="42" fillId="0" borderId="4" xfId="0" quotePrefix="1" applyNumberFormat="1" applyFont="1" applyBorder="1" applyAlignment="1" applyProtection="1">
      <alignment horizontal="center" vertical="center"/>
      <protection hidden="1"/>
    </xf>
    <xf numFmtId="9" fontId="42" fillId="0" borderId="3" xfId="0" quotePrefix="1" applyNumberFormat="1" applyFont="1" applyBorder="1" applyAlignment="1" applyProtection="1">
      <alignment horizontal="center" vertical="center"/>
      <protection hidden="1"/>
    </xf>
    <xf numFmtId="9" fontId="42" fillId="0" borderId="1" xfId="0" quotePrefix="1" applyNumberFormat="1" applyFont="1" applyBorder="1" applyAlignment="1" applyProtection="1">
      <alignment horizontal="center" vertical="center"/>
      <protection hidden="1"/>
    </xf>
    <xf numFmtId="0" fontId="44" fillId="0" borderId="4" xfId="0" applyFont="1" applyBorder="1" applyAlignment="1" applyProtection="1">
      <alignment horizontal="center" vertical="center" wrapText="1"/>
      <protection hidden="1"/>
    </xf>
    <xf numFmtId="0" fontId="44" fillId="0" borderId="3" xfId="0" applyFont="1" applyBorder="1" applyAlignment="1" applyProtection="1">
      <alignment horizontal="center" vertical="center" wrapText="1"/>
      <protection hidden="1"/>
    </xf>
    <xf numFmtId="0" fontId="44" fillId="0" borderId="1" xfId="0" applyFont="1" applyBorder="1" applyAlignment="1" applyProtection="1">
      <alignment horizontal="center" vertical="center" wrapText="1"/>
      <protection hidden="1"/>
    </xf>
    <xf numFmtId="0" fontId="32" fillId="2" borderId="7" xfId="0" applyFont="1" applyFill="1" applyBorder="1" applyAlignment="1" applyProtection="1">
      <alignment horizontal="center" vertical="center" wrapText="1"/>
      <protection hidden="1"/>
    </xf>
    <xf numFmtId="0" fontId="2" fillId="0" borderId="8" xfId="1" applyFont="1" applyBorder="1" applyAlignment="1" applyProtection="1">
      <alignment horizontal="left"/>
      <protection hidden="1"/>
    </xf>
    <xf numFmtId="0" fontId="2" fillId="0" borderId="7" xfId="1" applyFont="1" applyBorder="1" applyAlignment="1" applyProtection="1">
      <alignment horizontal="left"/>
      <protection hidden="1"/>
    </xf>
    <xf numFmtId="0" fontId="2" fillId="0" borderId="6" xfId="1" applyFont="1" applyBorder="1" applyAlignment="1" applyProtection="1">
      <alignment horizontal="left"/>
      <protection hidden="1"/>
    </xf>
    <xf numFmtId="2" fontId="29" fillId="0" borderId="8" xfId="0" applyNumberFormat="1" applyFont="1" applyBorder="1" applyAlignment="1">
      <alignment horizontal="center" vertical="center"/>
    </xf>
    <xf numFmtId="2" fontId="29" fillId="0" borderId="6" xfId="0" applyNumberFormat="1" applyFont="1" applyBorder="1" applyAlignment="1">
      <alignment horizontal="center" vertical="center"/>
    </xf>
    <xf numFmtId="2" fontId="29" fillId="0" borderId="7" xfId="0" applyNumberFormat="1" applyFont="1" applyBorder="1" applyAlignment="1">
      <alignment horizontal="center" vertical="center"/>
    </xf>
    <xf numFmtId="165" fontId="29" fillId="0" borderId="2" xfId="0" applyNumberFormat="1" applyFont="1" applyBorder="1" applyAlignment="1">
      <alignment horizontal="center" vertical="center"/>
    </xf>
    <xf numFmtId="0" fontId="43" fillId="2" borderId="4" xfId="0" applyFont="1" applyFill="1" applyBorder="1" applyAlignment="1" applyProtection="1">
      <alignment horizontal="center" vertical="center" wrapText="1"/>
      <protection hidden="1"/>
    </xf>
    <xf numFmtId="0" fontId="43" fillId="2" borderId="3" xfId="0" applyFont="1" applyFill="1" applyBorder="1" applyAlignment="1" applyProtection="1">
      <alignment horizontal="center" vertical="center" wrapText="1"/>
      <protection hidden="1"/>
    </xf>
    <xf numFmtId="0" fontId="43" fillId="2" borderId="1" xfId="0" applyFont="1" applyFill="1" applyBorder="1" applyAlignment="1" applyProtection="1">
      <alignment horizontal="center" vertical="center" wrapText="1"/>
      <protection hidden="1"/>
    </xf>
    <xf numFmtId="2" fontId="43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40" fillId="2" borderId="0" xfId="0" applyFont="1" applyFill="1" applyAlignment="1" applyProtection="1">
      <alignment horizontal="center"/>
      <protection locked="0"/>
    </xf>
    <xf numFmtId="0" fontId="41" fillId="2" borderId="0" xfId="0" applyFont="1" applyFill="1" applyAlignment="1" applyProtection="1">
      <alignment horizontal="center"/>
      <protection locked="0"/>
    </xf>
    <xf numFmtId="165" fontId="43" fillId="2" borderId="2" xfId="0" quotePrefix="1" applyNumberFormat="1" applyFont="1" applyFill="1" applyBorder="1" applyAlignment="1" applyProtection="1">
      <alignment horizontal="center" vertical="center" wrapText="1"/>
      <protection hidden="1"/>
    </xf>
    <xf numFmtId="0" fontId="44" fillId="0" borderId="2" xfId="0" applyFont="1" applyBorder="1" applyAlignment="1" applyProtection="1">
      <alignment horizontal="center" vertical="center" wrapText="1"/>
      <protection hidden="1"/>
    </xf>
    <xf numFmtId="165" fontId="43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44" fillId="2" borderId="2" xfId="0" applyFont="1" applyFill="1" applyBorder="1" applyAlignment="1" applyProtection="1">
      <alignment horizontal="center"/>
      <protection locked="0"/>
    </xf>
    <xf numFmtId="0" fontId="44" fillId="2" borderId="10" xfId="0" applyFont="1" applyFill="1" applyBorder="1" applyAlignment="1" applyProtection="1">
      <alignment horizontal="center" vertical="center" wrapText="1"/>
      <protection hidden="1"/>
    </xf>
    <xf numFmtId="0" fontId="44" fillId="2" borderId="13" xfId="0" applyFont="1" applyFill="1" applyBorder="1" applyAlignment="1" applyProtection="1">
      <alignment horizontal="center" vertical="center" wrapText="1"/>
      <protection hidden="1"/>
    </xf>
    <xf numFmtId="0" fontId="44" fillId="2" borderId="5" xfId="0" applyFont="1" applyFill="1" applyBorder="1" applyAlignment="1" applyProtection="1">
      <alignment horizontal="center" vertical="center" wrapText="1"/>
      <protection hidden="1"/>
    </xf>
    <xf numFmtId="0" fontId="44" fillId="2" borderId="53" xfId="0" applyFont="1" applyFill="1" applyBorder="1" applyAlignment="1" applyProtection="1">
      <alignment horizontal="center" vertical="center" wrapText="1"/>
      <protection hidden="1"/>
    </xf>
    <xf numFmtId="0" fontId="44" fillId="2" borderId="11" xfId="0" applyFont="1" applyFill="1" applyBorder="1" applyAlignment="1" applyProtection="1">
      <alignment horizontal="center" vertical="center" wrapText="1"/>
      <protection hidden="1"/>
    </xf>
    <xf numFmtId="0" fontId="44" fillId="2" borderId="12" xfId="0" applyFont="1" applyFill="1" applyBorder="1" applyAlignment="1" applyProtection="1">
      <alignment horizontal="center" vertical="center" wrapText="1"/>
      <protection hidden="1"/>
    </xf>
    <xf numFmtId="14" fontId="28" fillId="2" borderId="2" xfId="0" applyNumberFormat="1" applyFont="1" applyFill="1" applyBorder="1" applyAlignment="1" applyProtection="1">
      <alignment horizontal="center"/>
      <protection locked="0"/>
    </xf>
    <xf numFmtId="0" fontId="115" fillId="2" borderId="4" xfId="0" applyFont="1" applyFill="1" applyBorder="1" applyAlignment="1">
      <alignment horizontal="center" vertical="center"/>
    </xf>
    <xf numFmtId="0" fontId="115" fillId="2" borderId="3" xfId="0" applyFont="1" applyFill="1" applyBorder="1" applyAlignment="1">
      <alignment horizontal="center" vertical="center"/>
    </xf>
    <xf numFmtId="0" fontId="115" fillId="2" borderId="1" xfId="0" applyFont="1" applyFill="1" applyBorder="1" applyAlignment="1">
      <alignment horizontal="center" vertical="center"/>
    </xf>
    <xf numFmtId="0" fontId="115" fillId="2" borderId="4" xfId="0" applyFont="1" applyFill="1" applyBorder="1" applyAlignment="1">
      <alignment horizontal="center" vertical="center" wrapText="1"/>
    </xf>
    <xf numFmtId="0" fontId="115" fillId="2" borderId="3" xfId="0" applyFont="1" applyFill="1" applyBorder="1" applyAlignment="1">
      <alignment horizontal="center" vertical="center" wrapText="1"/>
    </xf>
    <xf numFmtId="0" fontId="115" fillId="2" borderId="1" xfId="0" applyFont="1" applyFill="1" applyBorder="1" applyAlignment="1">
      <alignment horizontal="center" vertical="center" wrapText="1"/>
    </xf>
    <xf numFmtId="0" fontId="115" fillId="0" borderId="10" xfId="0" applyFont="1" applyBorder="1" applyAlignment="1">
      <alignment horizontal="center" vertical="center" wrapText="1"/>
    </xf>
    <xf numFmtId="0" fontId="115" fillId="0" borderId="5" xfId="0" applyFont="1" applyBorder="1" applyAlignment="1">
      <alignment horizontal="center" vertical="center" wrapText="1"/>
    </xf>
    <xf numFmtId="0" fontId="115" fillId="0" borderId="11" xfId="0" applyFont="1" applyBorder="1" applyAlignment="1">
      <alignment horizontal="center" vertical="center" wrapText="1"/>
    </xf>
    <xf numFmtId="0" fontId="115" fillId="2" borderId="8" xfId="0" applyFont="1" applyFill="1" applyBorder="1" applyAlignment="1">
      <alignment horizontal="center" vertical="center" wrapText="1"/>
    </xf>
    <xf numFmtId="0" fontId="115" fillId="2" borderId="6" xfId="0" applyFont="1" applyFill="1" applyBorder="1" applyAlignment="1">
      <alignment horizontal="center" vertical="center" wrapText="1"/>
    </xf>
    <xf numFmtId="0" fontId="115" fillId="2" borderId="7" xfId="0" applyFont="1" applyFill="1" applyBorder="1" applyAlignment="1">
      <alignment horizontal="center" vertical="center" wrapText="1"/>
    </xf>
    <xf numFmtId="0" fontId="115" fillId="0" borderId="0" xfId="1" applyFont="1" applyAlignment="1">
      <alignment horizontal="center"/>
    </xf>
    <xf numFmtId="2" fontId="104" fillId="0" borderId="0" xfId="1" applyNumberFormat="1" applyFont="1" applyAlignment="1">
      <alignment horizontal="center" vertical="center"/>
    </xf>
    <xf numFmtId="0" fontId="11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15" fillId="2" borderId="2" xfId="0" applyFont="1" applyFill="1" applyBorder="1" applyAlignment="1">
      <alignment horizontal="center" vertical="center"/>
    </xf>
    <xf numFmtId="0" fontId="115" fillId="2" borderId="2" xfId="0" applyFont="1" applyFill="1" applyBorder="1" applyAlignment="1">
      <alignment horizontal="center" vertical="center" wrapText="1"/>
    </xf>
    <xf numFmtId="165" fontId="115" fillId="2" borderId="2" xfId="0" applyNumberFormat="1" applyFont="1" applyFill="1" applyBorder="1" applyAlignment="1">
      <alignment horizontal="center" vertical="center" wrapText="1"/>
    </xf>
    <xf numFmtId="2" fontId="115" fillId="2" borderId="2" xfId="0" applyNumberFormat="1" applyFont="1" applyFill="1" applyBorder="1" applyAlignment="1">
      <alignment horizontal="center" vertical="center" wrapText="1"/>
    </xf>
    <xf numFmtId="0" fontId="115" fillId="2" borderId="10" xfId="0" applyFont="1" applyFill="1" applyBorder="1" applyAlignment="1">
      <alignment horizontal="center" vertical="center" wrapText="1"/>
    </xf>
    <xf numFmtId="0" fontId="115" fillId="2" borderId="13" xfId="0" applyFont="1" applyFill="1" applyBorder="1" applyAlignment="1">
      <alignment horizontal="center" vertical="center" wrapText="1"/>
    </xf>
    <xf numFmtId="0" fontId="115" fillId="2" borderId="5" xfId="0" applyFont="1" applyFill="1" applyBorder="1" applyAlignment="1">
      <alignment horizontal="center" vertical="center" wrapText="1"/>
    </xf>
    <xf numFmtId="0" fontId="115" fillId="2" borderId="53" xfId="0" applyFont="1" applyFill="1" applyBorder="1" applyAlignment="1">
      <alignment horizontal="center" vertical="center" wrapText="1"/>
    </xf>
    <xf numFmtId="0" fontId="115" fillId="2" borderId="11" xfId="0" applyFont="1" applyFill="1" applyBorder="1" applyAlignment="1">
      <alignment horizontal="center" vertical="center" wrapText="1"/>
    </xf>
    <xf numFmtId="0" fontId="115" fillId="2" borderId="12" xfId="0" applyFont="1" applyFill="1" applyBorder="1" applyAlignment="1">
      <alignment horizontal="center" vertical="center" wrapText="1"/>
    </xf>
    <xf numFmtId="0" fontId="104" fillId="2" borderId="2" xfId="0" applyFont="1" applyFill="1" applyBorder="1" applyAlignment="1">
      <alignment horizontal="center" vertical="center" wrapText="1"/>
    </xf>
    <xf numFmtId="9" fontId="117" fillId="0" borderId="4" xfId="0" quotePrefix="1" applyNumberFormat="1" applyFont="1" applyBorder="1" applyAlignment="1">
      <alignment horizontal="center" vertical="center"/>
    </xf>
    <xf numFmtId="9" fontId="117" fillId="0" borderId="3" xfId="0" quotePrefix="1" applyNumberFormat="1" applyFont="1" applyBorder="1" applyAlignment="1">
      <alignment horizontal="center" vertical="center"/>
    </xf>
    <xf numFmtId="9" fontId="117" fillId="0" borderId="1" xfId="0" quotePrefix="1" applyNumberFormat="1" applyFont="1" applyBorder="1" applyAlignment="1">
      <alignment horizontal="center" vertical="center"/>
    </xf>
    <xf numFmtId="0" fontId="115" fillId="0" borderId="4" xfId="0" applyFont="1" applyBorder="1" applyAlignment="1">
      <alignment horizontal="center" vertical="center" wrapText="1"/>
    </xf>
    <xf numFmtId="0" fontId="115" fillId="0" borderId="3" xfId="0" applyFont="1" applyBorder="1" applyAlignment="1">
      <alignment horizontal="center" vertical="center" wrapText="1"/>
    </xf>
    <xf numFmtId="0" fontId="115" fillId="0" borderId="1" xfId="0" applyFont="1" applyBorder="1" applyAlignment="1">
      <alignment horizontal="center" vertical="center" wrapText="1"/>
    </xf>
    <xf numFmtId="165" fontId="115" fillId="2" borderId="2" xfId="0" quotePrefix="1" applyNumberFormat="1" applyFont="1" applyFill="1" applyBorder="1" applyAlignment="1">
      <alignment horizontal="center" vertical="center" wrapText="1"/>
    </xf>
    <xf numFmtId="0" fontId="115" fillId="0" borderId="2" xfId="0" applyFont="1" applyBorder="1" applyAlignment="1">
      <alignment horizontal="center" vertical="center" wrapText="1"/>
    </xf>
  </cellXfs>
  <cellStyles count="10">
    <cellStyle name="Normal" xfId="0" builtinId="0"/>
    <cellStyle name="Normal 2" xfId="3" xr:uid="{00000000-0005-0000-0000-000001000000}"/>
    <cellStyle name="Normal 2 2" xfId="4" xr:uid="{709EB7C8-8B7D-43CA-BF55-68E7E1D579AA}"/>
    <cellStyle name="Normal 2 3" xfId="9" xr:uid="{846EBBEC-CAF0-4E32-BAE6-BA14B5119D59}"/>
    <cellStyle name="Normal 3" xfId="5" xr:uid="{32938091-554C-4BED-A893-155741EFD16D}"/>
    <cellStyle name="Normal 3 2" xfId="8" xr:uid="{A78104BF-FFB5-4499-AE01-87F59C63A1B5}"/>
    <cellStyle name="Normal 5 2" xfId="6" xr:uid="{22A925F6-17D4-416B-BA1D-401F56F2DD34}"/>
    <cellStyle name="Normal_Daftar kelistrikan (ecg)" xfId="1" xr:uid="{00000000-0005-0000-0000-000002000000}"/>
    <cellStyle name="Normal_Daftar kelistrikan (ecg) 2" xfId="7" xr:uid="{8B5DE5BA-E69A-452A-84FD-CDADA9F9212B}"/>
    <cellStyle name="Normal_Sheet1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26</xdr:row>
      <xdr:rowOff>64785</xdr:rowOff>
    </xdr:from>
    <xdr:to>
      <xdr:col>12</xdr:col>
      <xdr:colOff>120308</xdr:colOff>
      <xdr:row>27</xdr:row>
      <xdr:rowOff>117282</xdr:rowOff>
    </xdr:to>
    <xdr:sp macro="" textlink="">
      <xdr:nvSpPr>
        <xdr:cNvPr id="2" name="Text Box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5210175" y="5589285"/>
          <a:ext cx="672758" cy="3001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9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9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391697</xdr:colOff>
      <xdr:row>26</xdr:row>
      <xdr:rowOff>52497</xdr:rowOff>
    </xdr:from>
    <xdr:to>
      <xdr:col>10</xdr:col>
      <xdr:colOff>712616</xdr:colOff>
      <xdr:row>26</xdr:row>
      <xdr:rowOff>52497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5211347" y="5576997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-SWD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Ultrasound_Therapy-U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T RESISTOR"/>
      <sheetName val="Sert Stopwatch"/>
      <sheetName val="LK"/>
      <sheetName val="Riwayat Revisi"/>
      <sheetName val="ID"/>
      <sheetName val="Ktps"/>
      <sheetName val="PENYELIA"/>
      <sheetName val="LH"/>
      <sheetName val="ESA"/>
      <sheetName val=" LH Laragon"/>
      <sheetName val="kata-kata"/>
      <sheetName val="SCOPE"/>
      <sheetName val="Sheet1"/>
      <sheetName val="SERTIFIKAT"/>
      <sheetName val="Surat Keterangan"/>
      <sheetName val="DB Thermohygro "/>
    </sheetNames>
    <sheetDataSet>
      <sheetData sheetId="0"/>
      <sheetData sheetId="1"/>
      <sheetData sheetId="2"/>
      <sheetData sheetId="3"/>
      <sheetData sheetId="4">
        <row r="1">
          <cell r="A1" t="str">
            <v>INPUT DATA KALIBRASI KALIBRASI SHORT WAVE DIATHERMY</v>
          </cell>
        </row>
        <row r="2">
          <cell r="I2" t="str">
            <v>19 / III - 25 / E - 009.678 DL</v>
          </cell>
        </row>
        <row r="11">
          <cell r="E11" t="str">
            <v>KL.MK 13</v>
          </cell>
        </row>
        <row r="58">
          <cell r="L58">
            <v>0.1</v>
          </cell>
        </row>
        <row r="62">
          <cell r="L62">
            <v>0</v>
          </cell>
        </row>
        <row r="63">
          <cell r="L63">
            <v>0</v>
          </cell>
        </row>
        <row r="64">
          <cell r="L64">
            <v>0</v>
          </cell>
        </row>
        <row r="65">
          <cell r="L65">
            <v>0</v>
          </cell>
        </row>
        <row r="66">
          <cell r="L66">
            <v>0</v>
          </cell>
        </row>
        <row r="83">
          <cell r="B83" t="str">
            <v>Medical Scope Meter, Merk : Fluke, Model 190M-4, SN : 48832901 CH : B</v>
          </cell>
        </row>
      </sheetData>
      <sheetData sheetId="5"/>
      <sheetData sheetId="6"/>
      <sheetData sheetId="7">
        <row r="5">
          <cell r="E5" t="str">
            <v>x</v>
          </cell>
        </row>
        <row r="6">
          <cell r="E6" t="str">
            <v>s</v>
          </cell>
        </row>
        <row r="7">
          <cell r="E7" t="str">
            <v>d</v>
          </cell>
        </row>
        <row r="8">
          <cell r="E8" t="str">
            <v>s</v>
          </cell>
        </row>
        <row r="9">
          <cell r="E9" t="str">
            <v>d</v>
          </cell>
        </row>
        <row r="10">
          <cell r="E10" t="str">
            <v>f</v>
          </cell>
        </row>
        <row r="11">
          <cell r="E11" t="str">
            <v>g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 Stopwatch"/>
      <sheetName val="SERTIFIKAT"/>
      <sheetName val="ESA"/>
      <sheetName val="Riwayat Revisi"/>
      <sheetName val="LK"/>
      <sheetName val="ID"/>
      <sheetName val="Budget"/>
      <sheetName val="Penyelia"/>
      <sheetName val="LH"/>
      <sheetName val="DB Thermohygro"/>
    </sheetNames>
    <sheetDataSet>
      <sheetData sheetId="0"/>
      <sheetData sheetId="1"/>
      <sheetData sheetId="2"/>
      <sheetData sheetId="3"/>
      <sheetData sheetId="4"/>
      <sheetData sheetId="5">
        <row r="45">
          <cell r="L45">
            <v>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E9EC6-4BEC-4EA6-B0EF-E5D11B3A3AEC}">
  <sheetPr>
    <tabColor rgb="FF00B050"/>
  </sheetPr>
  <dimension ref="A1:O61"/>
  <sheetViews>
    <sheetView zoomScale="88" zoomScaleNormal="88" zoomScaleSheetLayoutView="90" workbookViewId="0">
      <selection activeCell="I14" sqref="I14:J14"/>
    </sheetView>
  </sheetViews>
  <sheetFormatPr defaultColWidth="9.21875" defaultRowHeight="13.2"/>
  <cols>
    <col min="1" max="1" width="18.21875" style="1011" customWidth="1"/>
    <col min="2" max="2" width="26.21875" style="1011" customWidth="1"/>
    <col min="3" max="3" width="3.21875" style="1011" customWidth="1"/>
    <col min="4" max="4" width="11.5546875" style="1011" customWidth="1"/>
    <col min="5" max="5" width="9.44140625" style="1011" customWidth="1"/>
    <col min="6" max="6" width="22.5546875" style="1011" customWidth="1"/>
    <col min="7" max="7" width="9.21875" style="1011"/>
    <col min="8" max="8" width="18.77734375" style="1011" customWidth="1"/>
    <col min="9" max="9" width="12.21875" style="1011" customWidth="1"/>
    <col min="10" max="16384" width="9.21875" style="1011"/>
  </cols>
  <sheetData>
    <row r="1" spans="1:15" ht="18">
      <c r="H1" s="1012" t="str">
        <f>IF(Penyelia!K77&lt;70,"TIDAK LAIK","LAIK")</f>
        <v>LAIK</v>
      </c>
      <c r="I1" s="1013"/>
      <c r="J1" s="1013"/>
    </row>
    <row r="2" spans="1:15" ht="30">
      <c r="A2" s="1224" t="s">
        <v>435</v>
      </c>
      <c r="B2" s="1224"/>
      <c r="C2" s="1224"/>
      <c r="D2" s="1224"/>
      <c r="E2" s="1224"/>
      <c r="F2" s="1224"/>
      <c r="H2" s="1014"/>
      <c r="I2" s="1225"/>
      <c r="J2" s="1226"/>
    </row>
    <row r="3" spans="1:15" ht="13.8">
      <c r="A3" s="1227" t="str">
        <f>"Nomor : 18 /"&amp;" "&amp;[1]ID!I2</f>
        <v>Nomor : 18 / 19 / III - 25 / E - 009.678 DL</v>
      </c>
      <c r="B3" s="1227"/>
      <c r="C3" s="1227"/>
      <c r="D3" s="1227"/>
      <c r="E3" s="1227"/>
      <c r="F3" s="1227"/>
    </row>
    <row r="4" spans="1:15">
      <c r="C4" s="1011" t="s">
        <v>436</v>
      </c>
      <c r="D4" s="1228" t="str">
        <f>[1]ID!E11</f>
        <v>KL.MK 13</v>
      </c>
      <c r="E4" s="1228"/>
      <c r="F4" s="1228"/>
      <c r="H4" s="1015"/>
      <c r="I4" s="1015"/>
      <c r="J4" s="1015"/>
    </row>
    <row r="5" spans="1:15" ht="14.4">
      <c r="H5" s="1229"/>
      <c r="I5" s="1229"/>
      <c r="J5" s="1229"/>
    </row>
    <row r="6" spans="1:15" ht="13.8">
      <c r="A6" s="1016" t="s">
        <v>437</v>
      </c>
      <c r="B6" s="1017" t="s">
        <v>438</v>
      </c>
      <c r="C6" s="1018"/>
      <c r="D6" s="1222" t="s">
        <v>439</v>
      </c>
      <c r="E6" s="1223"/>
      <c r="F6" s="1019" t="str">
        <f>MID(A3,SEARCH("E - ",A3),LEN(A3))</f>
        <v>E - 009.678 DL</v>
      </c>
    </row>
    <row r="7" spans="1:15" ht="13.8">
      <c r="A7" s="1020"/>
      <c r="B7" s="1020"/>
      <c r="C7" s="1020"/>
    </row>
    <row r="8" spans="1:15" ht="13.8">
      <c r="A8" s="1231" t="s">
        <v>2</v>
      </c>
      <c r="B8" s="1231"/>
      <c r="C8" s="1021" t="s">
        <v>3</v>
      </c>
      <c r="D8" s="1232" t="str">
        <f>[1]LH!E5</f>
        <v>x</v>
      </c>
      <c r="E8" s="1231"/>
      <c r="F8" s="1231"/>
      <c r="I8" s="1233"/>
      <c r="J8" s="1233"/>
    </row>
    <row r="9" spans="1:15" ht="14.25" customHeight="1">
      <c r="A9" s="1231" t="s">
        <v>440</v>
      </c>
      <c r="B9" s="1231"/>
      <c r="C9" s="1021" t="s">
        <v>3</v>
      </c>
      <c r="D9" s="1232" t="str">
        <f>[1]LH!E6</f>
        <v>s</v>
      </c>
      <c r="E9" s="1231"/>
      <c r="F9" s="1231"/>
      <c r="I9" s="1233"/>
      <c r="J9" s="1233"/>
    </row>
    <row r="10" spans="1:15" ht="15" customHeight="1">
      <c r="A10" s="1231" t="s">
        <v>441</v>
      </c>
      <c r="B10" s="1231"/>
      <c r="C10" s="1021" t="s">
        <v>3</v>
      </c>
      <c r="D10" s="1232" t="str">
        <f>[1]LH!E7</f>
        <v>d</v>
      </c>
      <c r="E10" s="1231"/>
      <c r="F10" s="1231"/>
      <c r="I10" s="1234"/>
      <c r="J10" s="1235"/>
      <c r="O10" s="1022"/>
    </row>
    <row r="11" spans="1:15" s="1013" customFormat="1" ht="14.4" hidden="1">
      <c r="A11" s="1236" t="s">
        <v>442</v>
      </c>
      <c r="B11" s="1236"/>
      <c r="C11" s="1023" t="s">
        <v>3</v>
      </c>
      <c r="D11" s="1024" t="str">
        <f>I11&amp;"    "&amp;J11&amp;""</f>
        <v xml:space="preserve">    </v>
      </c>
      <c r="E11" s="1024"/>
      <c r="F11" s="1025">
        <f>J11</f>
        <v>0</v>
      </c>
      <c r="I11" s="1026"/>
      <c r="J11" s="1027"/>
      <c r="O11" s="1027"/>
    </row>
    <row r="12" spans="1:15" s="1013" customFormat="1" ht="14.4" hidden="1">
      <c r="A12" s="1236" t="s">
        <v>338</v>
      </c>
      <c r="B12" s="1236"/>
      <c r="C12" s="1023" t="s">
        <v>3</v>
      </c>
      <c r="D12" s="1028"/>
      <c r="E12" s="1028"/>
      <c r="F12" s="1025"/>
      <c r="I12" s="1029"/>
      <c r="J12" s="1027"/>
      <c r="O12" s="1027"/>
    </row>
    <row r="13" spans="1:15" ht="14.4">
      <c r="A13" s="1030"/>
      <c r="B13" s="1030"/>
      <c r="C13" s="1020"/>
      <c r="I13" s="1230"/>
      <c r="J13" s="1230"/>
      <c r="O13" s="1022"/>
    </row>
    <row r="14" spans="1:15" ht="28.5" customHeight="1">
      <c r="A14" s="1031" t="s">
        <v>443</v>
      </c>
      <c r="B14" s="1032"/>
      <c r="C14" s="1020"/>
      <c r="D14" s="1222" t="s">
        <v>444</v>
      </c>
      <c r="E14" s="1223"/>
      <c r="F14" s="1033"/>
      <c r="I14" s="1235"/>
      <c r="J14" s="1235"/>
      <c r="O14" s="1022"/>
    </row>
    <row r="15" spans="1:15" ht="14.4">
      <c r="A15" s="1034"/>
      <c r="B15" s="1020"/>
      <c r="C15" s="1020"/>
      <c r="D15" s="1020"/>
      <c r="E15" s="1020"/>
      <c r="I15" s="1238"/>
      <c r="J15" s="1238"/>
    </row>
    <row r="16" spans="1:15" s="1013" customFormat="1" ht="42.75" customHeight="1">
      <c r="A16" s="1239" t="s">
        <v>445</v>
      </c>
      <c r="B16" s="1239"/>
      <c r="C16" s="1035" t="s">
        <v>3</v>
      </c>
      <c r="D16" s="1240" t="s">
        <v>446</v>
      </c>
      <c r="E16" s="1240"/>
      <c r="F16" s="1240"/>
      <c r="H16" s="1036"/>
      <c r="I16" s="1241"/>
      <c r="J16" s="1242"/>
    </row>
    <row r="17" spans="1:10" ht="14.4">
      <c r="A17" s="1231" t="str">
        <f>"Nama Ruang "</f>
        <v xml:space="preserve">Nama Ruang </v>
      </c>
      <c r="B17" s="1231"/>
      <c r="C17" s="1021" t="s">
        <v>3</v>
      </c>
      <c r="D17" s="1243" t="str">
        <f>[1]LH!E11</f>
        <v>g</v>
      </c>
      <c r="E17" s="1244"/>
      <c r="F17" s="1244"/>
      <c r="H17" s="1245"/>
      <c r="I17" s="1245"/>
      <c r="J17" s="1245"/>
    </row>
    <row r="18" spans="1:10" ht="14.4">
      <c r="A18" s="1231" t="s">
        <v>86</v>
      </c>
      <c r="B18" s="1231"/>
      <c r="C18" s="1021" t="s">
        <v>3</v>
      </c>
      <c r="D18" s="1237" t="str">
        <f>[1]LH!E8</f>
        <v>s</v>
      </c>
      <c r="E18" s="1237"/>
      <c r="F18" s="1237"/>
      <c r="H18" s="1037"/>
      <c r="I18" s="1037"/>
      <c r="J18" s="1037"/>
    </row>
    <row r="19" spans="1:10" ht="14.25" customHeight="1">
      <c r="A19" s="1231" t="str">
        <f>"Tanggal "&amp;B50</f>
        <v>Tanggal Pengujian</v>
      </c>
      <c r="B19" s="1231"/>
      <c r="C19" s="1021" t="s">
        <v>3</v>
      </c>
      <c r="D19" s="1237" t="str">
        <f>[1]LH!E9</f>
        <v>d</v>
      </c>
      <c r="E19" s="1237"/>
      <c r="F19" s="1237"/>
    </row>
    <row r="20" spans="1:10" ht="13.8">
      <c r="A20" s="1231" t="str">
        <f>"Penanggungjawab "&amp;B50</f>
        <v>Penanggungjawab Pengujian</v>
      </c>
      <c r="B20" s="1231"/>
      <c r="C20" s="1021" t="s">
        <v>3</v>
      </c>
      <c r="D20" s="1231" t="e">
        <f>[1]LH!#REF!</f>
        <v>#REF!</v>
      </c>
      <c r="E20" s="1231"/>
      <c r="F20" s="1231"/>
    </row>
    <row r="21" spans="1:10" ht="14.4">
      <c r="A21" s="1231" t="str">
        <f>"Lokasi "&amp;B50</f>
        <v>Lokasi Pengujian</v>
      </c>
      <c r="B21" s="1231"/>
      <c r="C21" s="1021" t="s">
        <v>3</v>
      </c>
      <c r="D21" s="1243" t="str">
        <f>[1]LH!E10</f>
        <v>f</v>
      </c>
      <c r="E21" s="1244"/>
      <c r="F21" s="1244"/>
      <c r="H21" s="1038"/>
    </row>
    <row r="22" spans="1:10" ht="31.5" customHeight="1">
      <c r="A22" s="1244" t="str">
        <f>"Hasil "&amp;B50</f>
        <v>Hasil Pengujian</v>
      </c>
      <c r="B22" s="1244"/>
      <c r="C22" s="1039" t="s">
        <v>3</v>
      </c>
      <c r="D22" s="1246" t="s">
        <v>447</v>
      </c>
      <c r="E22" s="1246"/>
      <c r="F22" s="1246"/>
    </row>
    <row r="23" spans="1:10" ht="13.8">
      <c r="A23" s="1231" t="s">
        <v>10</v>
      </c>
      <c r="B23" s="1231"/>
      <c r="C23" s="1021" t="s">
        <v>3</v>
      </c>
      <c r="D23" s="1231" t="str">
        <f>D4</f>
        <v>KL.MK 13</v>
      </c>
      <c r="E23" s="1231"/>
      <c r="F23" s="1231"/>
    </row>
    <row r="26" spans="1:10" ht="26.25" customHeight="1">
      <c r="D26" s="1040" t="s">
        <v>448</v>
      </c>
      <c r="E26" s="1248">
        <f ca="1">TODAY()</f>
        <v>45189</v>
      </c>
      <c r="F26" s="1248"/>
    </row>
    <row r="27" spans="1:10" ht="13.8">
      <c r="D27" s="1231" t="s">
        <v>449</v>
      </c>
      <c r="E27" s="1231"/>
      <c r="F27" s="1231"/>
    </row>
    <row r="28" spans="1:10" ht="13.8">
      <c r="D28" s="1231" t="s">
        <v>450</v>
      </c>
      <c r="E28" s="1231"/>
      <c r="F28" s="1231"/>
    </row>
    <row r="29" spans="1:10" ht="13.8">
      <c r="D29" s="1041"/>
      <c r="E29" s="1041"/>
    </row>
    <row r="30" spans="1:10" ht="13.8">
      <c r="D30" s="1041"/>
      <c r="E30" s="1041"/>
    </row>
    <row r="31" spans="1:10" ht="13.8">
      <c r="D31" s="1041"/>
      <c r="E31" s="1041"/>
    </row>
    <row r="32" spans="1:10" ht="13.8">
      <c r="D32" s="1231" t="s">
        <v>451</v>
      </c>
      <c r="E32" s="1231"/>
      <c r="F32" s="1231"/>
    </row>
    <row r="33" spans="1:6" ht="13.8">
      <c r="D33" s="1247" t="s">
        <v>452</v>
      </c>
      <c r="E33" s="1247"/>
      <c r="F33" s="1247"/>
    </row>
    <row r="36" spans="1:6">
      <c r="A36" s="1042"/>
      <c r="B36" s="1042"/>
      <c r="C36" s="1042"/>
      <c r="D36" s="1042"/>
      <c r="E36" s="1042"/>
      <c r="F36" s="1042"/>
    </row>
    <row r="42" spans="1:6" ht="13.8" thickBot="1"/>
    <row r="43" spans="1:6" ht="31.5" customHeight="1">
      <c r="A43" s="1043" t="s">
        <v>453</v>
      </c>
      <c r="B43" s="1044" t="str">
        <f>MID([1]ID!I2,SEARCH("E - ",[1]ID!I2),LEN([1]ID!I2))</f>
        <v>E - 009.678 DL</v>
      </c>
    </row>
    <row r="44" spans="1:6">
      <c r="A44" s="1045"/>
      <c r="B44" s="1046"/>
    </row>
    <row r="45" spans="1:6" ht="24" customHeight="1">
      <c r="A45" s="1047" t="s">
        <v>454</v>
      </c>
      <c r="B45" s="1048" t="str">
        <f>[1]ID!A1</f>
        <v>INPUT DATA KALIBRASI KALIBRASI SHORT WAVE DIATHERMY</v>
      </c>
    </row>
    <row r="46" spans="1:6" ht="39" customHeight="1">
      <c r="A46" s="1047" t="s">
        <v>455</v>
      </c>
      <c r="B46" s="1049" t="str">
        <f>IF(B45="INPUT DATA PENGUJIAN DENTAL UNIT",B47,B48)</f>
        <v>SERTIFIKAT PENGUJIAN</v>
      </c>
    </row>
    <row r="47" spans="1:6" ht="22.5" customHeight="1">
      <c r="A47" s="1047" t="s">
        <v>456</v>
      </c>
      <c r="B47" s="1046" t="s">
        <v>457</v>
      </c>
    </row>
    <row r="48" spans="1:6">
      <c r="A48" s="1045"/>
      <c r="B48" s="1046" t="s">
        <v>435</v>
      </c>
    </row>
    <row r="49" spans="1:2">
      <c r="A49" s="1045"/>
      <c r="B49" s="1046"/>
    </row>
    <row r="50" spans="1:2" ht="48" customHeight="1">
      <c r="A50" s="1047" t="s">
        <v>458</v>
      </c>
      <c r="B50" s="1046" t="str">
        <f>IF(RIGHT(A2,10)=" KALIBRASI","Kalibrasi","Pengujian")</f>
        <v>Pengujian</v>
      </c>
    </row>
    <row r="51" spans="1:2">
      <c r="A51" s="1045"/>
      <c r="B51" s="1046"/>
    </row>
    <row r="52" spans="1:2" s="1051" customFormat="1" ht="34.5" customHeight="1">
      <c r="A52" s="1047" t="s">
        <v>459</v>
      </c>
      <c r="B52" s="1050" t="s">
        <v>460</v>
      </c>
    </row>
    <row r="53" spans="1:2">
      <c r="A53" s="1045"/>
      <c r="B53" s="1046"/>
    </row>
    <row r="54" spans="1:2" ht="50.25" customHeight="1">
      <c r="A54" s="1052" t="s">
        <v>461</v>
      </c>
      <c r="B54" s="1053" t="e">
        <f>DATE(YEAR(D19)+1,MONTH(D19),DAY(D19))</f>
        <v>#VALUE!</v>
      </c>
    </row>
    <row r="55" spans="1:2" ht="27" customHeight="1">
      <c r="A55" s="1047" t="s">
        <v>462</v>
      </c>
      <c r="B55" s="1054" t="e">
        <f>TEXT(B54,"d mmmm yyyy")</f>
        <v>#VALUE!</v>
      </c>
    </row>
    <row r="56" spans="1:2">
      <c r="A56" s="1045"/>
      <c r="B56" s="1046"/>
    </row>
    <row r="57" spans="1:2" ht="30" customHeight="1">
      <c r="A57" s="1052" t="s">
        <v>463</v>
      </c>
      <c r="B57" s="1055" t="e">
        <f>IF(B46=B47,B58,B59)</f>
        <v>#VALUE!</v>
      </c>
    </row>
    <row r="58" spans="1:2" ht="13.8">
      <c r="A58" s="1045" t="s">
        <v>464</v>
      </c>
      <c r="B58" s="1056" t="e">
        <f>CONCATENATE(B60,B55)</f>
        <v>#VALUE!</v>
      </c>
    </row>
    <row r="59" spans="1:2" ht="13.8">
      <c r="A59" s="1045"/>
      <c r="B59" s="1056" t="e">
        <f>CONCATENATE(B61,B55)</f>
        <v>#VALUE!</v>
      </c>
    </row>
    <row r="60" spans="1:2" ht="42" customHeight="1">
      <c r="A60" s="1057" t="s">
        <v>456</v>
      </c>
      <c r="B60" s="1056" t="s">
        <v>465</v>
      </c>
    </row>
    <row r="61" spans="1:2" ht="39.75" customHeight="1" thickBot="1">
      <c r="A61" s="1058"/>
      <c r="B61" s="1059" t="s">
        <v>466</v>
      </c>
    </row>
  </sheetData>
  <sheetProtection formatRows="0"/>
  <mergeCells count="44">
    <mergeCell ref="D33:F33"/>
    <mergeCell ref="A23:B23"/>
    <mergeCell ref="D23:F23"/>
    <mergeCell ref="E26:F26"/>
    <mergeCell ref="D27:F27"/>
    <mergeCell ref="D28:F28"/>
    <mergeCell ref="D32:F32"/>
    <mergeCell ref="A20:B20"/>
    <mergeCell ref="D20:F20"/>
    <mergeCell ref="A21:B21"/>
    <mergeCell ref="D21:F21"/>
    <mergeCell ref="A22:B22"/>
    <mergeCell ref="D22:F22"/>
    <mergeCell ref="A19:B19"/>
    <mergeCell ref="D19:F19"/>
    <mergeCell ref="D14:E14"/>
    <mergeCell ref="I14:J14"/>
    <mergeCell ref="I15:J15"/>
    <mergeCell ref="A16:B16"/>
    <mergeCell ref="D16:F16"/>
    <mergeCell ref="I16:J16"/>
    <mergeCell ref="A17:B17"/>
    <mergeCell ref="D17:F17"/>
    <mergeCell ref="H17:J17"/>
    <mergeCell ref="A18:B18"/>
    <mergeCell ref="D18:F18"/>
    <mergeCell ref="I13:J13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A11:B11"/>
    <mergeCell ref="A12:B12"/>
    <mergeCell ref="D6:E6"/>
    <mergeCell ref="A2:F2"/>
    <mergeCell ref="I2:J2"/>
    <mergeCell ref="A3:F3"/>
    <mergeCell ref="D4:F4"/>
    <mergeCell ref="H5:J5"/>
  </mergeCells>
  <dataValidations count="3">
    <dataValidation type="list" allowBlank="1" showInputMessage="1" showErrorMessage="1" sqref="J12" xr:uid="{97591FEE-9613-454F-A9F4-3EB0D93AAF1F}">
      <formula1>$O$9:$O$14</formula1>
    </dataValidation>
    <dataValidation type="list" allowBlank="1" showInputMessage="1" showErrorMessage="1" sqref="J11" xr:uid="{532B0DAE-F5C3-489A-AF2E-343888424852}">
      <formula1>$M$2:$M$22</formula1>
    </dataValidation>
    <dataValidation type="list" allowBlank="1" showInputMessage="1" showErrorMessage="1" sqref="A2:F2" xr:uid="{9D4E9445-6B3C-4EDE-838A-29B54F287169}">
      <formula1>"SERTIFIKAT KALIBRASI,SERTIFIKAT PENGUJIAN"</formula1>
    </dataValidation>
  </dataValidations>
  <pageMargins left="0.6" right="0.3" top="1.57" bottom="0" header="0.5" footer="0.6"/>
  <pageSetup paperSize="9" orientation="portrait" horizontalDpi="0" verticalDpi="0" r:id="rId1"/>
  <headerFooter>
    <oddFooter>&amp;L&amp;"Times New Roman,Bold"Sertifikat ini terdiri dari 2 halaman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32"/>
  <sheetViews>
    <sheetView view="pageBreakPreview" topLeftCell="A7" zoomScale="115" zoomScaleNormal="115" zoomScaleSheetLayoutView="115" workbookViewId="0">
      <selection activeCell="G11" sqref="G11"/>
    </sheetView>
  </sheetViews>
  <sheetFormatPr defaultColWidth="8.77734375" defaultRowHeight="13.8"/>
  <cols>
    <col min="1" max="1" width="5.5546875" style="1154" customWidth="1"/>
    <col min="2" max="2" width="13.77734375" style="1154" customWidth="1"/>
    <col min="3" max="3" width="8.77734375" style="1154" customWidth="1"/>
    <col min="4" max="4" width="9.5546875" style="1154" customWidth="1"/>
    <col min="5" max="5" width="8.77734375" style="1154" customWidth="1"/>
    <col min="6" max="6" width="10.21875" style="1154" customWidth="1"/>
    <col min="7" max="7" width="8.5546875" style="1154" customWidth="1"/>
    <col min="8" max="9" width="6.21875" style="1154" customWidth="1"/>
    <col min="10" max="10" width="8.21875" style="1154" customWidth="1"/>
    <col min="11" max="11" width="7.77734375" style="1154" customWidth="1"/>
    <col min="12" max="12" width="8.77734375" style="1154" customWidth="1"/>
    <col min="13" max="13" width="7" style="1154" customWidth="1"/>
    <col min="14" max="14" width="6.44140625" style="1154" customWidth="1"/>
    <col min="15" max="15" width="7.77734375" style="1154" customWidth="1"/>
    <col min="16" max="16384" width="8.77734375" style="1112"/>
  </cols>
  <sheetData>
    <row r="1" spans="1:16" ht="15.6">
      <c r="A1" s="1766" t="str">
        <f>Penyelia!A1</f>
        <v>Hasil Kalibrasi Electro Stimulator</v>
      </c>
      <c r="B1" s="1766"/>
      <c r="C1" s="1766"/>
      <c r="D1" s="1766"/>
      <c r="E1" s="1766"/>
      <c r="F1" s="1766"/>
      <c r="G1" s="1766"/>
      <c r="H1" s="1766"/>
      <c r="I1" s="1766"/>
      <c r="J1" s="1766"/>
      <c r="K1" s="1766"/>
      <c r="L1" s="1766"/>
      <c r="M1" s="1766"/>
      <c r="N1" s="1766"/>
      <c r="O1" s="1766"/>
    </row>
    <row r="2" spans="1:16" ht="14.4">
      <c r="A2" s="1767" t="str">
        <f>Penyelia!A2</f>
        <v>Nomor Sertifikat : 21 / 1 / X - 23 / E - 45</v>
      </c>
      <c r="B2" s="1767"/>
      <c r="C2" s="1767"/>
      <c r="D2" s="1767"/>
      <c r="E2" s="1767"/>
      <c r="F2" s="1767"/>
      <c r="G2" s="1767"/>
      <c r="H2" s="1767"/>
      <c r="I2" s="1767"/>
      <c r="J2" s="1767"/>
      <c r="K2" s="1767"/>
      <c r="L2" s="1767"/>
      <c r="M2" s="1767"/>
      <c r="N2" s="1767"/>
      <c r="O2" s="1767"/>
    </row>
    <row r="3" spans="1:16">
      <c r="A3" s="1152"/>
      <c r="B3" s="1152"/>
      <c r="C3" s="1152"/>
      <c r="D3" s="1152"/>
      <c r="E3" s="1152"/>
      <c r="F3" s="1152"/>
      <c r="G3" s="1152"/>
      <c r="H3" s="1152"/>
      <c r="I3" s="1152"/>
      <c r="J3" s="1152"/>
      <c r="K3" s="1152"/>
      <c r="L3" s="1152"/>
      <c r="M3" s="1152"/>
      <c r="N3" s="1152"/>
      <c r="O3" s="1152"/>
    </row>
    <row r="4" spans="1:16">
      <c r="A4" s="1152" t="s">
        <v>2</v>
      </c>
      <c r="B4" s="1152"/>
      <c r="C4" s="1152"/>
      <c r="D4" s="1153" t="str">
        <f>Penyelia!D4</f>
        <v>:</v>
      </c>
      <c r="E4" s="1154" t="str">
        <f>Penyelia!E4</f>
        <v>ITO</v>
      </c>
      <c r="H4" s="1155"/>
      <c r="I4" s="1155"/>
      <c r="J4" s="1152"/>
      <c r="K4" s="1152"/>
      <c r="L4" s="1152"/>
      <c r="M4" s="1152"/>
      <c r="N4" s="1152"/>
      <c r="O4" s="1152"/>
      <c r="P4" s="1156" t="s">
        <v>203</v>
      </c>
    </row>
    <row r="5" spans="1:16">
      <c r="A5" s="1152" t="s">
        <v>5</v>
      </c>
      <c r="B5" s="1152"/>
      <c r="C5" s="1152"/>
      <c r="D5" s="1153" t="str">
        <f>Penyelia!D5</f>
        <v>:</v>
      </c>
      <c r="E5" s="1154" t="str">
        <f>Penyelia!E5</f>
        <v>EU-940</v>
      </c>
      <c r="H5" s="1155"/>
      <c r="I5" s="1155"/>
      <c r="J5" s="1152"/>
      <c r="K5" s="1152"/>
      <c r="L5" s="1152"/>
      <c r="M5" s="1152"/>
      <c r="N5" s="1152"/>
      <c r="O5" s="1152"/>
      <c r="P5" s="1157"/>
    </row>
    <row r="6" spans="1:16">
      <c r="A6" s="1152" t="s">
        <v>6</v>
      </c>
      <c r="B6" s="1152"/>
      <c r="C6" s="1152"/>
      <c r="D6" s="1153" t="str">
        <f>Penyelia!D6</f>
        <v>:</v>
      </c>
      <c r="E6" s="1154" t="str">
        <f>Penyelia!E6</f>
        <v>200610430008</v>
      </c>
      <c r="H6" s="1155"/>
      <c r="I6" s="1155"/>
      <c r="J6" s="1152"/>
      <c r="K6" s="1152"/>
      <c r="L6" s="1152"/>
      <c r="M6" s="1152"/>
      <c r="N6" s="1152"/>
      <c r="O6" s="1152"/>
      <c r="P6" s="1158"/>
    </row>
    <row r="7" spans="1:16">
      <c r="A7" s="1152" t="str">
        <f>ID!A7</f>
        <v>Tanggal Penerimaan Alat</v>
      </c>
      <c r="B7" s="1152"/>
      <c r="C7" s="1152"/>
      <c r="D7" s="1153" t="str">
        <f>Penyelia!D7</f>
        <v>:</v>
      </c>
      <c r="E7" s="1154" t="str">
        <f>Penyelia!E7</f>
        <v>22 April 2017</v>
      </c>
      <c r="H7" s="1155"/>
      <c r="I7" s="1155"/>
      <c r="J7" s="1152"/>
      <c r="K7" s="1152"/>
      <c r="L7" s="1152"/>
      <c r="M7" s="1152"/>
      <c r="N7" s="1152"/>
      <c r="O7" s="1152"/>
      <c r="P7" s="1158"/>
    </row>
    <row r="8" spans="1:16">
      <c r="A8" s="1154" t="s">
        <v>7</v>
      </c>
      <c r="B8" s="1152"/>
      <c r="C8" s="1152"/>
      <c r="D8" s="1153" t="str">
        <f>Penyelia!D8</f>
        <v>:</v>
      </c>
      <c r="E8" s="1154" t="str">
        <f>Penyelia!E8</f>
        <v>22 April 2017</v>
      </c>
      <c r="H8" s="1155"/>
      <c r="I8" s="1155"/>
      <c r="J8" s="1152"/>
      <c r="K8" s="1152"/>
      <c r="L8" s="1152"/>
      <c r="M8" s="1152"/>
      <c r="N8" s="1152"/>
      <c r="O8" s="1152"/>
      <c r="P8" s="1158"/>
    </row>
    <row r="9" spans="1:16">
      <c r="A9" s="1154" t="s">
        <v>8</v>
      </c>
      <c r="B9" s="1152"/>
      <c r="C9" s="1152"/>
      <c r="D9" s="1153" t="str">
        <f>Penyelia!D9</f>
        <v>:</v>
      </c>
      <c r="E9" s="1154" t="str">
        <f>Penyelia!E9</f>
        <v>Fisiotherapy</v>
      </c>
      <c r="H9" s="1155"/>
      <c r="I9" s="1155"/>
      <c r="J9" s="1152"/>
      <c r="K9" s="1152"/>
      <c r="L9" s="1152"/>
      <c r="M9" s="1152"/>
      <c r="N9" s="1152"/>
      <c r="O9" s="1152"/>
      <c r="P9" s="1158"/>
    </row>
    <row r="10" spans="1:16">
      <c r="A10" s="1154" t="s">
        <v>9</v>
      </c>
      <c r="B10" s="1152"/>
      <c r="C10" s="1152"/>
      <c r="D10" s="1153" t="str">
        <f>Penyelia!D10</f>
        <v>:</v>
      </c>
      <c r="E10" s="1154" t="str">
        <f>Penyelia!E10</f>
        <v>Fisiotherapy</v>
      </c>
      <c r="H10" s="1155"/>
      <c r="I10" s="1155"/>
      <c r="J10" s="1152"/>
      <c r="K10" s="1152"/>
      <c r="L10" s="1152"/>
      <c r="M10" s="1152"/>
      <c r="N10" s="1152"/>
      <c r="O10" s="1152"/>
      <c r="P10" s="1158"/>
    </row>
    <row r="11" spans="1:16">
      <c r="A11" s="1152" t="s">
        <v>10</v>
      </c>
      <c r="B11" s="1152"/>
      <c r="C11" s="1152"/>
      <c r="D11" s="1153" t="str">
        <f>Penyelia!D11</f>
        <v>:</v>
      </c>
      <c r="E11" s="1154" t="str">
        <f>Penyelia!E11</f>
        <v>KL.MK - 11</v>
      </c>
      <c r="H11" s="1152"/>
      <c r="I11" s="1152"/>
      <c r="J11" s="1152"/>
      <c r="K11" s="1152"/>
      <c r="L11" s="1152"/>
      <c r="M11" s="1152"/>
      <c r="N11" s="1152"/>
      <c r="O11" s="1152"/>
    </row>
    <row r="12" spans="1:16">
      <c r="A12" s="1152"/>
      <c r="B12" s="1152"/>
      <c r="C12" s="1152"/>
      <c r="D12" s="1159"/>
      <c r="E12" s="1152"/>
      <c r="F12" s="1152"/>
      <c r="G12" s="1152"/>
      <c r="H12" s="1152"/>
      <c r="I12" s="1152"/>
      <c r="J12" s="1152"/>
      <c r="K12" s="1152"/>
      <c r="L12" s="1152"/>
      <c r="M12" s="1152"/>
      <c r="N12" s="1152"/>
      <c r="O12" s="1152"/>
    </row>
    <row r="13" spans="1:16">
      <c r="A13" s="1160" t="s">
        <v>12</v>
      </c>
      <c r="B13" s="1160" t="s">
        <v>13</v>
      </c>
      <c r="C13" s="1152"/>
      <c r="D13" s="1159"/>
      <c r="E13" s="1152"/>
      <c r="F13" s="1152"/>
      <c r="G13" s="1161"/>
      <c r="H13" s="1161"/>
      <c r="I13" s="1161"/>
      <c r="J13" s="1764"/>
      <c r="K13" s="1764"/>
      <c r="L13" s="1152"/>
      <c r="M13" s="1152"/>
      <c r="N13" s="1152"/>
      <c r="O13" s="1152"/>
    </row>
    <row r="14" spans="1:16">
      <c r="A14" s="1152"/>
      <c r="B14" s="1152" t="s">
        <v>16</v>
      </c>
      <c r="C14" s="1160"/>
      <c r="D14" s="1162" t="s">
        <v>3</v>
      </c>
      <c r="E14" s="1221" t="str">
        <f>'DB Thermohygro '!M341</f>
        <v>23.8</v>
      </c>
      <c r="F14" s="1103" t="str">
        <f>'DB Thermohygro '!N357</f>
        <v>0.3</v>
      </c>
      <c r="J14" s="1765"/>
      <c r="K14" s="1765"/>
      <c r="L14" s="1152"/>
      <c r="M14" s="1152"/>
      <c r="N14" s="1152"/>
      <c r="O14" s="1152"/>
    </row>
    <row r="15" spans="1:16">
      <c r="A15" s="1152"/>
      <c r="B15" s="1152" t="s">
        <v>92</v>
      </c>
      <c r="C15" s="1152"/>
      <c r="D15" s="1162" t="s">
        <v>3</v>
      </c>
      <c r="E15" s="1221" t="str">
        <f>'DB Thermohygro '!M342</f>
        <v>48.6</v>
      </c>
      <c r="F15" s="1103" t="str">
        <f>'DB Thermohygro '!N358</f>
        <v>3.1</v>
      </c>
      <c r="J15" s="1765"/>
      <c r="K15" s="1765"/>
      <c r="L15" s="1152"/>
      <c r="M15" s="1152"/>
      <c r="N15" s="1152"/>
      <c r="O15" s="1152"/>
    </row>
    <row r="16" spans="1:16">
      <c r="A16" s="1152"/>
      <c r="B16" s="1152" t="s">
        <v>20</v>
      </c>
      <c r="C16" s="1152"/>
      <c r="D16" s="1162" t="s">
        <v>3</v>
      </c>
      <c r="E16" s="1094" t="str">
        <f>ESA!Q137</f>
        <v>220.0</v>
      </c>
      <c r="F16" s="1095" t="str">
        <f>ESA!Q143</f>
        <v>2.6</v>
      </c>
      <c r="G16" s="1152"/>
      <c r="H16" s="1152"/>
      <c r="I16" s="1152"/>
      <c r="J16" s="1152"/>
      <c r="K16" s="1152"/>
      <c r="L16" s="1152"/>
      <c r="M16" s="1152"/>
      <c r="N16" s="1152"/>
      <c r="O16" s="1152"/>
    </row>
    <row r="17" spans="1:24">
      <c r="A17" s="1152"/>
      <c r="B17" s="1152"/>
      <c r="C17" s="1152"/>
      <c r="D17" s="1163"/>
      <c r="E17" s="1152"/>
      <c r="F17" s="1152"/>
      <c r="G17" s="1164"/>
      <c r="H17" s="1164"/>
      <c r="I17" s="1103"/>
      <c r="J17" s="1165"/>
      <c r="K17" s="1165"/>
      <c r="L17" s="1152"/>
      <c r="M17" s="1152"/>
      <c r="N17" s="1152"/>
      <c r="O17" s="1152"/>
    </row>
    <row r="18" spans="1:24">
      <c r="A18" s="1160" t="s">
        <v>22</v>
      </c>
      <c r="B18" s="1160" t="s">
        <v>94</v>
      </c>
      <c r="C18" s="1152"/>
      <c r="D18" s="1163"/>
      <c r="E18" s="1152"/>
      <c r="F18" s="1152"/>
      <c r="G18" s="1152"/>
      <c r="H18" s="1152"/>
      <c r="I18" s="1152"/>
      <c r="J18" s="1152"/>
      <c r="K18" s="1152"/>
      <c r="L18" s="1152"/>
      <c r="M18" s="1152"/>
      <c r="N18" s="1152"/>
      <c r="O18" s="1152"/>
    </row>
    <row r="19" spans="1:24">
      <c r="A19" s="1152"/>
      <c r="B19" s="1152" t="s">
        <v>24</v>
      </c>
      <c r="C19" s="1160"/>
      <c r="D19" s="1162" t="s">
        <v>3</v>
      </c>
      <c r="E19" s="1096" t="str">
        <f>Penyelia!E19</f>
        <v>Baik</v>
      </c>
      <c r="H19" s="1152"/>
      <c r="I19" s="1152"/>
      <c r="J19" s="1152"/>
      <c r="K19" s="1152"/>
      <c r="L19" s="1152"/>
      <c r="M19" s="1152"/>
      <c r="N19" s="1152"/>
      <c r="O19" s="1152"/>
    </row>
    <row r="20" spans="1:24">
      <c r="A20" s="1152"/>
      <c r="B20" s="1152" t="s">
        <v>27</v>
      </c>
      <c r="C20" s="1152"/>
      <c r="D20" s="1162" t="s">
        <v>3</v>
      </c>
      <c r="E20" s="1096" t="str">
        <f>Penyelia!E20</f>
        <v>Baik</v>
      </c>
      <c r="H20" s="1152"/>
      <c r="I20" s="1152"/>
      <c r="J20" s="1152"/>
      <c r="K20" s="1152"/>
      <c r="L20" s="1152"/>
      <c r="M20" s="1152"/>
      <c r="N20" s="1152"/>
      <c r="O20" s="1152"/>
    </row>
    <row r="21" spans="1:24">
      <c r="A21" s="1160"/>
      <c r="B21" s="1160"/>
      <c r="C21" s="1152"/>
      <c r="D21" s="1152"/>
      <c r="E21" s="1152"/>
      <c r="F21" s="1152"/>
      <c r="G21" s="1152"/>
      <c r="H21" s="1152"/>
      <c r="I21" s="1152"/>
      <c r="J21" s="1152"/>
      <c r="K21" s="1152"/>
      <c r="L21" s="1152"/>
      <c r="M21" s="1152"/>
      <c r="N21" s="1152"/>
      <c r="O21" s="1152"/>
    </row>
    <row r="22" spans="1:24">
      <c r="A22" s="1160" t="s">
        <v>28</v>
      </c>
      <c r="B22" s="1160" t="s">
        <v>29</v>
      </c>
      <c r="C22" s="1152"/>
      <c r="D22" s="1152"/>
      <c r="E22" s="1152"/>
      <c r="F22" s="1152"/>
      <c r="G22" s="1152"/>
      <c r="H22" s="1152"/>
      <c r="I22" s="1152"/>
      <c r="J22" s="1166"/>
      <c r="K22" s="1166"/>
      <c r="L22" s="1166"/>
      <c r="M22" s="1166"/>
      <c r="N22" s="1166"/>
      <c r="O22" s="1152"/>
    </row>
    <row r="23" spans="1:24" ht="30" customHeight="1">
      <c r="A23" s="1167" t="s">
        <v>30</v>
      </c>
      <c r="B23" s="1761" t="s">
        <v>31</v>
      </c>
      <c r="C23" s="1763"/>
      <c r="D23" s="1763"/>
      <c r="E23" s="1763"/>
      <c r="F23" s="1763"/>
      <c r="G23" s="1763"/>
      <c r="H23" s="1763"/>
      <c r="I23" s="1762"/>
      <c r="J23" s="1761" t="s">
        <v>32</v>
      </c>
      <c r="K23" s="1762"/>
      <c r="L23" s="1761" t="s">
        <v>33</v>
      </c>
      <c r="M23" s="1762"/>
      <c r="N23" s="1152"/>
    </row>
    <row r="24" spans="1:24">
      <c r="A24" s="1168">
        <v>1</v>
      </c>
      <c r="B24" s="1169" t="s">
        <v>34</v>
      </c>
      <c r="C24" s="1170"/>
      <c r="D24" s="1170"/>
      <c r="E24" s="1170"/>
      <c r="F24" s="1170"/>
      <c r="G24" s="1170"/>
      <c r="H24" s="1170"/>
      <c r="I24" s="1171"/>
      <c r="J24" s="1104" t="str">
        <f>Penyelia!J24</f>
        <v>OL</v>
      </c>
      <c r="K24" s="1070" t="str">
        <f>ID!L24</f>
        <v/>
      </c>
      <c r="L24" s="1172" t="s">
        <v>470</v>
      </c>
      <c r="M24" s="1070" t="s">
        <v>37</v>
      </c>
      <c r="N24" s="1152"/>
    </row>
    <row r="25" spans="1:24">
      <c r="A25" s="1168">
        <v>2</v>
      </c>
      <c r="B25" s="1169" t="str">
        <f>Penyelia!B25</f>
        <v>Resistansi Pembumian Protektif (kabel tidak dapat dilepas)</v>
      </c>
      <c r="C25" s="1170"/>
      <c r="D25" s="1170"/>
      <c r="E25" s="1170"/>
      <c r="F25" s="1170"/>
      <c r="G25" s="1170"/>
      <c r="H25" s="1170"/>
      <c r="I25" s="1171"/>
      <c r="J25" s="1105">
        <f>Penyelia!J25</f>
        <v>0.10315667477792889</v>
      </c>
      <c r="K25" s="1070" t="str">
        <f>ID!L25</f>
        <v>Ω</v>
      </c>
      <c r="L25" s="1172" t="s">
        <v>39</v>
      </c>
      <c r="M25" s="1070" t="s">
        <v>38</v>
      </c>
      <c r="N25" s="1152"/>
    </row>
    <row r="26" spans="1:24">
      <c r="A26" s="1168">
        <v>3</v>
      </c>
      <c r="B26" s="1169" t="str">
        <f>Penyelia!B26</f>
        <v>Arus bocor peralatan untuk peralatan elektromedik kelas I</v>
      </c>
      <c r="C26" s="1170"/>
      <c r="D26" s="1170"/>
      <c r="E26" s="1170"/>
      <c r="F26" s="1170"/>
      <c r="G26" s="1170"/>
      <c r="H26" s="1170"/>
      <c r="I26" s="1171"/>
      <c r="J26" s="1104" t="str">
        <f>Penyelia!J26</f>
        <v>-</v>
      </c>
      <c r="K26" s="1070" t="str">
        <f>ID!L26</f>
        <v/>
      </c>
      <c r="L26" s="1172" t="str">
        <f>Penyelia!L26</f>
        <v>≤ 500</v>
      </c>
      <c r="M26" s="1070" t="s">
        <v>40</v>
      </c>
      <c r="N26" s="1152"/>
    </row>
    <row r="27" spans="1:24">
      <c r="A27" s="1168">
        <v>4</v>
      </c>
      <c r="B27" s="1169" t="s">
        <v>42</v>
      </c>
      <c r="C27" s="1170"/>
      <c r="D27" s="1170"/>
      <c r="E27" s="1170"/>
      <c r="F27" s="1170"/>
      <c r="G27" s="1170"/>
      <c r="H27" s="1170"/>
      <c r="I27" s="1171"/>
      <c r="J27" s="1104" t="str">
        <f>Penyelia!J27</f>
        <v>-</v>
      </c>
      <c r="K27" s="1070" t="str">
        <f>ID!L27</f>
        <v/>
      </c>
      <c r="L27" s="1172" t="s">
        <v>264</v>
      </c>
      <c r="M27" s="1070" t="s">
        <v>40</v>
      </c>
      <c r="N27" s="1152"/>
    </row>
    <row r="28" spans="1:24">
      <c r="A28" s="1160"/>
      <c r="B28" s="1160"/>
      <c r="C28" s="1152"/>
      <c r="D28" s="1152"/>
      <c r="E28" s="1152"/>
      <c r="F28" s="1152"/>
      <c r="G28" s="1152"/>
      <c r="H28" s="1152"/>
      <c r="I28" s="1152"/>
      <c r="J28" s="1152"/>
      <c r="K28" s="1152"/>
      <c r="L28" s="1152"/>
      <c r="M28" s="1152"/>
      <c r="N28" s="1152"/>
      <c r="O28" s="1152"/>
    </row>
    <row r="29" spans="1:24">
      <c r="A29" s="1160" t="s">
        <v>44</v>
      </c>
      <c r="B29" s="1160" t="str">
        <f>ID!B29</f>
        <v>Hasil Pengukuran Kinerja Electro Stimulator pada Channel 1</v>
      </c>
      <c r="C29" s="1160"/>
      <c r="D29" s="1160"/>
      <c r="E29" s="1152"/>
      <c r="F29" s="1152"/>
      <c r="G29" s="1152"/>
      <c r="H29" s="1152"/>
      <c r="I29" s="1152"/>
      <c r="J29" s="1152"/>
      <c r="K29" s="1152"/>
      <c r="L29" s="1152"/>
      <c r="M29" s="1152"/>
      <c r="N29" s="1152"/>
      <c r="O29" s="1152"/>
    </row>
    <row r="30" spans="1:24">
      <c r="A30" s="1752" t="s">
        <v>46</v>
      </c>
      <c r="B30" s="1752" t="s">
        <v>47</v>
      </c>
      <c r="C30" s="1755" t="s">
        <v>48</v>
      </c>
      <c r="D30" s="1755" t="s">
        <v>101</v>
      </c>
      <c r="E30" s="1758" t="s">
        <v>205</v>
      </c>
      <c r="F30" s="1758" t="s">
        <v>206</v>
      </c>
      <c r="G30" s="1782" t="s">
        <v>50</v>
      </c>
      <c r="H30" s="1772" t="s">
        <v>207</v>
      </c>
      <c r="I30" s="1773"/>
      <c r="S30" s="1160"/>
      <c r="T30" s="1160"/>
      <c r="U30" s="1160"/>
      <c r="V30" s="1160"/>
      <c r="W30" s="1160"/>
      <c r="X30" s="1160"/>
    </row>
    <row r="31" spans="1:24">
      <c r="A31" s="1753"/>
      <c r="B31" s="1753"/>
      <c r="C31" s="1756"/>
      <c r="D31" s="1756"/>
      <c r="E31" s="1759"/>
      <c r="F31" s="1759"/>
      <c r="G31" s="1783"/>
      <c r="H31" s="1774"/>
      <c r="I31" s="1775"/>
      <c r="S31" s="1173"/>
      <c r="T31" s="1173"/>
      <c r="U31" s="1173"/>
      <c r="V31" s="1173"/>
      <c r="W31" s="1173"/>
      <c r="X31" s="1173"/>
    </row>
    <row r="32" spans="1:24">
      <c r="A32" s="1754"/>
      <c r="B32" s="1754"/>
      <c r="C32" s="1757"/>
      <c r="D32" s="1757"/>
      <c r="E32" s="1760"/>
      <c r="F32" s="1760"/>
      <c r="G32" s="1784"/>
      <c r="H32" s="1776"/>
      <c r="I32" s="1777"/>
      <c r="S32" s="1173"/>
      <c r="T32" s="1173"/>
      <c r="U32" s="1173"/>
      <c r="V32" s="1173"/>
      <c r="W32" s="1173"/>
      <c r="X32" s="1173"/>
    </row>
    <row r="33" spans="1:24" ht="15" customHeight="1">
      <c r="A33" s="1174">
        <v>1</v>
      </c>
      <c r="B33" s="1778" t="s">
        <v>56</v>
      </c>
      <c r="C33" s="1174">
        <f>Penyelia!C33</f>
        <v>10</v>
      </c>
      <c r="D33" s="1106">
        <f>Penyelia!D33</f>
        <v>10.00005000016</v>
      </c>
      <c r="E33" s="1106">
        <f>Penyelia!E33</f>
        <v>5.0000159999896709E-5</v>
      </c>
      <c r="F33" s="1107">
        <f>Penyelia!F33</f>
        <v>-5.0000159999896709E-4</v>
      </c>
      <c r="G33" s="1779" t="s">
        <v>471</v>
      </c>
      <c r="H33" s="1175" t="s">
        <v>204</v>
      </c>
      <c r="I33" s="1097">
        <f>Penyelia!I33</f>
        <v>0.57982717895182467</v>
      </c>
      <c r="S33" s="1176"/>
      <c r="T33" s="1176"/>
      <c r="U33" s="1176"/>
      <c r="V33" s="1176"/>
      <c r="W33" s="1176"/>
      <c r="X33" s="1176"/>
    </row>
    <row r="34" spans="1:24">
      <c r="A34" s="1174">
        <v>2</v>
      </c>
      <c r="B34" s="1778"/>
      <c r="C34" s="1174">
        <f>Penyelia!C34</f>
        <v>20</v>
      </c>
      <c r="D34" s="1106">
        <f>Penyelia!D34</f>
        <v>19.999923335426619</v>
      </c>
      <c r="E34" s="1106">
        <f>Penyelia!E34</f>
        <v>-7.6664573381179935E-5</v>
      </c>
      <c r="F34" s="1107">
        <f>Penyelia!F34</f>
        <v>3.8332286690589962E-4</v>
      </c>
      <c r="G34" s="1780"/>
      <c r="H34" s="1175" t="s">
        <v>204</v>
      </c>
      <c r="I34" s="1097">
        <f>Penyelia!I34</f>
        <v>0.28991345769469989</v>
      </c>
      <c r="S34" s="1176"/>
      <c r="T34" s="1176"/>
      <c r="U34" s="1176"/>
      <c r="V34" s="1176"/>
      <c r="W34" s="1176"/>
      <c r="X34" s="1176"/>
    </row>
    <row r="35" spans="1:24">
      <c r="A35" s="1174">
        <v>3</v>
      </c>
      <c r="B35" s="1778"/>
      <c r="C35" s="1174">
        <f>Penyelia!C35</f>
        <v>30</v>
      </c>
      <c r="D35" s="1106">
        <f>Penyelia!D35</f>
        <v>29.999880003139932</v>
      </c>
      <c r="E35" s="1106">
        <f>Penyelia!E35</f>
        <v>-1.199968600680279E-4</v>
      </c>
      <c r="F35" s="1107">
        <f>Penyelia!F35</f>
        <v>3.9998953356009303E-4</v>
      </c>
      <c r="G35" s="1780"/>
      <c r="H35" s="1175" t="s">
        <v>204</v>
      </c>
      <c r="I35" s="1097">
        <f>Penyelia!I35</f>
        <v>0.19327563847065493</v>
      </c>
      <c r="S35" s="1176"/>
      <c r="T35" s="1176"/>
      <c r="U35" s="1176"/>
      <c r="V35" s="1176"/>
      <c r="W35" s="1176"/>
      <c r="X35" s="1176"/>
    </row>
    <row r="36" spans="1:24">
      <c r="A36" s="1174">
        <v>4</v>
      </c>
      <c r="B36" s="1778"/>
      <c r="C36" s="1174">
        <f>Penyelia!C36</f>
        <v>40</v>
      </c>
      <c r="D36" s="1106">
        <f>Penyelia!D36</f>
        <v>39.999836670853242</v>
      </c>
      <c r="E36" s="1106">
        <f>Penyelia!E36</f>
        <v>-1.6332914675842858E-4</v>
      </c>
      <c r="F36" s="1107">
        <f>Penyelia!F36</f>
        <v>4.0832286689607145E-4</v>
      </c>
      <c r="G36" s="1780"/>
      <c r="H36" s="1175" t="s">
        <v>204</v>
      </c>
      <c r="I36" s="1097">
        <f>Penyelia!I36</f>
        <v>0.14495672886088912</v>
      </c>
      <c r="S36" s="1176"/>
      <c r="T36" s="1176"/>
      <c r="U36" s="1176"/>
      <c r="V36" s="1176"/>
      <c r="W36" s="1176"/>
      <c r="X36" s="1176"/>
    </row>
    <row r="37" spans="1:24">
      <c r="A37" s="1174">
        <v>5</v>
      </c>
      <c r="B37" s="1778"/>
      <c r="C37" s="1174">
        <f>Penyelia!C37</f>
        <v>50</v>
      </c>
      <c r="D37" s="1106">
        <f>Penyelia!D37</f>
        <v>49.999793338566555</v>
      </c>
      <c r="E37" s="1106">
        <f>Penyelia!E37</f>
        <v>-2.0666143344527654E-4</v>
      </c>
      <c r="F37" s="1107">
        <f>Penyelia!F37</f>
        <v>4.1332286689055309E-4</v>
      </c>
      <c r="G37" s="1781"/>
      <c r="H37" s="1175" t="s">
        <v>204</v>
      </c>
      <c r="I37" s="1097">
        <f>Penyelia!I37</f>
        <v>0.11596538309683474</v>
      </c>
      <c r="S37" s="1176"/>
      <c r="T37" s="1176"/>
      <c r="U37" s="1176"/>
      <c r="V37" s="1176"/>
      <c r="W37" s="1176"/>
      <c r="X37" s="1176"/>
    </row>
    <row r="38" spans="1:24" ht="20.25" customHeight="1">
      <c r="A38" s="1177">
        <v>6</v>
      </c>
      <c r="B38" s="1178" t="s">
        <v>58</v>
      </c>
      <c r="C38" s="1174">
        <f>Penyelia!C38</f>
        <v>60</v>
      </c>
      <c r="D38" s="1107">
        <f>Penyelia!D38</f>
        <v>60</v>
      </c>
      <c r="E38" s="1107">
        <f>Penyelia!E38</f>
        <v>0</v>
      </c>
      <c r="F38" s="1107">
        <f>Penyelia!F38</f>
        <v>0</v>
      </c>
      <c r="G38" s="1179" t="s">
        <v>210</v>
      </c>
      <c r="H38" s="1175" t="s">
        <v>204</v>
      </c>
      <c r="I38" s="1097">
        <f>Penyelia!I38</f>
        <v>0.29138846889573916</v>
      </c>
      <c r="S38" s="1180"/>
      <c r="T38" s="1180"/>
      <c r="U38" s="1180"/>
      <c r="V38" s="1180"/>
      <c r="W38" s="1180"/>
      <c r="X38" s="1180"/>
    </row>
    <row r="39" spans="1:24">
      <c r="C39" s="1181"/>
      <c r="D39" s="1181"/>
      <c r="E39" s="1181"/>
      <c r="F39" s="1182"/>
      <c r="G39" s="1183"/>
      <c r="H39" s="1184"/>
      <c r="I39" s="1182"/>
      <c r="S39" s="1181"/>
      <c r="T39" s="1181"/>
      <c r="U39" s="1181"/>
      <c r="V39" s="1181"/>
      <c r="W39" s="1181"/>
      <c r="X39" s="1181"/>
    </row>
    <row r="40" spans="1:24">
      <c r="A40" s="1160" t="s">
        <v>59</v>
      </c>
      <c r="B40" s="1185" t="str">
        <f>ID!B39</f>
        <v>Hasil Pengukuran Kinerja Electro Stimulator pada Channel 2</v>
      </c>
      <c r="C40" s="1181"/>
      <c r="D40" s="1181"/>
      <c r="E40" s="1181"/>
      <c r="F40" s="1182"/>
      <c r="G40" s="1183"/>
      <c r="H40" s="1186"/>
      <c r="I40" s="1182"/>
      <c r="S40" s="1181"/>
      <c r="T40" s="1181"/>
      <c r="U40" s="1181"/>
      <c r="V40" s="1181"/>
      <c r="W40" s="1181"/>
      <c r="X40" s="1181"/>
    </row>
    <row r="41" spans="1:24" ht="15" customHeight="1">
      <c r="A41" s="1752" t="s">
        <v>46</v>
      </c>
      <c r="B41" s="1752" t="s">
        <v>47</v>
      </c>
      <c r="C41" s="1755" t="s">
        <v>48</v>
      </c>
      <c r="D41" s="1755" t="s">
        <v>101</v>
      </c>
      <c r="E41" s="1758" t="s">
        <v>205</v>
      </c>
      <c r="F41" s="1758" t="s">
        <v>206</v>
      </c>
      <c r="G41" s="1782" t="s">
        <v>50</v>
      </c>
      <c r="H41" s="1772" t="s">
        <v>207</v>
      </c>
      <c r="I41" s="1773"/>
      <c r="S41" s="1160"/>
      <c r="T41" s="1160"/>
      <c r="U41" s="1160"/>
      <c r="V41" s="1160"/>
      <c r="W41" s="1160"/>
      <c r="X41" s="1160"/>
    </row>
    <row r="42" spans="1:24">
      <c r="A42" s="1753"/>
      <c r="B42" s="1753"/>
      <c r="C42" s="1756"/>
      <c r="D42" s="1756"/>
      <c r="E42" s="1759"/>
      <c r="F42" s="1759"/>
      <c r="G42" s="1783"/>
      <c r="H42" s="1774"/>
      <c r="I42" s="1775"/>
      <c r="S42" s="1173"/>
      <c r="T42" s="1173"/>
      <c r="U42" s="1173"/>
      <c r="V42" s="1173"/>
      <c r="W42" s="1173"/>
      <c r="X42" s="1173"/>
    </row>
    <row r="43" spans="1:24">
      <c r="A43" s="1754"/>
      <c r="B43" s="1754"/>
      <c r="C43" s="1757"/>
      <c r="D43" s="1757"/>
      <c r="E43" s="1760"/>
      <c r="F43" s="1760"/>
      <c r="G43" s="1784"/>
      <c r="H43" s="1776"/>
      <c r="I43" s="1777"/>
      <c r="S43" s="1173"/>
      <c r="T43" s="1173"/>
      <c r="U43" s="1173"/>
      <c r="V43" s="1173"/>
      <c r="W43" s="1173"/>
      <c r="X43" s="1173"/>
    </row>
    <row r="44" spans="1:24">
      <c r="A44" s="1174">
        <v>1</v>
      </c>
      <c r="B44" s="1778" t="s">
        <v>56</v>
      </c>
      <c r="C44" s="1174">
        <f>Penyelia!C44</f>
        <v>10</v>
      </c>
      <c r="D44" s="1106">
        <f>Penyelia!D44</f>
        <v>10.00004000016</v>
      </c>
      <c r="E44" s="1106">
        <f>Penyelia!E44</f>
        <v>4.0000160000275287E-5</v>
      </c>
      <c r="F44" s="1107">
        <f>Penyelia!F44</f>
        <v>-4.0000160000275287E-4</v>
      </c>
      <c r="G44" s="1779" t="s">
        <v>471</v>
      </c>
      <c r="H44" s="1175" t="s">
        <v>204</v>
      </c>
      <c r="I44" s="1097">
        <f>Penyelia!I44</f>
        <v>0.57982717895182467</v>
      </c>
      <c r="S44" s="1176"/>
      <c r="T44" s="1176"/>
      <c r="U44" s="1176"/>
      <c r="V44" s="1176"/>
      <c r="W44" s="1176"/>
      <c r="X44" s="1176"/>
    </row>
    <row r="45" spans="1:24">
      <c r="A45" s="1174">
        <v>2</v>
      </c>
      <c r="B45" s="1778"/>
      <c r="C45" s="1174">
        <f>Penyelia!C45</f>
        <v>20</v>
      </c>
      <c r="D45" s="1106">
        <f>Penyelia!D45</f>
        <v>20.000080000320001</v>
      </c>
      <c r="E45" s="1106">
        <f>Penyelia!E45</f>
        <v>8.0000320000550573E-5</v>
      </c>
      <c r="F45" s="1107">
        <f>Penyelia!F45</f>
        <v>-4.0000160000275287E-4</v>
      </c>
      <c r="G45" s="1780"/>
      <c r="H45" s="1175" t="s">
        <v>204</v>
      </c>
      <c r="I45" s="1097">
        <f>Penyelia!I45</f>
        <v>0.28991345769469989</v>
      </c>
      <c r="S45" s="1176"/>
      <c r="T45" s="1176"/>
      <c r="U45" s="1176"/>
      <c r="V45" s="1176"/>
      <c r="W45" s="1176"/>
      <c r="X45" s="1176"/>
    </row>
    <row r="46" spans="1:24">
      <c r="A46" s="1174">
        <v>3</v>
      </c>
      <c r="B46" s="1778"/>
      <c r="C46" s="1174">
        <f>Penyelia!C46</f>
        <v>30</v>
      </c>
      <c r="D46" s="1106">
        <f>Penyelia!D46</f>
        <v>30.000120000479999</v>
      </c>
      <c r="E46" s="1106">
        <f>Penyelia!E46</f>
        <v>1.200004799990495E-4</v>
      </c>
      <c r="F46" s="1107">
        <f>Penyelia!F46</f>
        <v>-4.0000159999683171E-4</v>
      </c>
      <c r="G46" s="1780"/>
      <c r="H46" s="1175" t="s">
        <v>204</v>
      </c>
      <c r="I46" s="1097">
        <f>Penyelia!I46</f>
        <v>0.19327563847065493</v>
      </c>
      <c r="S46" s="1176"/>
      <c r="T46" s="1176"/>
      <c r="U46" s="1176"/>
      <c r="V46" s="1176"/>
      <c r="W46" s="1176"/>
      <c r="X46" s="1176"/>
    </row>
    <row r="47" spans="1:24">
      <c r="A47" s="1174">
        <v>4</v>
      </c>
      <c r="B47" s="1778"/>
      <c r="C47" s="1174">
        <f>Penyelia!C47</f>
        <v>40</v>
      </c>
      <c r="D47" s="1106">
        <f>Penyelia!D47</f>
        <v>40.000160000640001</v>
      </c>
      <c r="E47" s="1106">
        <f>Penyelia!E47</f>
        <v>1.6000064000110115E-4</v>
      </c>
      <c r="F47" s="1107">
        <f>Penyelia!F47</f>
        <v>-4.0000160000275287E-4</v>
      </c>
      <c r="G47" s="1780"/>
      <c r="H47" s="1175" t="s">
        <v>204</v>
      </c>
      <c r="I47" s="1097">
        <f>Penyelia!I47</f>
        <v>0.14495672886088912</v>
      </c>
      <c r="S47" s="1176"/>
      <c r="T47" s="1176"/>
      <c r="U47" s="1176"/>
      <c r="V47" s="1176"/>
      <c r="W47" s="1176"/>
      <c r="X47" s="1176"/>
    </row>
    <row r="48" spans="1:24">
      <c r="A48" s="1174">
        <v>5</v>
      </c>
      <c r="B48" s="1778"/>
      <c r="C48" s="1174">
        <f>Penyelia!C48</f>
        <v>50</v>
      </c>
      <c r="D48" s="1106">
        <f>Penyelia!D48</f>
        <v>50.000200000800014</v>
      </c>
      <c r="E48" s="1106">
        <f>Penyelia!E48</f>
        <v>2.0000080001381093E-4</v>
      </c>
      <c r="F48" s="1107">
        <f>Penyelia!F48</f>
        <v>-4.0000160002762186E-4</v>
      </c>
      <c r="G48" s="1781"/>
      <c r="H48" s="1175" t="s">
        <v>204</v>
      </c>
      <c r="I48" s="1097">
        <f>Penyelia!I48</f>
        <v>0.11596538309683474</v>
      </c>
      <c r="S48" s="1176"/>
      <c r="T48" s="1176"/>
      <c r="U48" s="1176"/>
      <c r="V48" s="1176"/>
      <c r="W48" s="1176"/>
      <c r="X48" s="1176"/>
    </row>
    <row r="49" spans="1:24" ht="20.25" customHeight="1">
      <c r="A49" s="1177">
        <v>6</v>
      </c>
      <c r="B49" s="1178" t="s">
        <v>58</v>
      </c>
      <c r="C49" s="1174">
        <f>Penyelia!C49</f>
        <v>60</v>
      </c>
      <c r="D49" s="1107">
        <f>Penyelia!D49</f>
        <v>60</v>
      </c>
      <c r="E49" s="1107">
        <f>Penyelia!E49</f>
        <v>0</v>
      </c>
      <c r="F49" s="1107">
        <f>Penyelia!F49</f>
        <v>0</v>
      </c>
      <c r="G49" s="1179" t="s">
        <v>210</v>
      </c>
      <c r="H49" s="1175" t="s">
        <v>204</v>
      </c>
      <c r="I49" s="1097">
        <f>Penyelia!I49</f>
        <v>0.29138846889573916</v>
      </c>
      <c r="S49" s="1180"/>
      <c r="T49" s="1180"/>
      <c r="U49" s="1180"/>
      <c r="V49" s="1180"/>
      <c r="W49" s="1180"/>
      <c r="X49" s="1180"/>
    </row>
    <row r="50" spans="1:24">
      <c r="A50" s="1187"/>
      <c r="B50" s="1188"/>
      <c r="C50" s="1189"/>
      <c r="D50" s="1182"/>
      <c r="E50" s="1182"/>
      <c r="F50" s="1182"/>
      <c r="G50" s="1190"/>
      <c r="H50" s="1191"/>
      <c r="I50" s="1192"/>
      <c r="S50" s="1180"/>
      <c r="T50" s="1180"/>
      <c r="U50" s="1180"/>
      <c r="V50" s="1180"/>
      <c r="W50" s="1180"/>
      <c r="X50" s="1180"/>
    </row>
    <row r="51" spans="1:24">
      <c r="A51" s="1193" t="s">
        <v>212</v>
      </c>
      <c r="B51" s="1185" t="s">
        <v>62</v>
      </c>
      <c r="C51" s="1189"/>
      <c r="D51" s="1182"/>
      <c r="E51" s="1182"/>
      <c r="F51" s="1182"/>
      <c r="G51" s="1190"/>
      <c r="H51" s="1191"/>
      <c r="I51" s="1192"/>
      <c r="S51" s="1180"/>
      <c r="T51" s="1180"/>
      <c r="U51" s="1180"/>
      <c r="V51" s="1180"/>
      <c r="W51" s="1180"/>
      <c r="X51" s="1180"/>
    </row>
    <row r="52" spans="1:24">
      <c r="A52" s="1768" t="s">
        <v>46</v>
      </c>
      <c r="B52" s="1769" t="s">
        <v>47</v>
      </c>
      <c r="C52" s="1769" t="s">
        <v>48</v>
      </c>
      <c r="D52" s="1770" t="s">
        <v>101</v>
      </c>
      <c r="E52" s="1771" t="s">
        <v>205</v>
      </c>
      <c r="F52" s="1771" t="s">
        <v>206</v>
      </c>
      <c r="G52" s="1785" t="s">
        <v>50</v>
      </c>
      <c r="H52" s="1786" t="s">
        <v>207</v>
      </c>
      <c r="I52" s="1786"/>
      <c r="S52" s="1180"/>
      <c r="T52" s="1180"/>
      <c r="U52" s="1180"/>
      <c r="V52" s="1180"/>
      <c r="W52" s="1180"/>
      <c r="X52" s="1180"/>
    </row>
    <row r="53" spans="1:24">
      <c r="A53" s="1768"/>
      <c r="B53" s="1769"/>
      <c r="C53" s="1769"/>
      <c r="D53" s="1770"/>
      <c r="E53" s="1771"/>
      <c r="F53" s="1771"/>
      <c r="G53" s="1785"/>
      <c r="H53" s="1782"/>
      <c r="I53" s="1782"/>
      <c r="S53" s="1180"/>
      <c r="T53" s="1180"/>
      <c r="U53" s="1180"/>
      <c r="V53" s="1180"/>
      <c r="W53" s="1180"/>
      <c r="X53" s="1180"/>
    </row>
    <row r="54" spans="1:24" ht="27.6">
      <c r="A54" s="1194">
        <v>7</v>
      </c>
      <c r="B54" s="1195" t="s">
        <v>63</v>
      </c>
      <c r="C54" s="1196">
        <f>Penyelia!C54</f>
        <v>300</v>
      </c>
      <c r="D54" s="1108">
        <f>Penyelia!D54</f>
        <v>299.95356993687409</v>
      </c>
      <c r="E54" s="1108">
        <f>Penyelia!E54</f>
        <v>-4.6430063125910692E-2</v>
      </c>
      <c r="F54" s="1109">
        <f>Penyelia!F54</f>
        <v>1.5476687708636897E-2</v>
      </c>
      <c r="G54" s="1197" t="str">
        <f>Penyelia!G54</f>
        <v>± 10%</v>
      </c>
      <c r="H54" s="1198" t="str">
        <f>Penyelia!H54</f>
        <v>±</v>
      </c>
      <c r="I54" s="1098">
        <f>Penyelia!I54</f>
        <v>9.6637826193038054E-3</v>
      </c>
      <c r="S54" s="1180"/>
      <c r="T54" s="1180"/>
      <c r="U54" s="1180"/>
      <c r="V54" s="1180"/>
      <c r="W54" s="1180"/>
      <c r="X54" s="1180"/>
    </row>
    <row r="55" spans="1:24">
      <c r="A55" s="1187"/>
      <c r="B55" s="1188"/>
      <c r="C55" s="1189"/>
      <c r="D55" s="1182"/>
      <c r="E55" s="1182"/>
      <c r="F55" s="1182"/>
      <c r="G55" s="1190"/>
      <c r="H55" s="1191"/>
      <c r="I55" s="1192"/>
      <c r="S55" s="1180"/>
      <c r="T55" s="1180"/>
      <c r="U55" s="1180"/>
      <c r="V55" s="1180"/>
      <c r="W55" s="1180"/>
      <c r="X55" s="1180"/>
    </row>
    <row r="56" spans="1:24">
      <c r="A56" s="1187"/>
      <c r="B56" s="1188"/>
      <c r="C56" s="1189"/>
      <c r="D56" s="1182"/>
      <c r="E56" s="1182"/>
      <c r="F56" s="1182"/>
      <c r="G56" s="1190"/>
      <c r="H56" s="1191"/>
      <c r="I56" s="1192"/>
      <c r="S56" s="1180"/>
      <c r="T56" s="1180"/>
      <c r="U56" s="1180"/>
      <c r="V56" s="1180"/>
      <c r="W56" s="1180"/>
      <c r="X56" s="1180"/>
    </row>
    <row r="57" spans="1:24">
      <c r="A57" s="1187"/>
      <c r="B57" s="1188"/>
      <c r="C57" s="1189"/>
      <c r="D57" s="1182"/>
      <c r="E57" s="1182"/>
      <c r="F57" s="1182"/>
      <c r="G57" s="1190"/>
      <c r="H57" s="1191"/>
      <c r="I57" s="1192"/>
      <c r="S57" s="1180"/>
      <c r="T57" s="1180"/>
      <c r="U57" s="1180"/>
      <c r="V57" s="1180"/>
      <c r="W57" s="1180"/>
      <c r="X57" s="1180"/>
    </row>
    <row r="58" spans="1:24">
      <c r="A58" s="1187"/>
      <c r="B58" s="1188"/>
      <c r="C58" s="1189"/>
      <c r="D58" s="1182"/>
      <c r="E58" s="1182"/>
      <c r="F58" s="1182"/>
      <c r="G58" s="1190"/>
      <c r="H58" s="1191"/>
      <c r="I58" s="1192"/>
      <c r="S58" s="1180"/>
      <c r="T58" s="1180"/>
      <c r="U58" s="1180"/>
      <c r="V58" s="1180"/>
      <c r="W58" s="1180"/>
      <c r="X58" s="1180"/>
    </row>
    <row r="59" spans="1:24" ht="30.75" customHeight="1">
      <c r="A59" s="1187"/>
      <c r="B59" s="1188"/>
      <c r="C59" s="1189"/>
      <c r="D59" s="1182"/>
      <c r="E59" s="1182"/>
      <c r="F59" s="1182"/>
      <c r="G59" s="1190"/>
      <c r="H59" s="1191"/>
      <c r="I59" s="1192"/>
      <c r="O59" s="1199" t="s">
        <v>219</v>
      </c>
      <c r="S59" s="1180"/>
      <c r="T59" s="1180"/>
      <c r="U59" s="1180"/>
      <c r="V59" s="1180"/>
      <c r="W59" s="1180"/>
      <c r="X59" s="1180"/>
    </row>
    <row r="60" spans="1:24">
      <c r="A60" s="1187"/>
      <c r="B60" s="1188"/>
      <c r="C60" s="1189"/>
      <c r="D60" s="1182"/>
      <c r="E60" s="1182"/>
      <c r="F60" s="1182"/>
      <c r="G60" s="1190"/>
      <c r="H60" s="1191"/>
      <c r="I60" s="1192"/>
      <c r="S60" s="1180"/>
      <c r="T60" s="1180"/>
      <c r="U60" s="1180"/>
      <c r="V60" s="1180"/>
      <c r="W60" s="1180"/>
      <c r="X60" s="1180"/>
    </row>
    <row r="61" spans="1:24">
      <c r="A61" s="1187"/>
      <c r="B61" s="1188"/>
      <c r="C61" s="1189"/>
      <c r="D61" s="1182"/>
      <c r="E61" s="1182"/>
      <c r="F61" s="1182"/>
      <c r="G61" s="1190"/>
      <c r="H61" s="1191"/>
      <c r="I61" s="1192"/>
      <c r="S61" s="1180"/>
      <c r="T61" s="1180"/>
      <c r="U61" s="1180"/>
      <c r="V61" s="1180"/>
      <c r="W61" s="1180"/>
      <c r="X61" s="1180"/>
    </row>
    <row r="62" spans="1:24">
      <c r="A62" s="1200" t="s">
        <v>65</v>
      </c>
      <c r="B62" s="1200" t="s">
        <v>104</v>
      </c>
      <c r="C62" s="1201"/>
      <c r="D62" s="1201"/>
      <c r="E62" s="1201"/>
      <c r="F62" s="1201"/>
      <c r="G62" s="1201"/>
      <c r="H62" s="1201"/>
      <c r="I62" s="1201"/>
      <c r="J62" s="1201"/>
      <c r="K62" s="1201"/>
      <c r="L62" s="1202"/>
      <c r="M62" s="1203"/>
      <c r="N62" s="1204"/>
      <c r="O62" s="1182"/>
    </row>
    <row r="63" spans="1:24">
      <c r="A63" s="1205"/>
      <c r="B63" s="1110" t="str">
        <f>Penyelia!B57</f>
        <v>Ketidakpastian pengukuran dilaporkan pada tingkat kepercayaan 95 % dengan faktor cakupan k = 2</v>
      </c>
      <c r="C63" s="1205"/>
      <c r="D63" s="1205"/>
      <c r="E63" s="1205"/>
      <c r="F63" s="1205"/>
      <c r="G63" s="1205"/>
      <c r="H63" s="1205"/>
      <c r="I63" s="1205"/>
      <c r="J63" s="1205"/>
      <c r="K63" s="1205"/>
      <c r="L63" s="1205"/>
      <c r="M63" s="1205"/>
      <c r="N63" s="1207"/>
      <c r="O63" s="1152"/>
    </row>
    <row r="64" spans="1:24">
      <c r="A64" s="1205"/>
      <c r="B64" s="1110" t="str">
        <f>Penyelia!B58</f>
        <v>Hasil pengukuran keselamatan listrik tertelusur ke Satuan Internasional melalui PT. KALIMAN (LK-032-IDN)</v>
      </c>
      <c r="C64" s="1205"/>
      <c r="D64" s="1205"/>
      <c r="E64" s="1205"/>
      <c r="F64" s="1205"/>
      <c r="G64" s="1205"/>
      <c r="H64" s="1205"/>
      <c r="I64" s="1205"/>
      <c r="J64" s="1205"/>
      <c r="K64" s="1205"/>
      <c r="L64" s="1205"/>
      <c r="M64" s="1205"/>
      <c r="N64" s="1207"/>
      <c r="O64" s="1152"/>
    </row>
    <row r="65" spans="1:15">
      <c r="A65" s="1205"/>
      <c r="B65" s="1110" t="str">
        <f>Penyelia!B59</f>
        <v>Hasil kalibrasi Intensitas Therapy dan Frekuensi tertelusur ke Satuan Internasional melalui PT. KALIMAN (LK-032-IDN)</v>
      </c>
      <c r="C65" s="1205"/>
      <c r="D65" s="1205"/>
      <c r="E65" s="1205"/>
      <c r="F65" s="1205"/>
      <c r="G65" s="1205"/>
      <c r="H65" s="1205"/>
      <c r="I65" s="1205"/>
      <c r="J65" s="1205"/>
      <c r="K65" s="1205"/>
      <c r="L65" s="1205"/>
      <c r="M65" s="1205"/>
      <c r="N65" s="1207"/>
      <c r="O65" s="1152"/>
    </row>
    <row r="66" spans="1:15">
      <c r="A66" s="1205"/>
      <c r="B66" s="1110" t="str">
        <f>Penyelia!B60</f>
        <v>Hasil kalibrasi Durasi Therapy tertelusur ke Satuan Internasional ( SI ) melalui PT KALIMAN</v>
      </c>
      <c r="C66" s="1205"/>
      <c r="D66" s="1205"/>
      <c r="E66" s="1205"/>
      <c r="F66" s="1205"/>
      <c r="G66" s="1205"/>
      <c r="H66" s="1205"/>
      <c r="I66" s="1205"/>
      <c r="J66" s="1205"/>
      <c r="K66" s="1205"/>
      <c r="L66" s="1205"/>
      <c r="M66" s="1205"/>
      <c r="N66" s="1152"/>
      <c r="O66" s="1152"/>
    </row>
    <row r="67" spans="1:15">
      <c r="A67" s="1205"/>
      <c r="B67" s="1110" t="str">
        <f>Penyelia!B61</f>
        <v>Setting Precission Resistance Box pada 500 Ω</v>
      </c>
      <c r="C67" s="1205"/>
      <c r="D67" s="1205"/>
      <c r="E67" s="1205"/>
      <c r="F67" s="1205"/>
      <c r="G67" s="1205"/>
      <c r="H67" s="1205"/>
      <c r="I67" s="1205"/>
      <c r="J67" s="1205"/>
      <c r="K67" s="1205"/>
      <c r="L67" s="1205"/>
      <c r="M67" s="1205"/>
      <c r="N67" s="1152"/>
      <c r="O67" s="1152"/>
    </row>
    <row r="68" spans="1:15">
      <c r="A68" s="1205"/>
      <c r="B68" s="1110" t="str">
        <f>Penyelia!B62</f>
        <v>Tidak terdapat grounding di ruangan</v>
      </c>
      <c r="C68" s="1205"/>
      <c r="D68" s="1205"/>
      <c r="E68" s="1205"/>
      <c r="F68" s="1205"/>
      <c r="G68" s="1205"/>
      <c r="H68" s="1205"/>
      <c r="I68" s="1205"/>
      <c r="J68" s="1205"/>
      <c r="K68" s="1205"/>
      <c r="L68" s="1205"/>
      <c r="M68" s="1205"/>
      <c r="N68" s="1152"/>
      <c r="O68" s="1152"/>
    </row>
    <row r="69" spans="1:15">
      <c r="A69" s="1205"/>
      <c r="B69" s="1206"/>
      <c r="C69" s="1205"/>
      <c r="D69" s="1205"/>
      <c r="E69" s="1205"/>
      <c r="F69" s="1205"/>
      <c r="G69" s="1205"/>
      <c r="H69" s="1205"/>
      <c r="I69" s="1205"/>
      <c r="J69" s="1205"/>
      <c r="K69" s="1205"/>
      <c r="L69" s="1205"/>
      <c r="M69" s="1205"/>
      <c r="N69" s="1152"/>
      <c r="O69" s="1152"/>
    </row>
    <row r="70" spans="1:15">
      <c r="A70" s="1200" t="s">
        <v>69</v>
      </c>
      <c r="B70" s="1200" t="s">
        <v>70</v>
      </c>
      <c r="C70" s="1200"/>
      <c r="D70" s="1205"/>
      <c r="E70" s="1205"/>
      <c r="F70" s="1205"/>
      <c r="G70" s="1205"/>
      <c r="H70" s="1205"/>
      <c r="I70" s="1205"/>
      <c r="J70" s="1205"/>
      <c r="K70" s="1205"/>
      <c r="L70" s="1205"/>
      <c r="M70" s="1205"/>
      <c r="N70" s="1152"/>
      <c r="O70" s="1152"/>
    </row>
    <row r="71" spans="1:15">
      <c r="A71" s="1205"/>
      <c r="B71" s="1111" t="str">
        <f>Penyelia!B65</f>
        <v>Precision resistance Box, Merek : Time Electronics, Model : 1067, SN : 1968F15</v>
      </c>
      <c r="C71" s="1205"/>
      <c r="D71" s="1205"/>
      <c r="E71" s="1205"/>
      <c r="F71" s="1205"/>
      <c r="G71" s="1205"/>
      <c r="H71" s="1205"/>
      <c r="I71" s="1205"/>
      <c r="J71" s="1205"/>
      <c r="K71" s="1205"/>
      <c r="L71" s="1205"/>
      <c r="M71" s="1205"/>
      <c r="N71" s="1152"/>
      <c r="O71" s="1152"/>
    </row>
    <row r="72" spans="1:15">
      <c r="A72" s="1205"/>
      <c r="B72" s="1111" t="str">
        <f>Penyelia!B66</f>
        <v>Electrical Safety Analyzer, Merek : Fluke, Model : ESA 615, SN : 3148907</v>
      </c>
      <c r="C72" s="1205"/>
      <c r="D72" s="1205"/>
      <c r="E72" s="1205"/>
      <c r="F72" s="1205"/>
      <c r="G72" s="1205"/>
      <c r="H72" s="1205"/>
      <c r="I72" s="1205"/>
      <c r="J72" s="1205"/>
      <c r="K72" s="1205"/>
      <c r="L72" s="1205"/>
      <c r="M72" s="1205"/>
      <c r="N72" s="1152"/>
      <c r="O72" s="1152"/>
    </row>
    <row r="73" spans="1:15">
      <c r="A73" s="1205"/>
      <c r="B73" s="1111" t="str">
        <f>Penyelia!B67</f>
        <v>Medical Scope Meter, Merk : Fluke, Model 190M-2, SN :  27782606 CH : B</v>
      </c>
      <c r="C73" s="1205"/>
      <c r="D73" s="1205"/>
      <c r="E73" s="1205"/>
      <c r="F73" s="1205"/>
      <c r="G73" s="1205"/>
      <c r="H73" s="1205"/>
      <c r="I73" s="1205"/>
      <c r="J73" s="1205"/>
      <c r="K73" s="1205"/>
      <c r="L73" s="1205"/>
      <c r="M73" s="1205"/>
      <c r="N73" s="1152"/>
      <c r="O73" s="1152"/>
    </row>
    <row r="74" spans="1:15">
      <c r="A74" s="1205"/>
      <c r="B74" s="1111" t="str">
        <f>Penyelia!B68</f>
        <v>Stopwatch, Merek : EXTECH, Model : 365535, SN :001382</v>
      </c>
      <c r="C74" s="1205"/>
      <c r="D74" s="1205"/>
      <c r="E74" s="1205"/>
      <c r="F74" s="1205"/>
      <c r="G74" s="1205"/>
      <c r="H74" s="1205"/>
      <c r="I74" s="1205"/>
      <c r="J74" s="1205"/>
      <c r="K74" s="1205"/>
      <c r="L74" s="1205"/>
      <c r="M74" s="1205"/>
      <c r="N74" s="1152"/>
      <c r="O74" s="1152"/>
    </row>
    <row r="75" spans="1:15">
      <c r="A75" s="1205"/>
      <c r="B75" s="1208"/>
      <c r="C75" s="1205"/>
      <c r="D75" s="1205"/>
      <c r="E75" s="1205"/>
      <c r="F75" s="1205"/>
      <c r="G75" s="1205"/>
      <c r="H75" s="1205"/>
      <c r="I75" s="1205"/>
      <c r="J75" s="1205"/>
      <c r="K75" s="1205"/>
      <c r="L75" s="1205"/>
      <c r="M75" s="1205"/>
      <c r="N75" s="1152"/>
      <c r="O75" s="1152"/>
    </row>
    <row r="76" spans="1:15">
      <c r="A76" s="1200" t="s">
        <v>78</v>
      </c>
      <c r="B76" s="1209" t="s">
        <v>107</v>
      </c>
      <c r="C76" s="1205"/>
      <c r="D76" s="1205"/>
      <c r="E76" s="1205"/>
      <c r="F76" s="1205"/>
      <c r="G76" s="1205"/>
      <c r="H76" s="1205"/>
      <c r="I76" s="1205"/>
      <c r="J76" s="1205"/>
      <c r="K76" s="1205"/>
      <c r="L76" s="1205"/>
      <c r="M76" s="1205"/>
      <c r="N76" s="1152"/>
      <c r="O76" s="1152"/>
    </row>
    <row r="77" spans="1:15">
      <c r="A77" s="1200"/>
      <c r="B77" s="1208" t="str">
        <f>Penyelia!B71</f>
        <v>Alat yang dikalibrasi dalam batas toleransi dan dinyatakan LAIK PAKAI</v>
      </c>
      <c r="C77" s="1205"/>
      <c r="D77" s="1205"/>
      <c r="E77" s="1205"/>
      <c r="F77" s="1205"/>
      <c r="G77" s="1205"/>
      <c r="H77" s="1205"/>
      <c r="I77" s="1205"/>
      <c r="J77" s="1205"/>
      <c r="K77" s="1205"/>
      <c r="L77" s="1205"/>
      <c r="M77" s="1205"/>
      <c r="N77" s="1152"/>
      <c r="O77" s="1152"/>
    </row>
    <row r="78" spans="1:15">
      <c r="A78" s="1205"/>
      <c r="B78" s="1205"/>
      <c r="C78" s="1205" t="s">
        <v>108</v>
      </c>
      <c r="D78" s="1205"/>
      <c r="E78" s="1205"/>
      <c r="F78" s="1205"/>
      <c r="G78" s="1205"/>
      <c r="H78" s="1205"/>
      <c r="I78" s="1205"/>
      <c r="J78" s="1205"/>
      <c r="K78" s="1205"/>
      <c r="L78" s="1205"/>
      <c r="M78" s="1205"/>
      <c r="N78" s="1152"/>
      <c r="O78" s="1152"/>
    </row>
    <row r="79" spans="1:15">
      <c r="A79" s="1200" t="s">
        <v>109</v>
      </c>
      <c r="B79" s="1200" t="s">
        <v>79</v>
      </c>
      <c r="C79" s="1205"/>
      <c r="D79" s="1205"/>
      <c r="E79" s="1205"/>
      <c r="F79" s="1205"/>
      <c r="G79" s="1205"/>
      <c r="H79" s="1205"/>
      <c r="I79" s="1205"/>
      <c r="J79" s="1205"/>
      <c r="K79" s="1205"/>
      <c r="L79" s="1205"/>
      <c r="M79" s="1205"/>
      <c r="N79" s="1152"/>
      <c r="O79" s="1152"/>
    </row>
    <row r="80" spans="1:15">
      <c r="A80" s="1205"/>
      <c r="B80" s="1206" t="str">
        <f>Penyelia!B74</f>
        <v>Sholihatussa'diah</v>
      </c>
      <c r="C80" s="1205"/>
      <c r="D80" s="1205"/>
      <c r="E80" s="1205"/>
      <c r="F80" s="1205"/>
      <c r="G80" s="1205"/>
      <c r="H80" s="1205"/>
      <c r="I80" s="1205"/>
      <c r="J80" s="1205"/>
      <c r="K80" s="1205"/>
      <c r="L80" s="1208"/>
      <c r="M80" s="1205"/>
      <c r="N80" s="1152"/>
      <c r="O80" s="1152"/>
    </row>
    <row r="81" spans="1:15">
      <c r="A81" s="1205"/>
      <c r="B81" s="1205"/>
      <c r="C81" s="1205"/>
      <c r="D81" s="1205"/>
      <c r="E81" s="1205"/>
      <c r="F81" s="1205"/>
      <c r="G81" s="1205"/>
      <c r="H81" s="1205"/>
      <c r="I81" s="1205"/>
      <c r="J81" s="1205"/>
      <c r="K81" s="1205"/>
      <c r="L81" s="1208"/>
      <c r="M81" s="1205"/>
      <c r="N81" s="1152"/>
      <c r="O81" s="1152"/>
    </row>
    <row r="82" spans="1:15">
      <c r="A82" s="1205"/>
      <c r="B82" s="1205"/>
      <c r="C82" s="1205"/>
      <c r="D82" s="1205"/>
      <c r="E82" s="1205"/>
      <c r="F82" s="1205"/>
      <c r="G82" s="1205"/>
      <c r="H82" s="1205"/>
      <c r="I82" s="1205"/>
      <c r="J82" s="1205"/>
      <c r="K82" s="1205"/>
      <c r="L82" s="1208"/>
      <c r="M82" s="1205"/>
      <c r="N82" s="1152"/>
      <c r="O82" s="1152"/>
    </row>
    <row r="83" spans="1:15">
      <c r="A83" s="1208"/>
      <c r="B83" s="1208"/>
      <c r="C83" s="1208"/>
      <c r="D83" s="1208"/>
      <c r="E83" s="1208"/>
      <c r="F83" s="1208"/>
      <c r="G83" s="1208"/>
      <c r="H83" s="1208"/>
      <c r="I83" s="1208"/>
      <c r="J83" s="1210" t="s">
        <v>220</v>
      </c>
      <c r="K83" s="1211"/>
      <c r="L83" s="1208"/>
      <c r="M83" s="1208"/>
    </row>
    <row r="84" spans="1:15">
      <c r="A84" s="1208"/>
      <c r="B84" s="1208"/>
      <c r="C84" s="1208"/>
      <c r="D84" s="1208"/>
      <c r="E84" s="1208"/>
      <c r="F84" s="1208"/>
      <c r="G84" s="1208"/>
      <c r="H84" s="1208"/>
      <c r="I84" s="1208"/>
      <c r="J84" s="1210" t="s">
        <v>221</v>
      </c>
      <c r="K84" s="1211"/>
      <c r="L84" s="1212"/>
      <c r="M84" s="1208"/>
    </row>
    <row r="85" spans="1:15">
      <c r="A85" s="1208"/>
      <c r="B85" s="1208"/>
      <c r="C85" s="1208"/>
      <c r="D85" s="1208"/>
      <c r="E85" s="1208"/>
      <c r="F85" s="1208"/>
      <c r="G85" s="1208"/>
      <c r="H85" s="1208"/>
      <c r="I85" s="1208"/>
      <c r="J85" s="1210" t="s">
        <v>222</v>
      </c>
      <c r="K85" s="1213"/>
      <c r="L85" s="1214"/>
      <c r="M85" s="1208"/>
    </row>
    <row r="86" spans="1:15">
      <c r="A86" s="1208"/>
      <c r="B86" s="1208"/>
      <c r="C86" s="1208"/>
      <c r="D86" s="1208"/>
      <c r="E86" s="1208"/>
      <c r="F86" s="1208"/>
      <c r="G86" s="1208"/>
      <c r="H86" s="1208"/>
      <c r="I86" s="1208"/>
      <c r="J86" s="1210"/>
      <c r="K86" s="1213"/>
      <c r="L86" s="1208"/>
      <c r="M86" s="1208"/>
    </row>
    <row r="87" spans="1:15">
      <c r="A87" s="1208"/>
      <c r="B87" s="1208"/>
      <c r="C87" s="1208"/>
      <c r="D87" s="1208"/>
      <c r="E87" s="1208"/>
      <c r="F87" s="1208"/>
      <c r="G87" s="1208"/>
      <c r="H87" s="1208"/>
      <c r="I87" s="1208"/>
      <c r="J87" s="1210"/>
      <c r="K87" s="1213"/>
      <c r="L87" s="1208"/>
      <c r="M87" s="1208"/>
    </row>
    <row r="88" spans="1:15">
      <c r="A88" s="1208"/>
      <c r="B88" s="1208"/>
      <c r="C88" s="1208"/>
      <c r="D88" s="1208"/>
      <c r="E88" s="1208"/>
      <c r="F88" s="1208"/>
      <c r="G88" s="1208"/>
      <c r="H88" s="1208"/>
      <c r="I88" s="1208"/>
      <c r="J88" s="1210"/>
      <c r="K88" s="1213"/>
      <c r="L88" s="1208"/>
      <c r="M88" s="1208"/>
    </row>
    <row r="89" spans="1:15">
      <c r="A89" s="1208"/>
      <c r="B89" s="1208"/>
      <c r="C89" s="1208"/>
      <c r="D89" s="1208"/>
      <c r="E89" s="1208"/>
      <c r="F89" s="1208"/>
      <c r="G89" s="1208"/>
      <c r="H89" s="1208"/>
      <c r="I89" s="1208"/>
      <c r="J89" s="1215"/>
      <c r="K89" s="1213"/>
      <c r="L89" s="1208"/>
      <c r="M89" s="1208"/>
    </row>
    <row r="90" spans="1:15">
      <c r="A90" s="1208"/>
      <c r="B90" s="1208"/>
      <c r="C90" s="1208"/>
      <c r="D90" s="1208"/>
      <c r="E90" s="1208"/>
      <c r="F90" s="1208"/>
      <c r="G90" s="1208"/>
      <c r="H90" s="1208"/>
      <c r="I90" s="1208"/>
      <c r="J90" s="1216" t="s">
        <v>223</v>
      </c>
      <c r="K90" s="1217"/>
      <c r="L90" s="1217"/>
      <c r="M90" s="1208"/>
    </row>
    <row r="91" spans="1:15">
      <c r="A91" s="1208"/>
      <c r="B91" s="1208"/>
      <c r="C91" s="1208"/>
      <c r="D91" s="1208"/>
      <c r="E91" s="1208"/>
      <c r="F91" s="1208"/>
      <c r="G91" s="1208"/>
      <c r="H91" s="1208"/>
      <c r="I91" s="1208"/>
      <c r="J91" s="1112" t="str">
        <f>VLOOKUP(J90,X100:Y101,2,0)</f>
        <v>NIP 198008062010121001</v>
      </c>
      <c r="K91" s="1217"/>
      <c r="L91" s="1217"/>
      <c r="M91" s="1208"/>
    </row>
    <row r="100" spans="24:27">
      <c r="X100" s="1113" t="s">
        <v>118</v>
      </c>
      <c r="Y100" s="1218" t="s">
        <v>224</v>
      </c>
      <c r="Z100" s="1114"/>
      <c r="AA100" s="1114"/>
    </row>
    <row r="101" spans="24:27">
      <c r="X101" s="1219" t="s">
        <v>223</v>
      </c>
      <c r="Y101" s="1218" t="s">
        <v>225</v>
      </c>
      <c r="Z101" s="1114"/>
      <c r="AA101" s="1114"/>
    </row>
    <row r="132" spans="15:15">
      <c r="O132" s="1220" t="s">
        <v>226</v>
      </c>
    </row>
  </sheetData>
  <sheetProtection formatCells="0" formatColumns="0" formatRows="0" insertRows="0" deleteRows="0"/>
  <mergeCells count="36">
    <mergeCell ref="F52:F53"/>
    <mergeCell ref="H41:I43"/>
    <mergeCell ref="B44:B48"/>
    <mergeCell ref="G44:G48"/>
    <mergeCell ref="G30:G32"/>
    <mergeCell ref="H30:I32"/>
    <mergeCell ref="B33:B37"/>
    <mergeCell ref="G33:G37"/>
    <mergeCell ref="F41:F43"/>
    <mergeCell ref="G41:G43"/>
    <mergeCell ref="F30:F32"/>
    <mergeCell ref="G52:G53"/>
    <mergeCell ref="H52:I53"/>
    <mergeCell ref="A52:A53"/>
    <mergeCell ref="B52:B53"/>
    <mergeCell ref="C52:C53"/>
    <mergeCell ref="D52:D53"/>
    <mergeCell ref="E52:E53"/>
    <mergeCell ref="J13:K13"/>
    <mergeCell ref="J14:K14"/>
    <mergeCell ref="J15:K15"/>
    <mergeCell ref="A1:O1"/>
    <mergeCell ref="A2:O2"/>
    <mergeCell ref="J23:K23"/>
    <mergeCell ref="L23:M23"/>
    <mergeCell ref="A30:A32"/>
    <mergeCell ref="B30:B32"/>
    <mergeCell ref="C30:C32"/>
    <mergeCell ref="D30:D32"/>
    <mergeCell ref="E30:E32"/>
    <mergeCell ref="B23:I23"/>
    <mergeCell ref="A41:A43"/>
    <mergeCell ref="B41:B43"/>
    <mergeCell ref="C41:C43"/>
    <mergeCell ref="D41:D43"/>
    <mergeCell ref="E41:E43"/>
  </mergeCells>
  <dataValidations disablePrompts="1" count="1">
    <dataValidation type="list" allowBlank="1" showInputMessage="1" showErrorMessage="1" sqref="J90" xr:uid="{00000000-0002-0000-0400-000000000000}">
      <formula1>$X$100:$X$101</formula1>
    </dataValidation>
  </dataValidations>
  <pageMargins left="0.41" right="0.42" top="0.48" bottom="0.38" header="0.31496062992126" footer="0.25"/>
  <pageSetup paperSize="9" scale="73" orientation="portrait" horizontalDpi="4294967293" verticalDpi="4294967293" r:id="rId1"/>
  <headerFooter>
    <oddHeader>&amp;R&amp;"Calibri,Regular"&amp;9KL.LHK - 11 / REV : 0</oddHeader>
    <oddFooter>&amp;C&amp;9Dilarang keras mengutip/memperbanyak dan atau mempublikasikan sebagian isi sertifikat ini tanpa seijin LPFK Banjarbaru
Sertifikat ini sah apabila dibubuhi cap LPFK Banjarbaru dan ditandatangani oleh pejabat yang berwenang</oddFooter>
  </headerFooter>
  <rowBreaks count="1" manualBreakCount="1">
    <brk id="60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68"/>
  <sheetViews>
    <sheetView view="pageBreakPreview" topLeftCell="A58" zoomScaleSheetLayoutView="100" workbookViewId="0">
      <selection activeCell="J38" sqref="J38"/>
    </sheetView>
  </sheetViews>
  <sheetFormatPr defaultRowHeight="13.8"/>
  <cols>
    <col min="1" max="1" width="5" style="181" customWidth="1"/>
    <col min="2" max="2" width="14.44140625" style="181" customWidth="1"/>
    <col min="3" max="3" width="9.21875" style="181"/>
    <col min="4" max="4" width="9.21875" style="181" customWidth="1"/>
    <col min="5" max="5" width="8" style="181" customWidth="1"/>
    <col min="6" max="6" width="8.5546875" style="181" customWidth="1"/>
    <col min="7" max="7" width="8.44140625" style="181" customWidth="1"/>
    <col min="8" max="8" width="7.5546875" style="181" customWidth="1"/>
    <col min="9" max="9" width="8.5546875" style="181" customWidth="1"/>
    <col min="10" max="10" width="9.21875" style="181"/>
    <col min="11" max="11" width="5.77734375" style="181" customWidth="1"/>
    <col min="12" max="12" width="8.44140625" style="181" customWidth="1"/>
    <col min="13" max="13" width="7" style="181" customWidth="1"/>
    <col min="14" max="14" width="11.21875" customWidth="1"/>
  </cols>
  <sheetData>
    <row r="1" spans="1:13" ht="18">
      <c r="A1" s="1268" t="s">
        <v>0</v>
      </c>
      <c r="B1" s="1268"/>
      <c r="C1" s="1268"/>
      <c r="D1" s="1268"/>
      <c r="E1" s="1268"/>
      <c r="F1" s="1268"/>
      <c r="G1" s="1268"/>
      <c r="H1" s="1268"/>
      <c r="I1" s="1268"/>
      <c r="J1" s="1268"/>
      <c r="K1" s="1268"/>
      <c r="L1" s="1268"/>
      <c r="M1" s="1268"/>
    </row>
    <row r="2" spans="1:13" ht="17.399999999999999">
      <c r="A2" s="1269" t="s">
        <v>1</v>
      </c>
      <c r="B2" s="1269"/>
      <c r="C2" s="1269"/>
      <c r="D2" s="1269"/>
      <c r="E2" s="1269"/>
      <c r="F2" s="1269"/>
      <c r="G2" s="1269"/>
      <c r="H2" s="1269"/>
      <c r="I2" s="1269"/>
      <c r="J2" s="1269"/>
      <c r="K2" s="1269"/>
      <c r="L2" s="1269"/>
      <c r="M2" s="1269"/>
    </row>
    <row r="4" spans="1:13" ht="14.4">
      <c r="A4" s="182" t="s">
        <v>2</v>
      </c>
      <c r="B4" s="182"/>
      <c r="C4" s="182"/>
      <c r="D4" s="183" t="s">
        <v>3</v>
      </c>
      <c r="E4" s="182" t="s">
        <v>4</v>
      </c>
      <c r="F4" s="182"/>
      <c r="G4" s="182"/>
      <c r="H4" s="182"/>
      <c r="I4" s="182"/>
      <c r="L4" s="182"/>
      <c r="M4" s="182"/>
    </row>
    <row r="5" spans="1:13" ht="14.4">
      <c r="A5" s="182" t="s">
        <v>5</v>
      </c>
      <c r="B5" s="182"/>
      <c r="C5" s="182"/>
      <c r="D5" s="183" t="s">
        <v>3</v>
      </c>
      <c r="E5" s="182" t="s">
        <v>4</v>
      </c>
      <c r="F5" s="182"/>
      <c r="G5" s="182"/>
      <c r="H5" s="182"/>
      <c r="I5" s="182"/>
      <c r="L5" s="182"/>
      <c r="M5" s="182"/>
    </row>
    <row r="6" spans="1:13" ht="14.4">
      <c r="A6" s="182" t="s">
        <v>6</v>
      </c>
      <c r="B6" s="182"/>
      <c r="C6" s="182"/>
      <c r="D6" s="183" t="s">
        <v>3</v>
      </c>
      <c r="E6" s="182" t="s">
        <v>4</v>
      </c>
      <c r="F6" s="182"/>
      <c r="G6" s="182"/>
      <c r="H6" s="182"/>
      <c r="I6" s="182"/>
      <c r="L6" s="182"/>
      <c r="M6" s="182"/>
    </row>
    <row r="7" spans="1:13" ht="14.4">
      <c r="A7" s="182" t="s">
        <v>7</v>
      </c>
      <c r="B7" s="182"/>
      <c r="C7" s="182"/>
      <c r="D7" s="183" t="s">
        <v>3</v>
      </c>
      <c r="E7" s="182" t="s">
        <v>4</v>
      </c>
      <c r="F7" s="182"/>
      <c r="G7" s="182"/>
      <c r="H7" s="182"/>
      <c r="I7" s="182"/>
      <c r="L7" s="182"/>
      <c r="M7" s="182"/>
    </row>
    <row r="8" spans="1:13" ht="14.4">
      <c r="A8" s="182" t="s">
        <v>8</v>
      </c>
      <c r="B8" s="182"/>
      <c r="C8" s="182"/>
      <c r="D8" s="183" t="s">
        <v>3</v>
      </c>
      <c r="E8" s="182" t="s">
        <v>4</v>
      </c>
      <c r="F8" s="182"/>
      <c r="G8" s="182"/>
      <c r="H8" s="182"/>
      <c r="I8" s="182"/>
      <c r="L8" s="182"/>
      <c r="M8" s="182"/>
    </row>
    <row r="9" spans="1:13" ht="14.4">
      <c r="A9" s="182" t="s">
        <v>9</v>
      </c>
      <c r="B9" s="182"/>
      <c r="C9" s="182"/>
      <c r="D9" s="183" t="s">
        <v>3</v>
      </c>
      <c r="E9" s="182" t="s">
        <v>4</v>
      </c>
      <c r="F9" s="182"/>
      <c r="G9" s="182"/>
      <c r="H9" s="182"/>
      <c r="I9" s="182"/>
      <c r="L9" s="182"/>
      <c r="M9" s="182"/>
    </row>
    <row r="10" spans="1:13" ht="14.4">
      <c r="A10" s="182" t="s">
        <v>10</v>
      </c>
      <c r="B10" s="182"/>
      <c r="C10" s="182"/>
      <c r="D10" s="183" t="s">
        <v>3</v>
      </c>
      <c r="E10" s="182" t="s">
        <v>11</v>
      </c>
      <c r="F10" s="182"/>
      <c r="G10" s="182"/>
      <c r="H10" s="182"/>
      <c r="I10" s="182"/>
      <c r="L10" s="182"/>
      <c r="M10" s="182"/>
    </row>
    <row r="11" spans="1:13" ht="14.4">
      <c r="A11" s="182"/>
      <c r="B11" s="182"/>
      <c r="C11" s="182"/>
      <c r="D11" s="183"/>
      <c r="E11" s="182"/>
      <c r="F11" s="182"/>
      <c r="G11" s="182"/>
      <c r="H11" s="182"/>
      <c r="I11" s="182"/>
      <c r="L11" s="182"/>
      <c r="M11" s="182"/>
    </row>
    <row r="12" spans="1:13" ht="14.4">
      <c r="A12" s="184" t="s">
        <v>12</v>
      </c>
      <c r="B12" s="184" t="s">
        <v>13</v>
      </c>
      <c r="C12" s="182"/>
      <c r="D12" s="183"/>
      <c r="E12" s="1277" t="s">
        <v>14</v>
      </c>
      <c r="F12" s="1278"/>
      <c r="G12" s="1277" t="s">
        <v>15</v>
      </c>
      <c r="H12" s="1278"/>
      <c r="I12" s="185"/>
      <c r="M12" s="182"/>
    </row>
    <row r="13" spans="1:13" ht="14.4">
      <c r="A13" s="182"/>
      <c r="B13" s="182" t="s">
        <v>16</v>
      </c>
      <c r="C13" s="184"/>
      <c r="D13" s="183" t="s">
        <v>3</v>
      </c>
      <c r="E13" s="212"/>
      <c r="F13" s="213"/>
      <c r="G13" s="212"/>
      <c r="H13" s="213"/>
      <c r="I13" s="185" t="s">
        <v>17</v>
      </c>
      <c r="M13" s="182"/>
    </row>
    <row r="14" spans="1:13" ht="14.4">
      <c r="A14" s="182"/>
      <c r="B14" s="182" t="s">
        <v>18</v>
      </c>
      <c r="C14" s="182"/>
      <c r="D14" s="183" t="s">
        <v>3</v>
      </c>
      <c r="E14" s="212"/>
      <c r="F14" s="213"/>
      <c r="G14" s="212"/>
      <c r="H14" s="213"/>
      <c r="I14" s="185" t="s">
        <v>19</v>
      </c>
      <c r="M14" s="182"/>
    </row>
    <row r="15" spans="1:13" ht="14.4">
      <c r="A15" s="182"/>
      <c r="B15" s="182" t="s">
        <v>20</v>
      </c>
      <c r="C15" s="182"/>
      <c r="D15" s="183" t="s">
        <v>3</v>
      </c>
      <c r="E15" s="1279"/>
      <c r="F15" s="1280"/>
      <c r="G15" s="1280"/>
      <c r="H15" s="1281"/>
      <c r="I15" s="182" t="s">
        <v>21</v>
      </c>
      <c r="J15" s="182"/>
      <c r="K15" s="182"/>
      <c r="L15" s="182"/>
      <c r="M15" s="182"/>
    </row>
    <row r="16" spans="1:13" ht="14.4">
      <c r="A16" s="182"/>
      <c r="B16" s="182"/>
      <c r="C16" s="182"/>
      <c r="D16" s="182"/>
      <c r="E16" s="182"/>
      <c r="F16" s="182"/>
      <c r="G16" s="182"/>
      <c r="H16" s="186"/>
      <c r="I16" s="186"/>
      <c r="J16" s="186"/>
      <c r="K16" s="186"/>
      <c r="L16" s="185"/>
      <c r="M16" s="182"/>
    </row>
    <row r="17" spans="1:14" ht="14.4">
      <c r="A17" s="184" t="s">
        <v>22</v>
      </c>
      <c r="B17" s="184" t="s">
        <v>23</v>
      </c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</row>
    <row r="18" spans="1:14" ht="15" customHeight="1">
      <c r="A18" s="182"/>
      <c r="B18" s="182" t="s">
        <v>24</v>
      </c>
      <c r="C18" s="184"/>
      <c r="D18" s="183" t="s">
        <v>3</v>
      </c>
      <c r="E18" s="182" t="s">
        <v>25</v>
      </c>
      <c r="F18" s="182"/>
      <c r="G18" s="1276" t="s">
        <v>26</v>
      </c>
      <c r="H18" s="1276"/>
      <c r="I18" s="1276"/>
      <c r="J18" s="1276"/>
      <c r="M18" s="187"/>
      <c r="N18" s="3"/>
    </row>
    <row r="19" spans="1:14" ht="14.4">
      <c r="A19" s="182"/>
      <c r="B19" s="182" t="s">
        <v>27</v>
      </c>
      <c r="C19" s="182"/>
      <c r="D19" s="183" t="s">
        <v>3</v>
      </c>
      <c r="E19" s="182" t="s">
        <v>25</v>
      </c>
      <c r="F19" s="182"/>
      <c r="G19" s="1276"/>
      <c r="H19" s="1276"/>
      <c r="I19" s="1276"/>
      <c r="J19" s="1276"/>
      <c r="M19" s="187"/>
      <c r="N19" s="3"/>
    </row>
    <row r="20" spans="1:14" ht="14.4">
      <c r="A20" s="184"/>
      <c r="B20" s="184"/>
      <c r="C20" s="182"/>
      <c r="D20" s="182"/>
      <c r="E20" s="182"/>
      <c r="F20" s="182"/>
      <c r="G20" s="182"/>
      <c r="H20" s="182"/>
      <c r="I20" s="182"/>
      <c r="J20" s="182"/>
      <c r="K20" s="182"/>
      <c r="L20" s="182"/>
      <c r="M20" s="182"/>
    </row>
    <row r="21" spans="1:14" ht="14.4">
      <c r="A21" s="184" t="s">
        <v>28</v>
      </c>
      <c r="B21" s="184" t="s">
        <v>29</v>
      </c>
      <c r="C21" s="182"/>
      <c r="D21" s="182"/>
      <c r="E21" s="182"/>
      <c r="F21" s="182"/>
      <c r="G21" s="182"/>
      <c r="H21" s="182"/>
      <c r="I21" s="182"/>
      <c r="J21" s="188"/>
      <c r="K21" s="188"/>
      <c r="L21" s="182"/>
      <c r="M21" s="182"/>
    </row>
    <row r="22" spans="1:14" ht="31.5" customHeight="1">
      <c r="A22" s="189" t="s">
        <v>30</v>
      </c>
      <c r="B22" s="1270" t="s">
        <v>31</v>
      </c>
      <c r="C22" s="1271"/>
      <c r="D22" s="1271"/>
      <c r="E22" s="1271"/>
      <c r="F22" s="1271"/>
      <c r="G22" s="1271"/>
      <c r="H22" s="1271"/>
      <c r="I22" s="1272"/>
      <c r="J22" s="1270" t="s">
        <v>32</v>
      </c>
      <c r="K22" s="1273"/>
      <c r="L22" s="1274" t="s">
        <v>33</v>
      </c>
      <c r="M22" s="1275"/>
    </row>
    <row r="23" spans="1:14" ht="14.4">
      <c r="A23" s="190">
        <v>1</v>
      </c>
      <c r="B23" s="518" t="s">
        <v>257</v>
      </c>
      <c r="C23" s="191"/>
      <c r="D23" s="191"/>
      <c r="E23" s="191"/>
      <c r="F23" s="191"/>
      <c r="G23" s="191"/>
      <c r="H23" s="191"/>
      <c r="I23" s="191"/>
      <c r="J23" s="192"/>
      <c r="K23" s="193" t="s">
        <v>35</v>
      </c>
      <c r="L23" s="214" t="s">
        <v>36</v>
      </c>
      <c r="M23" s="215" t="s">
        <v>37</v>
      </c>
    </row>
    <row r="24" spans="1:14" ht="14.4">
      <c r="A24" s="190">
        <v>2</v>
      </c>
      <c r="B24" s="519" t="s">
        <v>259</v>
      </c>
      <c r="C24" s="191"/>
      <c r="D24" s="191"/>
      <c r="E24" s="191"/>
      <c r="F24" s="191"/>
      <c r="G24" s="191"/>
      <c r="H24" s="191"/>
      <c r="I24" s="191"/>
      <c r="J24" s="194"/>
      <c r="K24" s="193" t="s">
        <v>38</v>
      </c>
      <c r="L24" s="216" t="s">
        <v>39</v>
      </c>
      <c r="M24" s="215" t="s">
        <v>38</v>
      </c>
    </row>
    <row r="25" spans="1:14" ht="14.4">
      <c r="A25" s="190"/>
      <c r="B25" s="519" t="s">
        <v>260</v>
      </c>
      <c r="C25" s="195"/>
      <c r="D25" s="195"/>
      <c r="E25" s="195"/>
      <c r="F25" s="195"/>
      <c r="G25" s="195"/>
      <c r="H25" s="195"/>
      <c r="I25" s="196"/>
      <c r="J25" s="197"/>
      <c r="K25" s="193" t="s">
        <v>38</v>
      </c>
      <c r="L25" s="216" t="s">
        <v>400</v>
      </c>
      <c r="M25" s="215" t="s">
        <v>38</v>
      </c>
    </row>
    <row r="26" spans="1:14" ht="14.4">
      <c r="A26" s="190">
        <v>3</v>
      </c>
      <c r="B26" s="519" t="s">
        <v>261</v>
      </c>
      <c r="C26" s="195"/>
      <c r="D26" s="195"/>
      <c r="E26" s="195"/>
      <c r="F26" s="195"/>
      <c r="G26" s="195"/>
      <c r="H26" s="195"/>
      <c r="I26" s="196"/>
      <c r="J26" s="197"/>
      <c r="K26" s="198" t="s">
        <v>40</v>
      </c>
      <c r="L26" s="216" t="s">
        <v>41</v>
      </c>
      <c r="M26" s="215" t="s">
        <v>40</v>
      </c>
    </row>
    <row r="27" spans="1:14" ht="14.4">
      <c r="A27" s="190"/>
      <c r="B27" s="519" t="s">
        <v>262</v>
      </c>
      <c r="C27" s="191"/>
      <c r="D27" s="191"/>
      <c r="E27" s="191"/>
      <c r="F27" s="191"/>
      <c r="G27" s="191"/>
      <c r="H27" s="191"/>
      <c r="I27" s="191"/>
      <c r="J27" s="199"/>
      <c r="K27" s="198" t="s">
        <v>40</v>
      </c>
      <c r="L27" s="216" t="s">
        <v>43</v>
      </c>
      <c r="M27" s="215" t="s">
        <v>40</v>
      </c>
    </row>
    <row r="28" spans="1:14" ht="14.4">
      <c r="A28" s="190">
        <v>4</v>
      </c>
      <c r="B28" s="518" t="s">
        <v>258</v>
      </c>
      <c r="C28" s="191"/>
      <c r="D28" s="191"/>
      <c r="E28" s="191"/>
      <c r="F28" s="191"/>
      <c r="G28" s="191"/>
      <c r="H28" s="191"/>
      <c r="I28" s="191"/>
      <c r="J28" s="199"/>
      <c r="K28" s="198" t="s">
        <v>40</v>
      </c>
      <c r="L28" s="216" t="s">
        <v>264</v>
      </c>
      <c r="M28" s="215" t="s">
        <v>40</v>
      </c>
    </row>
    <row r="29" spans="1:14" ht="10.5" customHeight="1">
      <c r="A29" s="184"/>
      <c r="B29" s="184"/>
      <c r="C29" s="182"/>
      <c r="D29" s="182"/>
      <c r="E29" s="182"/>
      <c r="F29" s="182"/>
      <c r="G29" s="182"/>
      <c r="H29" s="182"/>
      <c r="I29" s="182"/>
      <c r="J29" s="182"/>
      <c r="K29" s="182"/>
      <c r="L29" s="182"/>
      <c r="M29" s="182"/>
    </row>
    <row r="30" spans="1:14" ht="14.4">
      <c r="A30" s="200" t="s">
        <v>44</v>
      </c>
      <c r="B30" s="200" t="s">
        <v>45</v>
      </c>
      <c r="C30" s="200"/>
      <c r="D30" s="200"/>
      <c r="E30" s="201"/>
      <c r="F30" s="201"/>
      <c r="G30" s="201"/>
      <c r="H30" s="201"/>
      <c r="I30" s="201"/>
      <c r="J30" s="201"/>
      <c r="K30" s="182"/>
      <c r="L30" s="182"/>
      <c r="M30" s="182"/>
    </row>
    <row r="31" spans="1:14" ht="14.4">
      <c r="A31" s="1251" t="s">
        <v>46</v>
      </c>
      <c r="B31" s="1251" t="s">
        <v>47</v>
      </c>
      <c r="C31" s="1249" t="s">
        <v>48</v>
      </c>
      <c r="D31" s="1254" t="s">
        <v>49</v>
      </c>
      <c r="E31" s="1255"/>
      <c r="F31" s="1255"/>
      <c r="G31" s="1255"/>
      <c r="H31" s="1255"/>
      <c r="I31" s="1256"/>
      <c r="J31" s="1251" t="s">
        <v>50</v>
      </c>
      <c r="K31" s="182"/>
      <c r="L31" s="182"/>
      <c r="M31" s="182"/>
    </row>
    <row r="32" spans="1:14" ht="14.4">
      <c r="A32" s="1252"/>
      <c r="B32" s="1252"/>
      <c r="C32" s="1253"/>
      <c r="D32" s="241" t="s">
        <v>51</v>
      </c>
      <c r="E32" s="242" t="s">
        <v>52</v>
      </c>
      <c r="F32" s="243" t="s">
        <v>53</v>
      </c>
      <c r="G32" s="242" t="s">
        <v>54</v>
      </c>
      <c r="H32" s="243" t="s">
        <v>21</v>
      </c>
      <c r="I32" s="242" t="s">
        <v>55</v>
      </c>
      <c r="J32" s="1252"/>
      <c r="K32" s="182"/>
      <c r="L32" s="182"/>
      <c r="M32" s="182"/>
    </row>
    <row r="33" spans="1:13" ht="15" customHeight="1">
      <c r="A33" s="205">
        <v>1</v>
      </c>
      <c r="B33" s="1258" t="s">
        <v>56</v>
      </c>
      <c r="C33" s="205"/>
      <c r="D33" s="206"/>
      <c r="E33" s="206"/>
      <c r="F33" s="206"/>
      <c r="G33" s="206"/>
      <c r="H33" s="206"/>
      <c r="I33" s="206"/>
      <c r="J33" s="1259" t="s">
        <v>57</v>
      </c>
      <c r="K33" s="182"/>
      <c r="L33" s="182"/>
      <c r="M33" s="182"/>
    </row>
    <row r="34" spans="1:13" ht="14.4">
      <c r="A34" s="205">
        <v>2</v>
      </c>
      <c r="B34" s="1258"/>
      <c r="C34" s="205"/>
      <c r="D34" s="206"/>
      <c r="E34" s="206"/>
      <c r="F34" s="206"/>
      <c r="G34" s="206"/>
      <c r="H34" s="206"/>
      <c r="I34" s="206"/>
      <c r="J34" s="1260"/>
      <c r="K34" s="182"/>
      <c r="L34" s="182"/>
      <c r="M34" s="182"/>
    </row>
    <row r="35" spans="1:13" ht="14.4">
      <c r="A35" s="205">
        <v>3</v>
      </c>
      <c r="B35" s="1258"/>
      <c r="C35" s="205"/>
      <c r="D35" s="206"/>
      <c r="E35" s="206"/>
      <c r="F35" s="206"/>
      <c r="G35" s="206"/>
      <c r="H35" s="206"/>
      <c r="I35" s="206"/>
      <c r="J35" s="1260"/>
      <c r="K35" s="182"/>
      <c r="L35" s="182"/>
      <c r="M35" s="182"/>
    </row>
    <row r="36" spans="1:13" ht="14.4">
      <c r="A36" s="205">
        <v>4</v>
      </c>
      <c r="B36" s="1258"/>
      <c r="C36" s="205"/>
      <c r="D36" s="206"/>
      <c r="E36" s="206"/>
      <c r="F36" s="206"/>
      <c r="G36" s="206"/>
      <c r="H36" s="206"/>
      <c r="I36" s="206"/>
      <c r="J36" s="1260"/>
      <c r="K36" s="182"/>
      <c r="L36" s="182"/>
      <c r="M36" s="182"/>
    </row>
    <row r="37" spans="1:13" ht="14.4">
      <c r="A37" s="205">
        <v>5</v>
      </c>
      <c r="B37" s="1258"/>
      <c r="C37" s="205"/>
      <c r="D37" s="206"/>
      <c r="E37" s="206"/>
      <c r="F37" s="206"/>
      <c r="G37" s="206"/>
      <c r="H37" s="206"/>
      <c r="I37" s="206"/>
      <c r="J37" s="1261"/>
      <c r="K37" s="182"/>
      <c r="L37" s="182"/>
      <c r="M37" s="182"/>
    </row>
    <row r="38" spans="1:13" ht="17.25" customHeight="1">
      <c r="A38" s="207">
        <v>6</v>
      </c>
      <c r="B38" s="208" t="s">
        <v>58</v>
      </c>
      <c r="C38" s="205"/>
      <c r="D38" s="206"/>
      <c r="E38" s="206"/>
      <c r="F38" s="206"/>
      <c r="G38" s="206"/>
      <c r="H38" s="206"/>
      <c r="I38" s="206"/>
      <c r="J38" s="209" t="s">
        <v>57</v>
      </c>
      <c r="K38" s="182"/>
      <c r="L38" s="182"/>
      <c r="M38" s="182"/>
    </row>
    <row r="39" spans="1:13" ht="9" customHeight="1">
      <c r="A39" s="184"/>
      <c r="B39" s="184"/>
      <c r="C39" s="182"/>
      <c r="D39" s="182"/>
      <c r="E39" s="182"/>
      <c r="F39" s="182"/>
      <c r="G39" s="182"/>
      <c r="H39" s="182"/>
      <c r="I39" s="182"/>
      <c r="J39" s="182"/>
      <c r="K39" s="182"/>
      <c r="L39" s="182"/>
      <c r="M39" s="182"/>
    </row>
    <row r="40" spans="1:13" ht="14.4">
      <c r="A40" s="200" t="s">
        <v>59</v>
      </c>
      <c r="B40" s="200" t="s">
        <v>60</v>
      </c>
      <c r="C40" s="200"/>
      <c r="D40" s="200"/>
      <c r="E40" s="201"/>
      <c r="F40" s="201"/>
      <c r="G40" s="201"/>
      <c r="H40" s="201"/>
      <c r="I40" s="201"/>
      <c r="J40" s="201"/>
    </row>
    <row r="41" spans="1:13" ht="14.4">
      <c r="A41" s="1251" t="s">
        <v>46</v>
      </c>
      <c r="B41" s="1251" t="s">
        <v>47</v>
      </c>
      <c r="C41" s="1249" t="s">
        <v>48</v>
      </c>
      <c r="D41" s="1254" t="s">
        <v>49</v>
      </c>
      <c r="E41" s="1255"/>
      <c r="F41" s="1255"/>
      <c r="G41" s="1255"/>
      <c r="H41" s="1255"/>
      <c r="I41" s="1256"/>
      <c r="J41" s="1251" t="s">
        <v>50</v>
      </c>
    </row>
    <row r="42" spans="1:13" ht="14.4">
      <c r="A42" s="1252"/>
      <c r="B42" s="1252"/>
      <c r="C42" s="1250"/>
      <c r="D42" s="203" t="s">
        <v>51</v>
      </c>
      <c r="E42" s="204" t="s">
        <v>52</v>
      </c>
      <c r="F42" s="202" t="s">
        <v>53</v>
      </c>
      <c r="G42" s="204" t="s">
        <v>54</v>
      </c>
      <c r="H42" s="202" t="s">
        <v>21</v>
      </c>
      <c r="I42" s="204" t="s">
        <v>55</v>
      </c>
      <c r="J42" s="1252"/>
    </row>
    <row r="43" spans="1:13" ht="14.4">
      <c r="A43" s="205">
        <v>1</v>
      </c>
      <c r="B43" s="1258" t="s">
        <v>56</v>
      </c>
      <c r="C43" s="205"/>
      <c r="D43" s="206"/>
      <c r="E43" s="206"/>
      <c r="F43" s="206"/>
      <c r="G43" s="206"/>
      <c r="H43" s="206"/>
      <c r="I43" s="206"/>
      <c r="J43" s="1259" t="s">
        <v>57</v>
      </c>
    </row>
    <row r="44" spans="1:13" ht="14.4">
      <c r="A44" s="205">
        <v>2</v>
      </c>
      <c r="B44" s="1258"/>
      <c r="C44" s="205"/>
      <c r="D44" s="206"/>
      <c r="E44" s="206"/>
      <c r="F44" s="206"/>
      <c r="G44" s="206"/>
      <c r="H44" s="206"/>
      <c r="I44" s="206"/>
      <c r="J44" s="1260"/>
    </row>
    <row r="45" spans="1:13" ht="14.4">
      <c r="A45" s="205">
        <v>3</v>
      </c>
      <c r="B45" s="1258"/>
      <c r="C45" s="205"/>
      <c r="D45" s="206"/>
      <c r="E45" s="206"/>
      <c r="F45" s="206"/>
      <c r="G45" s="206"/>
      <c r="H45" s="206"/>
      <c r="I45" s="206"/>
      <c r="J45" s="1260"/>
    </row>
    <row r="46" spans="1:13" ht="14.4">
      <c r="A46" s="205">
        <v>4</v>
      </c>
      <c r="B46" s="1258"/>
      <c r="C46" s="205"/>
      <c r="D46" s="206"/>
      <c r="E46" s="206"/>
      <c r="F46" s="206"/>
      <c r="G46" s="206"/>
      <c r="H46" s="206"/>
      <c r="I46" s="206"/>
      <c r="J46" s="1260"/>
    </row>
    <row r="47" spans="1:13" ht="14.4">
      <c r="A47" s="205">
        <v>5</v>
      </c>
      <c r="B47" s="1258"/>
      <c r="C47" s="205"/>
      <c r="D47" s="206"/>
      <c r="E47" s="206"/>
      <c r="F47" s="206"/>
      <c r="G47" s="206"/>
      <c r="H47" s="206"/>
      <c r="I47" s="206"/>
      <c r="J47" s="1261"/>
    </row>
    <row r="48" spans="1:13" ht="15.6">
      <c r="A48" s="207">
        <v>6</v>
      </c>
      <c r="B48" s="208" t="s">
        <v>58</v>
      </c>
      <c r="C48" s="205"/>
      <c r="D48" s="206"/>
      <c r="E48" s="206"/>
      <c r="F48" s="206"/>
      <c r="G48" s="206"/>
      <c r="H48" s="206"/>
      <c r="I48" s="206"/>
      <c r="J48" s="209" t="s">
        <v>57</v>
      </c>
    </row>
    <row r="49" spans="1:31">
      <c r="AE49" s="1"/>
    </row>
    <row r="50" spans="1:31">
      <c r="AE50" s="1"/>
    </row>
    <row r="51" spans="1:31" ht="14.4">
      <c r="A51" s="184" t="s">
        <v>61</v>
      </c>
      <c r="B51" s="184" t="s">
        <v>62</v>
      </c>
      <c r="C51" s="184"/>
      <c r="D51" s="185"/>
      <c r="E51" s="185"/>
      <c r="F51" s="185"/>
      <c r="G51" s="185"/>
      <c r="H51" s="185"/>
      <c r="I51" s="185"/>
      <c r="J51" s="185"/>
      <c r="K51" s="185"/>
      <c r="AE51" s="1"/>
    </row>
    <row r="52" spans="1:31" ht="28.8">
      <c r="A52" s="217" t="s">
        <v>46</v>
      </c>
      <c r="B52" s="218" t="s">
        <v>47</v>
      </c>
      <c r="C52" s="219" t="s">
        <v>48</v>
      </c>
      <c r="D52" s="1262" t="s">
        <v>51</v>
      </c>
      <c r="E52" s="1263"/>
      <c r="F52" s="1262" t="s">
        <v>52</v>
      </c>
      <c r="G52" s="1263"/>
      <c r="H52" s="1264" t="s">
        <v>53</v>
      </c>
      <c r="I52" s="1262"/>
      <c r="J52" s="225" t="s">
        <v>50</v>
      </c>
      <c r="K52" s="223"/>
      <c r="AE52" s="1"/>
    </row>
    <row r="53" spans="1:31" ht="28.8">
      <c r="A53" s="220">
        <v>1</v>
      </c>
      <c r="B53" s="221" t="s">
        <v>63</v>
      </c>
      <c r="C53" s="222"/>
      <c r="D53" s="1265"/>
      <c r="E53" s="1266"/>
      <c r="F53" s="1265"/>
      <c r="G53" s="1266"/>
      <c r="H53" s="1267"/>
      <c r="I53" s="1265"/>
      <c r="J53" s="226" t="s">
        <v>64</v>
      </c>
      <c r="K53" s="224"/>
      <c r="AE53" s="1"/>
    </row>
    <row r="54" spans="1:31">
      <c r="AE54" s="1"/>
    </row>
    <row r="55" spans="1:31" ht="14.4">
      <c r="A55" s="184" t="s">
        <v>65</v>
      </c>
      <c r="B55" s="184" t="s">
        <v>66</v>
      </c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</row>
    <row r="56" spans="1:31" ht="14.4">
      <c r="A56" s="182"/>
      <c r="B56" s="1257" t="s">
        <v>67</v>
      </c>
      <c r="C56" s="1257"/>
      <c r="D56" s="1257"/>
      <c r="E56" s="1257"/>
      <c r="F56" s="1257"/>
      <c r="G56" s="1257"/>
      <c r="H56" s="1257"/>
      <c r="I56" s="1257"/>
      <c r="J56" s="1257"/>
      <c r="K56" s="1257"/>
      <c r="L56" s="1257"/>
      <c r="M56" s="177"/>
      <c r="N56" s="177"/>
    </row>
    <row r="57" spans="1:31" ht="14.4">
      <c r="A57" s="182"/>
      <c r="B57" s="1257" t="s">
        <v>68</v>
      </c>
      <c r="C57" s="1257"/>
      <c r="D57" s="1257"/>
      <c r="E57" s="1257"/>
      <c r="F57" s="1257"/>
      <c r="G57" s="1257"/>
      <c r="H57" s="1257"/>
      <c r="I57" s="1257"/>
      <c r="J57" s="1257"/>
      <c r="K57" s="1257"/>
      <c r="L57" s="1257"/>
      <c r="M57" s="210"/>
      <c r="N57" s="2"/>
    </row>
    <row r="58" spans="1:31" ht="14.4">
      <c r="A58" s="182"/>
      <c r="B58" s="211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</row>
    <row r="59" spans="1:31" ht="14.4">
      <c r="A59" s="184" t="s">
        <v>69</v>
      </c>
      <c r="B59" s="184" t="s">
        <v>70</v>
      </c>
      <c r="C59" s="184"/>
      <c r="D59" s="182"/>
      <c r="E59" s="182"/>
      <c r="F59" s="182"/>
      <c r="G59" s="182"/>
      <c r="H59" s="182"/>
      <c r="I59" s="182"/>
      <c r="J59" s="182"/>
      <c r="K59" s="182"/>
      <c r="L59" s="182"/>
      <c r="M59" s="182"/>
    </row>
    <row r="60" spans="1:31" ht="14.4">
      <c r="A60" s="227" t="s">
        <v>71</v>
      </c>
      <c r="B60" s="182" t="s">
        <v>72</v>
      </c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</row>
    <row r="61" spans="1:31" ht="14.4">
      <c r="A61" s="227" t="s">
        <v>71</v>
      </c>
      <c r="B61" s="228" t="s">
        <v>73</v>
      </c>
      <c r="C61" s="229"/>
      <c r="D61" s="229"/>
      <c r="E61" s="229"/>
      <c r="F61" s="229"/>
      <c r="G61" s="229"/>
      <c r="H61" s="229"/>
      <c r="I61" s="229"/>
      <c r="J61" s="229"/>
      <c r="K61" s="230"/>
      <c r="L61" s="230"/>
      <c r="M61" s="230"/>
      <c r="N61" s="230"/>
    </row>
    <row r="62" spans="1:31" ht="14.4">
      <c r="A62" s="227" t="s">
        <v>71</v>
      </c>
      <c r="B62" s="228" t="s">
        <v>74</v>
      </c>
      <c r="C62" s="229"/>
      <c r="D62" s="229"/>
      <c r="E62" s="229"/>
      <c r="F62" s="229"/>
      <c r="G62" s="229"/>
      <c r="H62" s="229"/>
      <c r="I62" s="229"/>
      <c r="J62" s="229"/>
      <c r="K62" s="230"/>
      <c r="L62" s="230"/>
      <c r="M62" s="230"/>
      <c r="N62" s="230"/>
    </row>
    <row r="63" spans="1:31" ht="14.4">
      <c r="A63" s="227" t="s">
        <v>71</v>
      </c>
      <c r="B63" s="231" t="s">
        <v>75</v>
      </c>
      <c r="C63" s="229"/>
      <c r="D63" s="229"/>
      <c r="E63" s="229"/>
      <c r="F63" s="229"/>
      <c r="G63" s="229"/>
      <c r="H63" s="229"/>
      <c r="I63" s="229"/>
      <c r="J63" s="229"/>
      <c r="K63" s="230"/>
      <c r="L63" s="230"/>
      <c r="M63" s="230"/>
      <c r="N63" s="230"/>
    </row>
    <row r="64" spans="1:31" ht="14.4">
      <c r="A64" s="227" t="s">
        <v>71</v>
      </c>
      <c r="B64" s="182" t="s">
        <v>76</v>
      </c>
      <c r="C64" s="185"/>
      <c r="D64" s="232"/>
      <c r="E64" s="232"/>
      <c r="F64" s="232"/>
      <c r="G64" s="232"/>
      <c r="H64" s="232"/>
      <c r="I64" s="229"/>
      <c r="J64" s="229"/>
      <c r="K64" s="230"/>
      <c r="L64" s="230"/>
      <c r="M64" s="230"/>
      <c r="N64" s="230"/>
    </row>
    <row r="65" spans="1:14" ht="14.4">
      <c r="A65" s="227" t="s">
        <v>71</v>
      </c>
      <c r="B65" s="182" t="s">
        <v>77</v>
      </c>
      <c r="C65" s="185"/>
      <c r="D65" s="232"/>
      <c r="E65" s="232"/>
      <c r="F65" s="232"/>
      <c r="G65" s="232"/>
      <c r="H65" s="232"/>
      <c r="I65" s="229"/>
      <c r="J65" s="229"/>
      <c r="K65" s="230"/>
      <c r="L65" s="230"/>
      <c r="M65" s="230"/>
      <c r="N65" s="230"/>
    </row>
    <row r="66" spans="1:14" ht="14.4">
      <c r="C66" s="182"/>
      <c r="D66" s="182"/>
      <c r="E66" s="182"/>
      <c r="F66" s="182"/>
      <c r="G66" s="182"/>
      <c r="H66" s="182"/>
      <c r="I66" s="182"/>
      <c r="J66" s="182"/>
      <c r="K66" s="182"/>
      <c r="L66" s="182"/>
      <c r="M66" s="182"/>
    </row>
    <row r="67" spans="1:14" ht="14.4">
      <c r="A67" s="184" t="s">
        <v>78</v>
      </c>
      <c r="B67" s="184" t="s">
        <v>79</v>
      </c>
      <c r="C67" s="233"/>
      <c r="D67" s="233"/>
      <c r="E67" s="233"/>
      <c r="F67" s="233"/>
      <c r="G67" s="233"/>
      <c r="H67" s="233"/>
      <c r="I67" s="233"/>
      <c r="J67" s="233"/>
      <c r="K67" s="233"/>
      <c r="L67" s="233"/>
      <c r="M67" s="233"/>
    </row>
    <row r="68" spans="1:14" ht="14.4">
      <c r="A68" s="182"/>
      <c r="B68" s="182" t="s">
        <v>80</v>
      </c>
    </row>
  </sheetData>
  <mergeCells count="31">
    <mergeCell ref="A1:M1"/>
    <mergeCell ref="A2:M2"/>
    <mergeCell ref="B22:I22"/>
    <mergeCell ref="J22:K22"/>
    <mergeCell ref="L22:M22"/>
    <mergeCell ref="G18:J19"/>
    <mergeCell ref="E12:F12"/>
    <mergeCell ref="G12:H12"/>
    <mergeCell ref="E15:H15"/>
    <mergeCell ref="B57:L57"/>
    <mergeCell ref="B33:B37"/>
    <mergeCell ref="J33:J37"/>
    <mergeCell ref="A41:A42"/>
    <mergeCell ref="B41:B42"/>
    <mergeCell ref="D41:I41"/>
    <mergeCell ref="J41:J42"/>
    <mergeCell ref="B43:B47"/>
    <mergeCell ref="J43:J47"/>
    <mergeCell ref="D52:E52"/>
    <mergeCell ref="F52:G52"/>
    <mergeCell ref="H52:I52"/>
    <mergeCell ref="D53:E53"/>
    <mergeCell ref="F53:G53"/>
    <mergeCell ref="H53:I53"/>
    <mergeCell ref="B56:L56"/>
    <mergeCell ref="C41:C42"/>
    <mergeCell ref="J31:J32"/>
    <mergeCell ref="C31:C32"/>
    <mergeCell ref="A31:A32"/>
    <mergeCell ref="B31:B32"/>
    <mergeCell ref="D31:I31"/>
  </mergeCells>
  <printOptions horizontalCentered="1"/>
  <pageMargins left="0.118110236220472" right="0.118110236220472" top="0.59055118110236204" bottom="0.47244094488188998" header="0.511811023622047" footer="0.511811023622047"/>
  <pageSetup paperSize="514" scale="98" orientation="portrait" verticalDpi="4294967293" r:id="rId1"/>
  <headerFooter alignWithMargins="0">
    <oddHeader>&amp;R&amp;"Calibri,Regular"&amp;9KL.LK - 11 / REV : 0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A2C3F-92F9-4FFB-9CAB-77EAC939BB43}">
  <sheetPr>
    <tabColor rgb="FF00B0F0"/>
  </sheetPr>
  <dimension ref="A1:Q375"/>
  <sheetViews>
    <sheetView view="pageBreakPreview" topLeftCell="A335" zoomScaleNormal="100" zoomScaleSheetLayoutView="100" workbookViewId="0">
      <selection activeCell="M343" sqref="M343"/>
    </sheetView>
  </sheetViews>
  <sheetFormatPr defaultColWidth="8.77734375" defaultRowHeight="13.2"/>
  <cols>
    <col min="1" max="5" width="8.77734375" style="802"/>
    <col min="6" max="6" width="11.5546875" style="802" customWidth="1"/>
    <col min="7" max="16384" width="8.77734375" style="802"/>
  </cols>
  <sheetData>
    <row r="1" spans="1:16" ht="18" thickBot="1">
      <c r="A1" s="1289" t="s">
        <v>341</v>
      </c>
      <c r="B1" s="1290"/>
      <c r="C1" s="1290"/>
      <c r="D1" s="1290"/>
      <c r="E1" s="1290"/>
      <c r="F1" s="1290"/>
      <c r="G1" s="1291"/>
      <c r="H1" s="1290"/>
      <c r="I1" s="1290"/>
      <c r="J1" s="1290"/>
      <c r="K1" s="1290"/>
      <c r="L1" s="1290"/>
      <c r="M1" s="1291"/>
      <c r="N1" s="1290"/>
      <c r="O1" s="1292"/>
      <c r="P1" s="801"/>
    </row>
    <row r="2" spans="1:16">
      <c r="A2" s="1285">
        <v>1</v>
      </c>
      <c r="B2" s="1288" t="s">
        <v>342</v>
      </c>
      <c r="C2" s="1288"/>
      <c r="D2" s="1288"/>
      <c r="E2" s="1288"/>
      <c r="F2" s="1288"/>
      <c r="G2" s="803"/>
      <c r="H2" s="1288" t="str">
        <f>B2</f>
        <v>KOREKSI KIMO THERMOHYGROMETER 15062873</v>
      </c>
      <c r="I2" s="1288"/>
      <c r="J2" s="1288"/>
      <c r="K2" s="1288"/>
      <c r="L2" s="1288"/>
      <c r="M2" s="803"/>
      <c r="N2" s="1293" t="s">
        <v>183</v>
      </c>
      <c r="O2" s="1293"/>
      <c r="P2" s="801"/>
    </row>
    <row r="3" spans="1:16">
      <c r="A3" s="1286"/>
      <c r="B3" s="1282" t="s">
        <v>343</v>
      </c>
      <c r="C3" s="1282"/>
      <c r="D3" s="1282" t="s">
        <v>185</v>
      </c>
      <c r="E3" s="1282"/>
      <c r="F3" s="1282" t="s">
        <v>182</v>
      </c>
      <c r="H3" s="1282" t="s">
        <v>344</v>
      </c>
      <c r="I3" s="1282"/>
      <c r="J3" s="1282" t="s">
        <v>185</v>
      </c>
      <c r="K3" s="1282"/>
      <c r="L3" s="1282" t="s">
        <v>182</v>
      </c>
      <c r="N3" s="804" t="s">
        <v>343</v>
      </c>
      <c r="O3" s="805">
        <v>0.6</v>
      </c>
      <c r="P3" s="801"/>
    </row>
    <row r="4" spans="1:16" ht="14.4">
      <c r="A4" s="1286"/>
      <c r="B4" s="1283" t="s">
        <v>345</v>
      </c>
      <c r="C4" s="1283"/>
      <c r="D4" s="806">
        <v>2020</v>
      </c>
      <c r="E4" s="806">
        <v>2017</v>
      </c>
      <c r="F4" s="1282"/>
      <c r="H4" s="1284" t="s">
        <v>93</v>
      </c>
      <c r="I4" s="1283"/>
      <c r="J4" s="807">
        <f>D4</f>
        <v>2020</v>
      </c>
      <c r="K4" s="807">
        <f>E4</f>
        <v>2017</v>
      </c>
      <c r="L4" s="1282"/>
      <c r="N4" s="804" t="s">
        <v>93</v>
      </c>
      <c r="O4" s="805">
        <v>3.1</v>
      </c>
      <c r="P4" s="801"/>
    </row>
    <row r="5" spans="1:16">
      <c r="A5" s="1286"/>
      <c r="B5" s="808"/>
      <c r="C5" s="809">
        <v>15</v>
      </c>
      <c r="D5" s="809">
        <v>-0.5</v>
      </c>
      <c r="E5" s="809">
        <v>0.3</v>
      </c>
      <c r="F5" s="810">
        <f t="shared" ref="F5:F11" si="0">0.5*(MAX(D5:E5)-MIN(D5:E5))</f>
        <v>0.4</v>
      </c>
      <c r="H5" s="808"/>
      <c r="I5" s="809">
        <v>35</v>
      </c>
      <c r="J5" s="809">
        <v>-6</v>
      </c>
      <c r="K5" s="809">
        <v>-9.4</v>
      </c>
      <c r="L5" s="810">
        <f t="shared" ref="L5:L11" si="1">0.5*(MAX(J5:K5)-MIN(J5:K5))</f>
        <v>1.7000000000000002</v>
      </c>
      <c r="O5" s="811"/>
      <c r="P5" s="801"/>
    </row>
    <row r="6" spans="1:16">
      <c r="A6" s="1286"/>
      <c r="B6" s="808"/>
      <c r="C6" s="809">
        <v>20</v>
      </c>
      <c r="D6" s="809">
        <v>-0.2</v>
      </c>
      <c r="E6" s="809">
        <v>0.2</v>
      </c>
      <c r="F6" s="810">
        <f>0.5*(MAX(D6:E6)-MIN(D6:E6))</f>
        <v>0.2</v>
      </c>
      <c r="H6" s="808"/>
      <c r="I6" s="809">
        <v>40</v>
      </c>
      <c r="J6" s="809">
        <v>-5.8</v>
      </c>
      <c r="K6" s="809">
        <v>-8.6</v>
      </c>
      <c r="L6" s="810">
        <f t="shared" si="1"/>
        <v>1.4</v>
      </c>
      <c r="O6" s="811"/>
      <c r="P6" s="801"/>
    </row>
    <row r="7" spans="1:16">
      <c r="A7" s="1286"/>
      <c r="B7" s="808"/>
      <c r="C7" s="809">
        <v>25</v>
      </c>
      <c r="D7" s="809">
        <v>0</v>
      </c>
      <c r="E7" s="809">
        <v>0.1</v>
      </c>
      <c r="F7" s="810">
        <f t="shared" si="0"/>
        <v>0.05</v>
      </c>
      <c r="H7" s="808"/>
      <c r="I7" s="809">
        <v>50</v>
      </c>
      <c r="J7" s="809">
        <v>-5.3</v>
      </c>
      <c r="K7" s="809">
        <v>-7.2</v>
      </c>
      <c r="L7" s="810">
        <f t="shared" si="1"/>
        <v>0.95000000000000018</v>
      </c>
      <c r="O7" s="811"/>
      <c r="P7" s="801"/>
    </row>
    <row r="8" spans="1:16">
      <c r="A8" s="1286"/>
      <c r="B8" s="808"/>
      <c r="C8" s="812">
        <v>30</v>
      </c>
      <c r="D8" s="813">
        <v>0</v>
      </c>
      <c r="E8" s="813">
        <v>-0.2</v>
      </c>
      <c r="F8" s="810">
        <f t="shared" si="0"/>
        <v>0.1</v>
      </c>
      <c r="H8" s="808"/>
      <c r="I8" s="812">
        <v>60</v>
      </c>
      <c r="J8" s="813">
        <v>-4.4000000000000004</v>
      </c>
      <c r="K8" s="813">
        <v>-5.2</v>
      </c>
      <c r="L8" s="810">
        <f t="shared" si="1"/>
        <v>0.39999999999999991</v>
      </c>
      <c r="O8" s="811"/>
      <c r="P8" s="801"/>
    </row>
    <row r="9" spans="1:16">
      <c r="A9" s="1286"/>
      <c r="B9" s="808"/>
      <c r="C9" s="812">
        <v>35</v>
      </c>
      <c r="D9" s="813">
        <v>-0.1</v>
      </c>
      <c r="E9" s="813">
        <v>-0.5</v>
      </c>
      <c r="F9" s="810">
        <f t="shared" si="0"/>
        <v>0.2</v>
      </c>
      <c r="H9" s="808"/>
      <c r="I9" s="812">
        <v>70</v>
      </c>
      <c r="J9" s="813">
        <v>-3.2</v>
      </c>
      <c r="K9" s="813">
        <v>-2.6</v>
      </c>
      <c r="L9" s="810">
        <f t="shared" si="1"/>
        <v>0.30000000000000004</v>
      </c>
      <c r="O9" s="811"/>
      <c r="P9" s="801"/>
    </row>
    <row r="10" spans="1:16">
      <c r="A10" s="1286"/>
      <c r="B10" s="808"/>
      <c r="C10" s="812">
        <v>37</v>
      </c>
      <c r="D10" s="813">
        <v>-0.2</v>
      </c>
      <c r="E10" s="813">
        <v>-0.6</v>
      </c>
      <c r="F10" s="810">
        <f t="shared" si="0"/>
        <v>0.19999999999999998</v>
      </c>
      <c r="H10" s="808"/>
      <c r="I10" s="812">
        <v>80</v>
      </c>
      <c r="J10" s="813">
        <v>-1.6</v>
      </c>
      <c r="K10" s="813">
        <v>0.7</v>
      </c>
      <c r="L10" s="810">
        <f t="shared" si="1"/>
        <v>1.1499999999999999</v>
      </c>
      <c r="O10" s="811"/>
      <c r="P10" s="801"/>
    </row>
    <row r="11" spans="1:16" ht="13.8" thickBot="1">
      <c r="A11" s="1287"/>
      <c r="B11" s="808"/>
      <c r="C11" s="812">
        <v>40</v>
      </c>
      <c r="D11" s="813">
        <v>-0.3</v>
      </c>
      <c r="E11" s="813">
        <v>-0.8</v>
      </c>
      <c r="F11" s="810">
        <f t="shared" si="0"/>
        <v>0.25</v>
      </c>
      <c r="G11" s="814"/>
      <c r="H11" s="808"/>
      <c r="I11" s="812">
        <v>90</v>
      </c>
      <c r="J11" s="813">
        <v>0.3</v>
      </c>
      <c r="K11" s="813">
        <v>4.5</v>
      </c>
      <c r="L11" s="810">
        <f t="shared" si="1"/>
        <v>2.1</v>
      </c>
      <c r="M11" s="814"/>
      <c r="N11" s="814"/>
      <c r="O11" s="815"/>
      <c r="P11" s="801"/>
    </row>
    <row r="12" spans="1:16" ht="13.8" thickBot="1">
      <c r="A12" s="816"/>
      <c r="B12" s="816"/>
      <c r="O12" s="811"/>
      <c r="P12" s="801"/>
    </row>
    <row r="13" spans="1:16">
      <c r="A13" s="1285">
        <v>2</v>
      </c>
      <c r="B13" s="1288" t="s">
        <v>346</v>
      </c>
      <c r="C13" s="1288"/>
      <c r="D13" s="1288"/>
      <c r="E13" s="1288"/>
      <c r="F13" s="1288"/>
      <c r="G13" s="803"/>
      <c r="H13" s="1288" t="str">
        <f>B13</f>
        <v>KOREKSI KIMO THERMOHYGROMETER 15062874</v>
      </c>
      <c r="I13" s="1288"/>
      <c r="J13" s="1288"/>
      <c r="K13" s="1288"/>
      <c r="L13" s="1288"/>
      <c r="M13" s="803"/>
      <c r="N13" s="1293" t="s">
        <v>183</v>
      </c>
      <c r="O13" s="1293"/>
      <c r="P13" s="801"/>
    </row>
    <row r="14" spans="1:16">
      <c r="A14" s="1286"/>
      <c r="B14" s="1282" t="s">
        <v>343</v>
      </c>
      <c r="C14" s="1282"/>
      <c r="D14" s="1282" t="s">
        <v>185</v>
      </c>
      <c r="E14" s="1282"/>
      <c r="F14" s="1282" t="s">
        <v>182</v>
      </c>
      <c r="H14" s="1282" t="s">
        <v>344</v>
      </c>
      <c r="I14" s="1282"/>
      <c r="J14" s="1282" t="s">
        <v>185</v>
      </c>
      <c r="K14" s="1282"/>
      <c r="L14" s="1282" t="s">
        <v>182</v>
      </c>
      <c r="N14" s="804" t="s">
        <v>343</v>
      </c>
      <c r="O14" s="817">
        <v>0.3</v>
      </c>
      <c r="P14" s="801"/>
    </row>
    <row r="15" spans="1:16" ht="14.4">
      <c r="A15" s="1286"/>
      <c r="B15" s="1283" t="s">
        <v>345</v>
      </c>
      <c r="C15" s="1283"/>
      <c r="D15" s="806">
        <v>2018</v>
      </c>
      <c r="E15" s="806">
        <v>2017</v>
      </c>
      <c r="F15" s="1282"/>
      <c r="H15" s="1284" t="s">
        <v>93</v>
      </c>
      <c r="I15" s="1283"/>
      <c r="J15" s="807">
        <f>D15</f>
        <v>2018</v>
      </c>
      <c r="K15" s="807">
        <f>E15</f>
        <v>2017</v>
      </c>
      <c r="L15" s="1282"/>
      <c r="N15" s="804" t="s">
        <v>93</v>
      </c>
      <c r="O15" s="817">
        <v>3.3</v>
      </c>
      <c r="P15" s="801"/>
    </row>
    <row r="16" spans="1:16">
      <c r="A16" s="1286"/>
      <c r="B16" s="808"/>
      <c r="C16" s="809">
        <v>15</v>
      </c>
      <c r="D16" s="809">
        <v>0</v>
      </c>
      <c r="E16" s="809">
        <v>0.5</v>
      </c>
      <c r="F16" s="810">
        <f t="shared" ref="F16:F22" si="2">0.5*(MAX(D16:E16)-MIN(D16:E16))</f>
        <v>0.25</v>
      </c>
      <c r="H16" s="808"/>
      <c r="I16" s="809">
        <v>35</v>
      </c>
      <c r="J16" s="809">
        <v>-1.6</v>
      </c>
      <c r="K16" s="809">
        <v>-0.9</v>
      </c>
      <c r="L16" s="810">
        <f t="shared" ref="L16:L22" si="3">0.5*(MAX(J16:K16)-MIN(J16:K16))</f>
        <v>0.35000000000000003</v>
      </c>
      <c r="O16" s="811"/>
      <c r="P16" s="801"/>
    </row>
    <row r="17" spans="1:16">
      <c r="A17" s="1286"/>
      <c r="B17" s="808"/>
      <c r="C17" s="809">
        <v>20</v>
      </c>
      <c r="D17" s="809">
        <v>-0.1</v>
      </c>
      <c r="E17" s="809">
        <v>0</v>
      </c>
      <c r="F17" s="810">
        <f t="shared" si="2"/>
        <v>0.05</v>
      </c>
      <c r="H17" s="808"/>
      <c r="I17" s="809">
        <v>40</v>
      </c>
      <c r="J17" s="809">
        <v>-1.6</v>
      </c>
      <c r="K17" s="809">
        <v>-1.1000000000000001</v>
      </c>
      <c r="L17" s="810">
        <f t="shared" si="3"/>
        <v>0.25</v>
      </c>
      <c r="O17" s="811"/>
      <c r="P17" s="801"/>
    </row>
    <row r="18" spans="1:16">
      <c r="A18" s="1286"/>
      <c r="B18" s="808"/>
      <c r="C18" s="809">
        <v>25</v>
      </c>
      <c r="D18" s="809">
        <v>-0.2</v>
      </c>
      <c r="E18" s="809">
        <v>-0.5</v>
      </c>
      <c r="F18" s="810">
        <f t="shared" si="2"/>
        <v>0.15</v>
      </c>
      <c r="H18" s="808"/>
      <c r="I18" s="809">
        <v>50</v>
      </c>
      <c r="J18" s="809">
        <v>-1.5</v>
      </c>
      <c r="K18" s="809">
        <v>-1.4</v>
      </c>
      <c r="L18" s="810">
        <f t="shared" si="3"/>
        <v>5.0000000000000044E-2</v>
      </c>
      <c r="O18" s="811"/>
      <c r="P18" s="801"/>
    </row>
    <row r="19" spans="1:16">
      <c r="A19" s="1286"/>
      <c r="B19" s="808"/>
      <c r="C19" s="812">
        <v>30</v>
      </c>
      <c r="D19" s="818">
        <v>-0.3</v>
      </c>
      <c r="E19" s="812">
        <v>-1</v>
      </c>
      <c r="F19" s="810">
        <f t="shared" si="2"/>
        <v>0.35</v>
      </c>
      <c r="H19" s="808"/>
      <c r="I19" s="812">
        <v>60</v>
      </c>
      <c r="J19" s="818">
        <v>-1.3</v>
      </c>
      <c r="K19" s="812">
        <v>-1.3</v>
      </c>
      <c r="L19" s="810">
        <f t="shared" si="3"/>
        <v>0</v>
      </c>
      <c r="O19" s="811"/>
      <c r="P19" s="801"/>
    </row>
    <row r="20" spans="1:16">
      <c r="A20" s="1286"/>
      <c r="B20" s="808"/>
      <c r="C20" s="812">
        <v>35</v>
      </c>
      <c r="D20" s="818">
        <v>-0.3</v>
      </c>
      <c r="E20" s="812">
        <v>-1.6</v>
      </c>
      <c r="F20" s="810">
        <f t="shared" si="2"/>
        <v>0.65</v>
      </c>
      <c r="H20" s="808"/>
      <c r="I20" s="812">
        <v>70</v>
      </c>
      <c r="J20" s="818">
        <v>-1.1000000000000001</v>
      </c>
      <c r="K20" s="812">
        <v>-1</v>
      </c>
      <c r="L20" s="810">
        <f t="shared" si="3"/>
        <v>5.0000000000000044E-2</v>
      </c>
      <c r="O20" s="811"/>
      <c r="P20" s="801"/>
    </row>
    <row r="21" spans="1:16">
      <c r="A21" s="1286"/>
      <c r="B21" s="808"/>
      <c r="C21" s="812">
        <v>37</v>
      </c>
      <c r="D21" s="818">
        <v>-0.3</v>
      </c>
      <c r="E21" s="812">
        <v>-1.8</v>
      </c>
      <c r="F21" s="810">
        <f t="shared" si="2"/>
        <v>0.75</v>
      </c>
      <c r="H21" s="808"/>
      <c r="I21" s="812">
        <v>80</v>
      </c>
      <c r="J21" s="818">
        <v>-0.7</v>
      </c>
      <c r="K21" s="812">
        <v>-0.4</v>
      </c>
      <c r="L21" s="810">
        <f t="shared" si="3"/>
        <v>0.14999999999999997</v>
      </c>
      <c r="O21" s="811"/>
      <c r="P21" s="801"/>
    </row>
    <row r="22" spans="1:16" ht="13.8" thickBot="1">
      <c r="A22" s="1287"/>
      <c r="B22" s="808"/>
      <c r="C22" s="812">
        <v>40</v>
      </c>
      <c r="D22" s="818">
        <v>-0.3</v>
      </c>
      <c r="E22" s="812">
        <v>-2.1</v>
      </c>
      <c r="F22" s="810">
        <f t="shared" si="2"/>
        <v>0.9</v>
      </c>
      <c r="G22" s="814"/>
      <c r="H22" s="808"/>
      <c r="I22" s="812">
        <v>90</v>
      </c>
      <c r="J22" s="818">
        <v>-0.3</v>
      </c>
      <c r="K22" s="812">
        <v>0.6</v>
      </c>
      <c r="L22" s="810">
        <f t="shared" si="3"/>
        <v>0.44999999999999996</v>
      </c>
      <c r="M22" s="814"/>
      <c r="N22" s="814"/>
      <c r="O22" s="815"/>
      <c r="P22" s="801"/>
    </row>
    <row r="23" spans="1:16" ht="13.8" thickBot="1">
      <c r="A23" s="816"/>
      <c r="B23" s="816"/>
      <c r="O23" s="811"/>
      <c r="P23" s="801"/>
    </row>
    <row r="24" spans="1:16">
      <c r="A24" s="1285">
        <v>3</v>
      </c>
      <c r="B24" s="1288" t="s">
        <v>347</v>
      </c>
      <c r="C24" s="1288"/>
      <c r="D24" s="1288"/>
      <c r="E24" s="1288"/>
      <c r="F24" s="1288"/>
      <c r="G24" s="803"/>
      <c r="H24" s="1288" t="str">
        <f>B24</f>
        <v>KOREKSI KIMO THERMOHYGROMETER 14082463</v>
      </c>
      <c r="I24" s="1288"/>
      <c r="J24" s="1288"/>
      <c r="K24" s="1288"/>
      <c r="L24" s="1288"/>
      <c r="M24" s="803"/>
      <c r="N24" s="1293" t="s">
        <v>183</v>
      </c>
      <c r="O24" s="1293"/>
      <c r="P24" s="801"/>
    </row>
    <row r="25" spans="1:16">
      <c r="A25" s="1286"/>
      <c r="B25" s="1282" t="s">
        <v>343</v>
      </c>
      <c r="C25" s="1282"/>
      <c r="D25" s="1282" t="s">
        <v>185</v>
      </c>
      <c r="E25" s="1282"/>
      <c r="F25" s="1282" t="s">
        <v>182</v>
      </c>
      <c r="H25" s="1282" t="s">
        <v>344</v>
      </c>
      <c r="I25" s="1282"/>
      <c r="J25" s="1282" t="s">
        <v>185</v>
      </c>
      <c r="K25" s="1282"/>
      <c r="L25" s="1282" t="s">
        <v>182</v>
      </c>
      <c r="N25" s="804" t="s">
        <v>343</v>
      </c>
      <c r="O25" s="817">
        <v>0.3</v>
      </c>
      <c r="P25" s="801"/>
    </row>
    <row r="26" spans="1:16" ht="14.4">
      <c r="A26" s="1286"/>
      <c r="B26" s="1283" t="s">
        <v>345</v>
      </c>
      <c r="C26" s="1283"/>
      <c r="D26" s="806">
        <v>2018</v>
      </c>
      <c r="E26" s="806">
        <v>2017</v>
      </c>
      <c r="F26" s="1282"/>
      <c r="H26" s="1284" t="s">
        <v>93</v>
      </c>
      <c r="I26" s="1283"/>
      <c r="J26" s="807">
        <f>D26</f>
        <v>2018</v>
      </c>
      <c r="K26" s="807">
        <f>E26</f>
        <v>2017</v>
      </c>
      <c r="L26" s="1282"/>
      <c r="N26" s="804" t="s">
        <v>93</v>
      </c>
      <c r="O26" s="817">
        <v>3.1</v>
      </c>
      <c r="P26" s="801"/>
    </row>
    <row r="27" spans="1:16">
      <c r="A27" s="1286"/>
      <c r="B27" s="808"/>
      <c r="C27" s="809">
        <v>15</v>
      </c>
      <c r="D27" s="809">
        <v>0</v>
      </c>
      <c r="E27" s="809">
        <v>0.2</v>
      </c>
      <c r="F27" s="810">
        <f t="shared" ref="F27:F33" si="4">0.5*(MAX(D27:E27)-MIN(D27:E27))</f>
        <v>0.1</v>
      </c>
      <c r="H27" s="808"/>
      <c r="I27" s="809">
        <v>30</v>
      </c>
      <c r="J27" s="809">
        <v>-5.7</v>
      </c>
      <c r="K27" s="809">
        <v>-1.1000000000000001</v>
      </c>
      <c r="L27" s="810">
        <f t="shared" ref="L27:L33" si="5">0.5*(MAX(J27:K27)-MIN(J27:K27))</f>
        <v>2.2999999999999998</v>
      </c>
      <c r="O27" s="811"/>
      <c r="P27" s="801"/>
    </row>
    <row r="28" spans="1:16">
      <c r="A28" s="1286"/>
      <c r="B28" s="808"/>
      <c r="C28" s="809">
        <v>20</v>
      </c>
      <c r="D28" s="809">
        <v>0</v>
      </c>
      <c r="E28" s="809">
        <v>0</v>
      </c>
      <c r="F28" s="810">
        <f t="shared" si="4"/>
        <v>0</v>
      </c>
      <c r="H28" s="808"/>
      <c r="I28" s="809">
        <v>40</v>
      </c>
      <c r="J28" s="809">
        <v>-5.3</v>
      </c>
      <c r="K28" s="809">
        <v>-1.9</v>
      </c>
      <c r="L28" s="810">
        <f t="shared" si="5"/>
        <v>1.7</v>
      </c>
      <c r="O28" s="811"/>
      <c r="P28" s="801"/>
    </row>
    <row r="29" spans="1:16">
      <c r="A29" s="1286"/>
      <c r="B29" s="808"/>
      <c r="C29" s="809">
        <v>25</v>
      </c>
      <c r="D29" s="809">
        <v>-0.1</v>
      </c>
      <c r="E29" s="809">
        <v>-0.2</v>
      </c>
      <c r="F29" s="810">
        <f t="shared" si="4"/>
        <v>0.05</v>
      </c>
      <c r="H29" s="808"/>
      <c r="I29" s="809">
        <v>50</v>
      </c>
      <c r="J29" s="809">
        <v>-4.9000000000000004</v>
      </c>
      <c r="K29" s="809">
        <v>-2.2999999999999998</v>
      </c>
      <c r="L29" s="810">
        <f t="shared" si="5"/>
        <v>1.3000000000000003</v>
      </c>
      <c r="O29" s="811"/>
      <c r="P29" s="801"/>
    </row>
    <row r="30" spans="1:16">
      <c r="A30" s="1286"/>
      <c r="B30" s="808"/>
      <c r="C30" s="812">
        <v>30</v>
      </c>
      <c r="D30" s="818">
        <v>-0.3</v>
      </c>
      <c r="E30" s="812">
        <v>-0.3</v>
      </c>
      <c r="F30" s="810">
        <f t="shared" si="4"/>
        <v>0</v>
      </c>
      <c r="H30" s="808"/>
      <c r="I30" s="812">
        <v>60</v>
      </c>
      <c r="J30" s="818">
        <v>-4.3</v>
      </c>
      <c r="K30" s="812">
        <v>-2.2000000000000002</v>
      </c>
      <c r="L30" s="810">
        <f t="shared" si="5"/>
        <v>1.0499999999999998</v>
      </c>
      <c r="O30" s="811"/>
      <c r="P30" s="801"/>
    </row>
    <row r="31" spans="1:16">
      <c r="A31" s="1286"/>
      <c r="B31" s="808"/>
      <c r="C31" s="812">
        <v>35</v>
      </c>
      <c r="D31" s="818">
        <v>-0.5</v>
      </c>
      <c r="E31" s="812">
        <v>-0.4</v>
      </c>
      <c r="F31" s="810">
        <f t="shared" si="4"/>
        <v>4.9999999999999989E-2</v>
      </c>
      <c r="H31" s="808"/>
      <c r="I31" s="812">
        <v>70</v>
      </c>
      <c r="J31" s="818">
        <v>-3.6</v>
      </c>
      <c r="K31" s="812">
        <v>-1.6</v>
      </c>
      <c r="L31" s="810">
        <f t="shared" si="5"/>
        <v>1</v>
      </c>
      <c r="O31" s="811"/>
      <c r="P31" s="801"/>
    </row>
    <row r="32" spans="1:16">
      <c r="A32" s="1286"/>
      <c r="B32" s="808"/>
      <c r="C32" s="812">
        <v>37</v>
      </c>
      <c r="D32" s="818">
        <v>-0.6</v>
      </c>
      <c r="E32" s="812">
        <v>-0.5</v>
      </c>
      <c r="F32" s="810">
        <f t="shared" si="4"/>
        <v>4.9999999999999989E-2</v>
      </c>
      <c r="H32" s="808"/>
      <c r="I32" s="812">
        <v>80</v>
      </c>
      <c r="J32" s="818">
        <v>-2.9</v>
      </c>
      <c r="K32" s="812">
        <v>-0.6</v>
      </c>
      <c r="L32" s="810">
        <f t="shared" si="5"/>
        <v>1.1499999999999999</v>
      </c>
      <c r="O32" s="811"/>
      <c r="P32" s="801"/>
    </row>
    <row r="33" spans="1:16" ht="13.8" thickBot="1">
      <c r="A33" s="1287"/>
      <c r="B33" s="808"/>
      <c r="C33" s="812">
        <v>40</v>
      </c>
      <c r="D33" s="818">
        <v>-0.7</v>
      </c>
      <c r="E33" s="812">
        <v>-0.5</v>
      </c>
      <c r="F33" s="810">
        <f t="shared" si="4"/>
        <v>9.9999999999999978E-2</v>
      </c>
      <c r="G33" s="814"/>
      <c r="H33" s="808"/>
      <c r="I33" s="812">
        <v>90</v>
      </c>
      <c r="J33" s="818">
        <v>-2</v>
      </c>
      <c r="K33" s="812">
        <v>0.9</v>
      </c>
      <c r="L33" s="810">
        <f t="shared" si="5"/>
        <v>1.45</v>
      </c>
      <c r="M33" s="814"/>
      <c r="N33" s="814"/>
      <c r="O33" s="815"/>
      <c r="P33" s="801"/>
    </row>
    <row r="34" spans="1:16" ht="13.8" thickBot="1">
      <c r="A34" s="816"/>
      <c r="B34" s="816"/>
      <c r="H34" s="819"/>
      <c r="O34" s="811"/>
      <c r="P34" s="801"/>
    </row>
    <row r="35" spans="1:16" ht="13.8" thickBot="1">
      <c r="A35" s="1306">
        <v>4</v>
      </c>
      <c r="B35" s="1309" t="s">
        <v>348</v>
      </c>
      <c r="C35" s="1310"/>
      <c r="D35" s="1310"/>
      <c r="E35" s="1310"/>
      <c r="F35" s="1311"/>
      <c r="G35" s="803"/>
      <c r="H35" s="1309" t="str">
        <f>B35</f>
        <v>KOREKSI KIMO THERMOHYGROMETER 15062872</v>
      </c>
      <c r="I35" s="1310"/>
      <c r="J35" s="1310"/>
      <c r="K35" s="1310"/>
      <c r="L35" s="1311"/>
      <c r="M35" s="803"/>
      <c r="N35" s="1294" t="s">
        <v>183</v>
      </c>
      <c r="O35" s="1295"/>
      <c r="P35" s="801"/>
    </row>
    <row r="36" spans="1:16" ht="13.8" thickBot="1">
      <c r="A36" s="1307"/>
      <c r="B36" s="1296" t="s">
        <v>343</v>
      </c>
      <c r="C36" s="1297"/>
      <c r="D36" s="1298" t="s">
        <v>185</v>
      </c>
      <c r="E36" s="1299"/>
      <c r="F36" s="1300" t="s">
        <v>182</v>
      </c>
      <c r="H36" s="1296" t="s">
        <v>344</v>
      </c>
      <c r="I36" s="1297"/>
      <c r="J36" s="1298" t="s">
        <v>185</v>
      </c>
      <c r="K36" s="1299"/>
      <c r="L36" s="1300" t="s">
        <v>182</v>
      </c>
      <c r="N36" s="820" t="s">
        <v>343</v>
      </c>
      <c r="O36" s="821">
        <v>0.6</v>
      </c>
      <c r="P36" s="801"/>
    </row>
    <row r="37" spans="1:16" ht="15" thickBot="1">
      <c r="A37" s="1307"/>
      <c r="B37" s="1302" t="s">
        <v>345</v>
      </c>
      <c r="C37" s="1303"/>
      <c r="D37" s="822">
        <v>2017</v>
      </c>
      <c r="E37" s="822">
        <v>2015</v>
      </c>
      <c r="F37" s="1301"/>
      <c r="H37" s="1304" t="s">
        <v>93</v>
      </c>
      <c r="I37" s="1305"/>
      <c r="J37" s="823">
        <f>D37</f>
        <v>2017</v>
      </c>
      <c r="K37" s="823">
        <f>E37</f>
        <v>2015</v>
      </c>
      <c r="L37" s="1301"/>
      <c r="N37" s="824" t="s">
        <v>93</v>
      </c>
      <c r="O37" s="825">
        <v>2.6</v>
      </c>
      <c r="P37" s="801"/>
    </row>
    <row r="38" spans="1:16">
      <c r="A38" s="1307"/>
      <c r="C38" s="826">
        <v>15</v>
      </c>
      <c r="D38" s="827">
        <v>-0.1</v>
      </c>
      <c r="E38" s="827">
        <v>0.4</v>
      </c>
      <c r="F38" s="828">
        <f t="shared" ref="F38:F44" si="6">0.5*(MAX(D38:E38)-MIN(D38:E38))</f>
        <v>0.25</v>
      </c>
      <c r="H38" s="816"/>
      <c r="I38" s="826">
        <v>35</v>
      </c>
      <c r="J38" s="827">
        <v>-1.7</v>
      </c>
      <c r="K38" s="827">
        <v>-0.8</v>
      </c>
      <c r="L38" s="828">
        <f t="shared" ref="L38:L44" si="7">0.5*(MAX(J38:K38)-MIN(J38:K38))</f>
        <v>0.44999999999999996</v>
      </c>
      <c r="O38" s="811"/>
      <c r="P38" s="801"/>
    </row>
    <row r="39" spans="1:16">
      <c r="A39" s="1307"/>
      <c r="C39" s="829">
        <v>20</v>
      </c>
      <c r="D39" s="809">
        <v>-0.3</v>
      </c>
      <c r="E39" s="809">
        <v>0</v>
      </c>
      <c r="F39" s="830">
        <f>0.5*(MAX(D39:E39)-MIN(D39:E39))</f>
        <v>0.15</v>
      </c>
      <c r="H39" s="816"/>
      <c r="I39" s="829">
        <v>40</v>
      </c>
      <c r="J39" s="809">
        <v>-1.5</v>
      </c>
      <c r="K39" s="809">
        <v>-0.9</v>
      </c>
      <c r="L39" s="830">
        <f t="shared" si="7"/>
        <v>0.3</v>
      </c>
      <c r="O39" s="811"/>
      <c r="P39" s="801"/>
    </row>
    <row r="40" spans="1:16">
      <c r="A40" s="1307"/>
      <c r="C40" s="829">
        <v>25</v>
      </c>
      <c r="D40" s="809">
        <v>-0.5</v>
      </c>
      <c r="E40" s="809">
        <v>-0.5</v>
      </c>
      <c r="F40" s="830">
        <f t="shared" si="6"/>
        <v>0</v>
      </c>
      <c r="H40" s="816"/>
      <c r="I40" s="829">
        <v>50</v>
      </c>
      <c r="J40" s="809">
        <v>-1</v>
      </c>
      <c r="K40" s="809">
        <v>-1</v>
      </c>
      <c r="L40" s="830">
        <f t="shared" si="7"/>
        <v>0</v>
      </c>
      <c r="O40" s="811"/>
      <c r="P40" s="801"/>
    </row>
    <row r="41" spans="1:16">
      <c r="A41" s="1307"/>
      <c r="C41" s="831">
        <v>30</v>
      </c>
      <c r="D41" s="813">
        <v>-0.6</v>
      </c>
      <c r="E41" s="812">
        <v>-1</v>
      </c>
      <c r="F41" s="830">
        <f t="shared" si="6"/>
        <v>0.2</v>
      </c>
      <c r="H41" s="816"/>
      <c r="I41" s="831">
        <v>60</v>
      </c>
      <c r="J41" s="813">
        <v>-0.3</v>
      </c>
      <c r="K41" s="812">
        <v>-0.9</v>
      </c>
      <c r="L41" s="830">
        <f t="shared" si="7"/>
        <v>0.30000000000000004</v>
      </c>
      <c r="O41" s="811"/>
      <c r="P41" s="801"/>
    </row>
    <row r="42" spans="1:16">
      <c r="A42" s="1307"/>
      <c r="C42" s="831">
        <v>35</v>
      </c>
      <c r="D42" s="813">
        <v>-0.6</v>
      </c>
      <c r="E42" s="812">
        <v>-1.5</v>
      </c>
      <c r="F42" s="830">
        <f t="shared" si="6"/>
        <v>0.45</v>
      </c>
      <c r="H42" s="816"/>
      <c r="I42" s="831">
        <v>70</v>
      </c>
      <c r="J42" s="813">
        <v>0.7</v>
      </c>
      <c r="K42" s="812">
        <v>-0.7</v>
      </c>
      <c r="L42" s="830">
        <f t="shared" si="7"/>
        <v>0.7</v>
      </c>
      <c r="O42" s="811"/>
      <c r="P42" s="801"/>
    </row>
    <row r="43" spans="1:16">
      <c r="A43" s="1307"/>
      <c r="C43" s="831">
        <v>37</v>
      </c>
      <c r="D43" s="813">
        <v>-0.6</v>
      </c>
      <c r="E43" s="812">
        <v>-1.8</v>
      </c>
      <c r="F43" s="830">
        <f t="shared" si="6"/>
        <v>0.60000000000000009</v>
      </c>
      <c r="H43" s="816"/>
      <c r="I43" s="831">
        <v>80</v>
      </c>
      <c r="J43" s="813">
        <v>1.9</v>
      </c>
      <c r="K43" s="812">
        <v>-0.4</v>
      </c>
      <c r="L43" s="830">
        <f t="shared" si="7"/>
        <v>1.1499999999999999</v>
      </c>
      <c r="O43" s="811"/>
      <c r="P43" s="801"/>
    </row>
    <row r="44" spans="1:16" ht="13.8" thickBot="1">
      <c r="A44" s="1308"/>
      <c r="B44" s="814"/>
      <c r="C44" s="832">
        <v>40</v>
      </c>
      <c r="D44" s="813">
        <v>-0.6</v>
      </c>
      <c r="E44" s="833">
        <v>-2.1</v>
      </c>
      <c r="F44" s="834">
        <f t="shared" si="6"/>
        <v>0.75</v>
      </c>
      <c r="G44" s="814"/>
      <c r="H44" s="835"/>
      <c r="I44" s="832">
        <v>90</v>
      </c>
      <c r="J44" s="836">
        <v>3.3</v>
      </c>
      <c r="K44" s="833">
        <v>0.2</v>
      </c>
      <c r="L44" s="834">
        <f t="shared" si="7"/>
        <v>1.5499999999999998</v>
      </c>
      <c r="M44" s="814"/>
      <c r="N44" s="814"/>
      <c r="O44" s="815"/>
      <c r="P44" s="801"/>
    </row>
    <row r="45" spans="1:16" ht="13.8" thickBot="1">
      <c r="A45" s="816"/>
      <c r="B45" s="816"/>
      <c r="O45" s="811"/>
      <c r="P45" s="801"/>
    </row>
    <row r="46" spans="1:16" ht="13.8" thickBot="1">
      <c r="A46" s="1306">
        <v>5</v>
      </c>
      <c r="B46" s="1309" t="s">
        <v>349</v>
      </c>
      <c r="C46" s="1310"/>
      <c r="D46" s="1310"/>
      <c r="E46" s="1310"/>
      <c r="F46" s="1311"/>
      <c r="G46" s="803"/>
      <c r="H46" s="1309" t="str">
        <f>B46</f>
        <v>KOREKSI KIMO THERMOHYGROMETER 15062875</v>
      </c>
      <c r="I46" s="1310"/>
      <c r="J46" s="1310"/>
      <c r="K46" s="1310"/>
      <c r="L46" s="1311"/>
      <c r="M46" s="803"/>
      <c r="N46" s="1294" t="s">
        <v>183</v>
      </c>
      <c r="O46" s="1295"/>
      <c r="P46" s="801"/>
    </row>
    <row r="47" spans="1:16" ht="13.8" thickBot="1">
      <c r="A47" s="1307"/>
      <c r="B47" s="1296" t="s">
        <v>343</v>
      </c>
      <c r="C47" s="1297"/>
      <c r="D47" s="1298" t="s">
        <v>185</v>
      </c>
      <c r="E47" s="1299"/>
      <c r="F47" s="1300" t="s">
        <v>182</v>
      </c>
      <c r="H47" s="1296" t="s">
        <v>344</v>
      </c>
      <c r="I47" s="1297"/>
      <c r="J47" s="1298" t="s">
        <v>185</v>
      </c>
      <c r="K47" s="1299"/>
      <c r="L47" s="1300" t="s">
        <v>182</v>
      </c>
      <c r="N47" s="820" t="s">
        <v>343</v>
      </c>
      <c r="O47" s="821">
        <v>0.4</v>
      </c>
      <c r="P47" s="801"/>
    </row>
    <row r="48" spans="1:16" ht="15" thickBot="1">
      <c r="A48" s="1307"/>
      <c r="B48" s="1302" t="s">
        <v>345</v>
      </c>
      <c r="C48" s="1303"/>
      <c r="D48" s="822">
        <v>2020</v>
      </c>
      <c r="E48" s="822">
        <v>2017</v>
      </c>
      <c r="F48" s="1301"/>
      <c r="H48" s="1304" t="s">
        <v>93</v>
      </c>
      <c r="I48" s="1305"/>
      <c r="J48" s="823">
        <f>D48</f>
        <v>2020</v>
      </c>
      <c r="K48" s="823">
        <f>E48</f>
        <v>2017</v>
      </c>
      <c r="L48" s="1301"/>
      <c r="N48" s="824" t="s">
        <v>93</v>
      </c>
      <c r="O48" s="825">
        <v>2.8</v>
      </c>
      <c r="P48" s="801"/>
    </row>
    <row r="49" spans="1:16">
      <c r="A49" s="1307"/>
      <c r="C49" s="826">
        <v>15</v>
      </c>
      <c r="D49" s="827">
        <v>-0.3</v>
      </c>
      <c r="E49" s="827">
        <v>0.3</v>
      </c>
      <c r="F49" s="828">
        <f t="shared" ref="F49:F55" si="8">0.5*(MAX(D49:E49)-MIN(D49:E49))</f>
        <v>0.3</v>
      </c>
      <c r="H49" s="816"/>
      <c r="I49" s="826">
        <v>35</v>
      </c>
      <c r="J49" s="827">
        <v>-7.7</v>
      </c>
      <c r="K49" s="827">
        <v>-9.6</v>
      </c>
      <c r="L49" s="828">
        <f t="shared" ref="L49:L55" si="9">0.5*(MAX(J49:K49)-MIN(J49:K49))</f>
        <v>0.94999999999999973</v>
      </c>
      <c r="O49" s="811"/>
      <c r="P49" s="801"/>
    </row>
    <row r="50" spans="1:16">
      <c r="A50" s="1307"/>
      <c r="C50" s="829">
        <v>20</v>
      </c>
      <c r="D50" s="809">
        <v>0.1</v>
      </c>
      <c r="E50" s="809">
        <v>0.3</v>
      </c>
      <c r="F50" s="830">
        <f t="shared" si="8"/>
        <v>9.9999999999999992E-2</v>
      </c>
      <c r="H50" s="816"/>
      <c r="I50" s="829">
        <v>40</v>
      </c>
      <c r="J50" s="809">
        <v>-7.2</v>
      </c>
      <c r="K50" s="809">
        <v>-8</v>
      </c>
      <c r="L50" s="830">
        <f t="shared" si="9"/>
        <v>0.39999999999999991</v>
      </c>
      <c r="O50" s="811"/>
      <c r="P50" s="801"/>
    </row>
    <row r="51" spans="1:16">
      <c r="A51" s="1307"/>
      <c r="C51" s="829">
        <v>25</v>
      </c>
      <c r="D51" s="809">
        <v>0.4</v>
      </c>
      <c r="E51" s="809">
        <v>0.2</v>
      </c>
      <c r="F51" s="830">
        <f t="shared" si="8"/>
        <v>0.1</v>
      </c>
      <c r="H51" s="816"/>
      <c r="I51" s="829">
        <v>50</v>
      </c>
      <c r="J51" s="809">
        <v>-6.2</v>
      </c>
      <c r="K51" s="809">
        <v>-6.2</v>
      </c>
      <c r="L51" s="830">
        <f t="shared" si="9"/>
        <v>0</v>
      </c>
      <c r="O51" s="811"/>
      <c r="P51" s="801"/>
    </row>
    <row r="52" spans="1:16">
      <c r="A52" s="1307"/>
      <c r="C52" s="831">
        <v>30</v>
      </c>
      <c r="D52" s="813">
        <v>0.6</v>
      </c>
      <c r="E52" s="813">
        <v>0.1</v>
      </c>
      <c r="F52" s="830">
        <f t="shared" si="8"/>
        <v>0.25</v>
      </c>
      <c r="H52" s="816"/>
      <c r="I52" s="831">
        <v>60</v>
      </c>
      <c r="J52" s="813">
        <v>-5.2</v>
      </c>
      <c r="K52" s="813">
        <v>-4.2</v>
      </c>
      <c r="L52" s="830">
        <f t="shared" si="9"/>
        <v>0.5</v>
      </c>
      <c r="O52" s="811"/>
      <c r="P52" s="801"/>
    </row>
    <row r="53" spans="1:16">
      <c r="A53" s="1307"/>
      <c r="C53" s="831">
        <v>35</v>
      </c>
      <c r="D53" s="813">
        <v>0.7</v>
      </c>
      <c r="E53" s="813">
        <v>0</v>
      </c>
      <c r="F53" s="830">
        <f t="shared" si="8"/>
        <v>0.35</v>
      </c>
      <c r="H53" s="816"/>
      <c r="I53" s="831">
        <v>70</v>
      </c>
      <c r="J53" s="813">
        <v>-4.0999999999999996</v>
      </c>
      <c r="K53" s="813">
        <v>-2.1</v>
      </c>
      <c r="L53" s="830">
        <f t="shared" si="9"/>
        <v>0.99999999999999978</v>
      </c>
      <c r="O53" s="811"/>
      <c r="P53" s="801"/>
    </row>
    <row r="54" spans="1:16">
      <c r="A54" s="1307"/>
      <c r="C54" s="831">
        <v>37</v>
      </c>
      <c r="D54" s="813">
        <v>0.7</v>
      </c>
      <c r="E54" s="813">
        <v>0</v>
      </c>
      <c r="F54" s="830">
        <f t="shared" si="8"/>
        <v>0.35</v>
      </c>
      <c r="H54" s="816"/>
      <c r="I54" s="831">
        <v>80</v>
      </c>
      <c r="J54" s="813">
        <v>-3</v>
      </c>
      <c r="K54" s="813">
        <v>0.2</v>
      </c>
      <c r="L54" s="830">
        <f t="shared" si="9"/>
        <v>1.6</v>
      </c>
      <c r="O54" s="811"/>
      <c r="P54" s="801"/>
    </row>
    <row r="55" spans="1:16" ht="13.8" thickBot="1">
      <c r="A55" s="1308"/>
      <c r="B55" s="814"/>
      <c r="C55" s="832">
        <v>40</v>
      </c>
      <c r="D55" s="836">
        <v>0.7</v>
      </c>
      <c r="E55" s="836">
        <v>-0.1</v>
      </c>
      <c r="F55" s="834">
        <f t="shared" si="8"/>
        <v>0.39999999999999997</v>
      </c>
      <c r="G55" s="814"/>
      <c r="H55" s="835"/>
      <c r="I55" s="832">
        <v>90</v>
      </c>
      <c r="J55" s="836">
        <v>-1.8</v>
      </c>
      <c r="K55" s="836">
        <v>2.7</v>
      </c>
      <c r="L55" s="834">
        <f t="shared" si="9"/>
        <v>2.25</v>
      </c>
      <c r="M55" s="814"/>
      <c r="N55" s="814"/>
      <c r="O55" s="815"/>
      <c r="P55" s="801"/>
    </row>
    <row r="56" spans="1:16" ht="13.8" thickBot="1">
      <c r="A56" s="837"/>
      <c r="B56" s="838"/>
      <c r="C56" s="838"/>
      <c r="D56" s="838"/>
      <c r="E56" s="839"/>
      <c r="F56" s="840"/>
      <c r="G56" s="841"/>
      <c r="H56" s="838"/>
      <c r="I56" s="838"/>
      <c r="J56" s="838"/>
      <c r="K56" s="839"/>
      <c r="L56" s="840"/>
      <c r="O56" s="811"/>
      <c r="P56" s="801"/>
    </row>
    <row r="57" spans="1:16" ht="13.8" thickBot="1">
      <c r="A57" s="1306">
        <v>6</v>
      </c>
      <c r="B57" s="1309" t="s">
        <v>350</v>
      </c>
      <c r="C57" s="1310"/>
      <c r="D57" s="1310"/>
      <c r="E57" s="1310"/>
      <c r="F57" s="1311"/>
      <c r="G57" s="803"/>
      <c r="H57" s="1309" t="str">
        <f>B57</f>
        <v>KOREKSI GREISINGER 34903046</v>
      </c>
      <c r="I57" s="1310"/>
      <c r="J57" s="1310"/>
      <c r="K57" s="1310"/>
      <c r="L57" s="1311"/>
      <c r="M57" s="803"/>
      <c r="N57" s="1294" t="s">
        <v>183</v>
      </c>
      <c r="O57" s="1295"/>
      <c r="P57" s="801"/>
    </row>
    <row r="58" spans="1:16" ht="13.8" thickBot="1">
      <c r="A58" s="1307"/>
      <c r="B58" s="1296" t="s">
        <v>343</v>
      </c>
      <c r="C58" s="1297"/>
      <c r="D58" s="1298" t="s">
        <v>185</v>
      </c>
      <c r="E58" s="1299"/>
      <c r="F58" s="1300" t="s">
        <v>182</v>
      </c>
      <c r="H58" s="1296" t="s">
        <v>344</v>
      </c>
      <c r="I58" s="1297"/>
      <c r="J58" s="1298" t="s">
        <v>185</v>
      </c>
      <c r="K58" s="1299"/>
      <c r="L58" s="1300" t="s">
        <v>182</v>
      </c>
      <c r="N58" s="820" t="s">
        <v>343</v>
      </c>
      <c r="O58" s="821">
        <v>0.8</v>
      </c>
      <c r="P58" s="801"/>
    </row>
    <row r="59" spans="1:16" ht="15" thickBot="1">
      <c r="A59" s="1307"/>
      <c r="B59" s="1302" t="s">
        <v>345</v>
      </c>
      <c r="C59" s="1303"/>
      <c r="D59" s="822">
        <v>2019</v>
      </c>
      <c r="E59" s="822">
        <v>2018</v>
      </c>
      <c r="F59" s="1301"/>
      <c r="H59" s="1304" t="s">
        <v>93</v>
      </c>
      <c r="I59" s="1305"/>
      <c r="J59" s="823">
        <f>D59</f>
        <v>2019</v>
      </c>
      <c r="K59" s="823">
        <f>E59</f>
        <v>2018</v>
      </c>
      <c r="L59" s="1301"/>
      <c r="N59" s="824" t="s">
        <v>93</v>
      </c>
      <c r="O59" s="842">
        <v>2.6</v>
      </c>
      <c r="P59" s="801"/>
    </row>
    <row r="60" spans="1:16">
      <c r="A60" s="1307"/>
      <c r="C60" s="826">
        <v>15</v>
      </c>
      <c r="D60" s="827">
        <v>0.4</v>
      </c>
      <c r="E60" s="827">
        <v>0.4</v>
      </c>
      <c r="F60" s="828">
        <f t="shared" ref="F60:F66" si="10">0.5*(MAX(D60:E60)-MIN(D60:E60))</f>
        <v>0</v>
      </c>
      <c r="H60" s="816"/>
      <c r="I60" s="826">
        <v>30</v>
      </c>
      <c r="J60" s="827">
        <v>-1.5</v>
      </c>
      <c r="K60" s="827">
        <v>-4.9000000000000004</v>
      </c>
      <c r="L60" s="828">
        <f t="shared" ref="L60:L66" si="11">0.5*(MAX(J60:K60)-MIN(J60:K60))</f>
        <v>1.7000000000000002</v>
      </c>
      <c r="O60" s="811"/>
      <c r="P60" s="801"/>
    </row>
    <row r="61" spans="1:16">
      <c r="A61" s="1307"/>
      <c r="C61" s="829">
        <v>20</v>
      </c>
      <c r="D61" s="809">
        <v>0.3</v>
      </c>
      <c r="E61" s="809">
        <v>0.2</v>
      </c>
      <c r="F61" s="830">
        <f t="shared" si="10"/>
        <v>4.9999999999999989E-2</v>
      </c>
      <c r="H61" s="816"/>
      <c r="I61" s="829">
        <v>40</v>
      </c>
      <c r="J61" s="809">
        <v>-3.8</v>
      </c>
      <c r="K61" s="809">
        <v>-3.4</v>
      </c>
      <c r="L61" s="830">
        <f t="shared" si="11"/>
        <v>0.19999999999999996</v>
      </c>
      <c r="O61" s="811"/>
      <c r="P61" s="801"/>
    </row>
    <row r="62" spans="1:16">
      <c r="A62" s="1307"/>
      <c r="C62" s="829">
        <v>25</v>
      </c>
      <c r="D62" s="809">
        <v>0.2</v>
      </c>
      <c r="E62" s="809">
        <v>-0.1</v>
      </c>
      <c r="F62" s="830">
        <f t="shared" si="10"/>
        <v>0.15000000000000002</v>
      </c>
      <c r="H62" s="816"/>
      <c r="I62" s="829">
        <v>50</v>
      </c>
      <c r="J62" s="809">
        <v>-5.4</v>
      </c>
      <c r="K62" s="809">
        <v>-2.5</v>
      </c>
      <c r="L62" s="830">
        <f t="shared" si="11"/>
        <v>1.4500000000000002</v>
      </c>
      <c r="O62" s="811"/>
      <c r="P62" s="801"/>
    </row>
    <row r="63" spans="1:16">
      <c r="A63" s="1307"/>
      <c r="C63" s="831">
        <v>30</v>
      </c>
      <c r="D63" s="812">
        <v>0.1</v>
      </c>
      <c r="E63" s="812">
        <v>-0.5</v>
      </c>
      <c r="F63" s="830">
        <f t="shared" si="10"/>
        <v>0.3</v>
      </c>
      <c r="H63" s="816"/>
      <c r="I63" s="831">
        <v>60</v>
      </c>
      <c r="J63" s="812">
        <v>-6.4</v>
      </c>
      <c r="K63" s="812">
        <v>-2</v>
      </c>
      <c r="L63" s="830">
        <f t="shared" si="11"/>
        <v>2.2000000000000002</v>
      </c>
      <c r="O63" s="811"/>
      <c r="P63" s="801"/>
    </row>
    <row r="64" spans="1:16">
      <c r="A64" s="1307"/>
      <c r="C64" s="831">
        <v>35</v>
      </c>
      <c r="D64" s="812">
        <v>0.1</v>
      </c>
      <c r="E64" s="812">
        <v>-0.9</v>
      </c>
      <c r="F64" s="830">
        <f t="shared" si="10"/>
        <v>0.5</v>
      </c>
      <c r="H64" s="816"/>
      <c r="I64" s="831">
        <v>70</v>
      </c>
      <c r="J64" s="812">
        <v>-6.7</v>
      </c>
      <c r="K64" s="812">
        <v>-2.1</v>
      </c>
      <c r="L64" s="830">
        <f t="shared" si="11"/>
        <v>2.2999999999999998</v>
      </c>
      <c r="O64" s="811"/>
      <c r="P64" s="801"/>
    </row>
    <row r="65" spans="1:16">
      <c r="A65" s="1307"/>
      <c r="C65" s="831">
        <v>37</v>
      </c>
      <c r="D65" s="812">
        <v>0.1</v>
      </c>
      <c r="E65" s="812">
        <v>-1.1000000000000001</v>
      </c>
      <c r="F65" s="830">
        <f t="shared" si="10"/>
        <v>0.60000000000000009</v>
      </c>
      <c r="H65" s="816"/>
      <c r="I65" s="831">
        <v>80</v>
      </c>
      <c r="J65" s="812">
        <v>-6.3</v>
      </c>
      <c r="K65" s="812">
        <v>-2.6</v>
      </c>
      <c r="L65" s="830">
        <f t="shared" si="11"/>
        <v>1.8499999999999999</v>
      </c>
      <c r="O65" s="811"/>
      <c r="P65" s="801"/>
    </row>
    <row r="66" spans="1:16" ht="13.8" thickBot="1">
      <c r="A66" s="1308"/>
      <c r="B66" s="814"/>
      <c r="C66" s="832">
        <v>40</v>
      </c>
      <c r="D66" s="833">
        <v>0.1</v>
      </c>
      <c r="E66" s="833">
        <v>-1.4</v>
      </c>
      <c r="F66" s="834">
        <f t="shared" si="10"/>
        <v>0.75</v>
      </c>
      <c r="G66" s="814"/>
      <c r="H66" s="835"/>
      <c r="I66" s="832">
        <v>90</v>
      </c>
      <c r="J66" s="833">
        <v>-5.2</v>
      </c>
      <c r="K66" s="833">
        <v>-2.6</v>
      </c>
      <c r="L66" s="834">
        <f t="shared" si="11"/>
        <v>1.3</v>
      </c>
      <c r="M66" s="814"/>
      <c r="N66" s="814"/>
      <c r="O66" s="815"/>
      <c r="P66" s="801"/>
    </row>
    <row r="67" spans="1:16" ht="13.8" thickBot="1">
      <c r="A67" s="837"/>
      <c r="B67" s="838"/>
      <c r="C67" s="838"/>
      <c r="D67" s="838"/>
      <c r="E67" s="839"/>
      <c r="F67" s="840"/>
      <c r="G67" s="841"/>
      <c r="H67" s="838"/>
      <c r="I67" s="838"/>
      <c r="J67" s="838"/>
      <c r="K67" s="839"/>
      <c r="L67" s="840"/>
      <c r="O67" s="811"/>
      <c r="P67" s="801"/>
    </row>
    <row r="68" spans="1:16" ht="13.8" thickBot="1">
      <c r="A68" s="1306">
        <v>7</v>
      </c>
      <c r="B68" s="1309" t="s">
        <v>351</v>
      </c>
      <c r="C68" s="1310"/>
      <c r="D68" s="1310"/>
      <c r="E68" s="1310"/>
      <c r="F68" s="1311"/>
      <c r="G68" s="803"/>
      <c r="H68" s="1309" t="str">
        <f>B68</f>
        <v>KOREKSI GREISINGER 34903053</v>
      </c>
      <c r="I68" s="1310"/>
      <c r="J68" s="1310"/>
      <c r="K68" s="1310"/>
      <c r="L68" s="1311"/>
      <c r="M68" s="803"/>
      <c r="N68" s="1294" t="s">
        <v>183</v>
      </c>
      <c r="O68" s="1295"/>
      <c r="P68" s="801"/>
    </row>
    <row r="69" spans="1:16" ht="13.8" thickBot="1">
      <c r="A69" s="1307"/>
      <c r="B69" s="1296" t="s">
        <v>343</v>
      </c>
      <c r="C69" s="1297"/>
      <c r="D69" s="1298" t="s">
        <v>185</v>
      </c>
      <c r="E69" s="1299"/>
      <c r="F69" s="1300" t="s">
        <v>182</v>
      </c>
      <c r="H69" s="1296" t="s">
        <v>344</v>
      </c>
      <c r="I69" s="1297"/>
      <c r="J69" s="1298" t="s">
        <v>185</v>
      </c>
      <c r="K69" s="1299"/>
      <c r="L69" s="1300" t="s">
        <v>182</v>
      </c>
      <c r="N69" s="820" t="s">
        <v>343</v>
      </c>
      <c r="O69" s="821">
        <v>0.3</v>
      </c>
      <c r="P69" s="801"/>
    </row>
    <row r="70" spans="1:16" ht="15" thickBot="1">
      <c r="A70" s="1307"/>
      <c r="B70" s="1302" t="s">
        <v>345</v>
      </c>
      <c r="C70" s="1303"/>
      <c r="D70" s="822">
        <v>2018</v>
      </c>
      <c r="E70" s="822">
        <v>2017</v>
      </c>
      <c r="F70" s="1301"/>
      <c r="H70" s="1304" t="s">
        <v>93</v>
      </c>
      <c r="I70" s="1305"/>
      <c r="J70" s="823">
        <f>D70</f>
        <v>2018</v>
      </c>
      <c r="K70" s="823">
        <f>E70</f>
        <v>2017</v>
      </c>
      <c r="L70" s="1301"/>
      <c r="N70" s="824" t="s">
        <v>93</v>
      </c>
      <c r="O70" s="825">
        <v>2.2999999999999998</v>
      </c>
      <c r="P70" s="801"/>
    </row>
    <row r="71" spans="1:16">
      <c r="A71" s="1307"/>
      <c r="C71" s="826">
        <v>15</v>
      </c>
      <c r="D71" s="827">
        <v>0.3</v>
      </c>
      <c r="E71" s="827">
        <v>0.2</v>
      </c>
      <c r="F71" s="828">
        <f t="shared" ref="F71:F77" si="12">0.5*(MAX(D71:E71)-MIN(D71:E71))</f>
        <v>4.9999999999999989E-2</v>
      </c>
      <c r="H71" s="816"/>
      <c r="I71" s="826">
        <v>30</v>
      </c>
      <c r="J71" s="827">
        <v>1.8</v>
      </c>
      <c r="K71" s="827">
        <v>-0.1</v>
      </c>
      <c r="L71" s="828">
        <f t="shared" ref="L71:L77" si="13">0.5*(MAX(J71:K71)-MIN(J71:K71))</f>
        <v>0.95000000000000007</v>
      </c>
      <c r="O71" s="811"/>
      <c r="P71" s="801"/>
    </row>
    <row r="72" spans="1:16">
      <c r="A72" s="1307"/>
      <c r="C72" s="829">
        <v>20</v>
      </c>
      <c r="D72" s="809">
        <v>0.1</v>
      </c>
      <c r="E72" s="809">
        <v>0.1</v>
      </c>
      <c r="F72" s="830">
        <f t="shared" si="12"/>
        <v>0</v>
      </c>
      <c r="H72" s="816"/>
      <c r="I72" s="829">
        <v>40</v>
      </c>
      <c r="J72" s="809">
        <v>1.2</v>
      </c>
      <c r="K72" s="809">
        <v>0</v>
      </c>
      <c r="L72" s="830">
        <f t="shared" si="13"/>
        <v>0.6</v>
      </c>
      <c r="O72" s="811"/>
      <c r="P72" s="801"/>
    </row>
    <row r="73" spans="1:16">
      <c r="A73" s="1307"/>
      <c r="C73" s="829">
        <v>25</v>
      </c>
      <c r="D73" s="809">
        <v>-0.2</v>
      </c>
      <c r="E73" s="809">
        <v>9.9999999999999995E-7</v>
      </c>
      <c r="F73" s="830">
        <f t="shared" si="12"/>
        <v>0.10000050000000001</v>
      </c>
      <c r="H73" s="816"/>
      <c r="I73" s="829">
        <v>50</v>
      </c>
      <c r="J73" s="809">
        <v>0.8</v>
      </c>
      <c r="K73" s="809">
        <v>0.6</v>
      </c>
      <c r="L73" s="830">
        <f t="shared" si="13"/>
        <v>0.10000000000000003</v>
      </c>
      <c r="O73" s="811"/>
      <c r="P73" s="801"/>
    </row>
    <row r="74" spans="1:16">
      <c r="A74" s="1307"/>
      <c r="C74" s="831">
        <v>30</v>
      </c>
      <c r="D74" s="812">
        <v>-0.6</v>
      </c>
      <c r="E74" s="812">
        <v>-0.1</v>
      </c>
      <c r="F74" s="830">
        <f t="shared" si="12"/>
        <v>0.25</v>
      </c>
      <c r="H74" s="816"/>
      <c r="I74" s="831">
        <v>60</v>
      </c>
      <c r="J74" s="812">
        <v>0.7</v>
      </c>
      <c r="K74" s="812">
        <v>1.5</v>
      </c>
      <c r="L74" s="830">
        <f t="shared" si="13"/>
        <v>0.4</v>
      </c>
      <c r="O74" s="811"/>
      <c r="P74" s="801"/>
    </row>
    <row r="75" spans="1:16">
      <c r="A75" s="1307"/>
      <c r="C75" s="831">
        <v>35</v>
      </c>
      <c r="D75" s="812">
        <v>-1.1000000000000001</v>
      </c>
      <c r="E75" s="812">
        <v>-0.1</v>
      </c>
      <c r="F75" s="830">
        <f t="shared" si="12"/>
        <v>0.5</v>
      </c>
      <c r="H75" s="816"/>
      <c r="I75" s="831">
        <v>70</v>
      </c>
      <c r="J75" s="812">
        <v>0.9</v>
      </c>
      <c r="K75" s="812">
        <v>2.8</v>
      </c>
      <c r="L75" s="830">
        <f t="shared" si="13"/>
        <v>0.95</v>
      </c>
      <c r="O75" s="811"/>
      <c r="P75" s="801"/>
    </row>
    <row r="76" spans="1:16">
      <c r="A76" s="1307"/>
      <c r="C76" s="831">
        <v>37</v>
      </c>
      <c r="D76" s="812">
        <v>-1.4</v>
      </c>
      <c r="E76" s="812">
        <v>-0.1</v>
      </c>
      <c r="F76" s="830">
        <f t="shared" si="12"/>
        <v>0.64999999999999991</v>
      </c>
      <c r="H76" s="816"/>
      <c r="I76" s="831">
        <v>80</v>
      </c>
      <c r="J76" s="812">
        <v>1.2</v>
      </c>
      <c r="K76" s="812">
        <v>4.4000000000000004</v>
      </c>
      <c r="L76" s="830">
        <f t="shared" si="13"/>
        <v>1.6</v>
      </c>
      <c r="O76" s="811"/>
      <c r="P76" s="801"/>
    </row>
    <row r="77" spans="1:16" ht="13.8" thickBot="1">
      <c r="A77" s="1308"/>
      <c r="B77" s="814"/>
      <c r="C77" s="832">
        <v>40</v>
      </c>
      <c r="D77" s="833">
        <v>-1.7</v>
      </c>
      <c r="E77" s="833">
        <v>-0.1</v>
      </c>
      <c r="F77" s="834">
        <f t="shared" si="12"/>
        <v>0.79999999999999993</v>
      </c>
      <c r="G77" s="814"/>
      <c r="H77" s="835"/>
      <c r="I77" s="832">
        <v>90</v>
      </c>
      <c r="J77" s="833">
        <v>1.8</v>
      </c>
      <c r="K77" s="833">
        <v>4.4000000000000004</v>
      </c>
      <c r="L77" s="834">
        <f t="shared" si="13"/>
        <v>1.3000000000000003</v>
      </c>
      <c r="M77" s="814"/>
      <c r="N77" s="814"/>
      <c r="O77" s="815"/>
      <c r="P77" s="801"/>
    </row>
    <row r="78" spans="1:16" ht="13.8" thickBot="1">
      <c r="A78" s="837"/>
      <c r="B78" s="838"/>
      <c r="C78" s="838"/>
      <c r="D78" s="838"/>
      <c r="E78" s="839"/>
      <c r="F78" s="840"/>
      <c r="G78" s="841"/>
      <c r="H78" s="838"/>
      <c r="I78" s="838"/>
      <c r="J78" s="838"/>
      <c r="K78" s="839"/>
      <c r="L78" s="840"/>
      <c r="O78" s="811"/>
      <c r="P78" s="801"/>
    </row>
    <row r="79" spans="1:16" ht="13.8" thickBot="1">
      <c r="A79" s="1306">
        <v>8</v>
      </c>
      <c r="B79" s="1309" t="s">
        <v>352</v>
      </c>
      <c r="C79" s="1310"/>
      <c r="D79" s="1310"/>
      <c r="E79" s="1310"/>
      <c r="F79" s="1311"/>
      <c r="G79" s="803"/>
      <c r="H79" s="1309" t="str">
        <f>B79</f>
        <v>KOREKSI GREISINGER 34903051</v>
      </c>
      <c r="I79" s="1310"/>
      <c r="J79" s="1310"/>
      <c r="K79" s="1310"/>
      <c r="L79" s="1311"/>
      <c r="M79" s="803"/>
      <c r="N79" s="1294" t="s">
        <v>183</v>
      </c>
      <c r="O79" s="1295"/>
      <c r="P79" s="801"/>
    </row>
    <row r="80" spans="1:16" ht="13.8" thickBot="1">
      <c r="A80" s="1307"/>
      <c r="B80" s="1296" t="s">
        <v>343</v>
      </c>
      <c r="C80" s="1297"/>
      <c r="D80" s="1298" t="s">
        <v>185</v>
      </c>
      <c r="E80" s="1299"/>
      <c r="F80" s="1300" t="s">
        <v>182</v>
      </c>
      <c r="H80" s="1296" t="s">
        <v>344</v>
      </c>
      <c r="I80" s="1297"/>
      <c r="J80" s="1298" t="s">
        <v>185</v>
      </c>
      <c r="K80" s="1299"/>
      <c r="L80" s="1300" t="s">
        <v>182</v>
      </c>
      <c r="N80" s="820" t="s">
        <v>343</v>
      </c>
      <c r="O80" s="843">
        <v>0.3</v>
      </c>
      <c r="P80" s="801"/>
    </row>
    <row r="81" spans="1:16" ht="15" thickBot="1">
      <c r="A81" s="1307"/>
      <c r="B81" s="1302" t="s">
        <v>345</v>
      </c>
      <c r="C81" s="1303"/>
      <c r="D81" s="822">
        <v>2019</v>
      </c>
      <c r="E81" s="822">
        <v>2017</v>
      </c>
      <c r="F81" s="1301"/>
      <c r="H81" s="1304" t="s">
        <v>93</v>
      </c>
      <c r="I81" s="1305"/>
      <c r="J81" s="823">
        <f>D81</f>
        <v>2019</v>
      </c>
      <c r="K81" s="823">
        <f>E81</f>
        <v>2017</v>
      </c>
      <c r="L81" s="1301"/>
      <c r="N81" s="824" t="s">
        <v>93</v>
      </c>
      <c r="O81" s="842">
        <v>2.6</v>
      </c>
      <c r="P81" s="801"/>
    </row>
    <row r="82" spans="1:16">
      <c r="A82" s="1307"/>
      <c r="C82" s="844">
        <v>15</v>
      </c>
      <c r="D82" s="827">
        <v>9.9999999999999995E-7</v>
      </c>
      <c r="E82" s="827">
        <v>-0.2</v>
      </c>
      <c r="F82" s="828">
        <f t="shared" ref="F82:F88" si="14">0.5*(MAX(D82:E82)-MIN(D82:E82))</f>
        <v>0.10000050000000001</v>
      </c>
      <c r="H82" s="816"/>
      <c r="I82" s="844">
        <v>30</v>
      </c>
      <c r="J82" s="827">
        <v>-1.4</v>
      </c>
      <c r="K82" s="827">
        <v>1</v>
      </c>
      <c r="L82" s="828">
        <f t="shared" ref="L82:L88" si="15">0.5*(MAX(J82:K82)-MIN(J82:K82))</f>
        <v>1.2</v>
      </c>
      <c r="O82" s="811"/>
      <c r="P82" s="801"/>
    </row>
    <row r="83" spans="1:16">
      <c r="A83" s="1307"/>
      <c r="C83" s="845">
        <v>20</v>
      </c>
      <c r="D83" s="827">
        <v>-0.2</v>
      </c>
      <c r="E83" s="827">
        <v>-0.2</v>
      </c>
      <c r="F83" s="830">
        <f>0.5*(MAX(D83:E83)-MIN(D83:E83))</f>
        <v>0</v>
      </c>
      <c r="H83" s="816"/>
      <c r="I83" s="845">
        <v>40</v>
      </c>
      <c r="J83" s="809">
        <v>-1.2</v>
      </c>
      <c r="K83" s="809">
        <v>1.1000000000000001</v>
      </c>
      <c r="L83" s="830">
        <f t="shared" si="15"/>
        <v>1.1499999999999999</v>
      </c>
      <c r="O83" s="811"/>
      <c r="P83" s="801"/>
    </row>
    <row r="84" spans="1:16">
      <c r="A84" s="1307"/>
      <c r="C84" s="845">
        <v>25</v>
      </c>
      <c r="D84" s="827">
        <v>-0.4</v>
      </c>
      <c r="E84" s="827">
        <v>-0.2</v>
      </c>
      <c r="F84" s="830">
        <f t="shared" si="14"/>
        <v>0.1</v>
      </c>
      <c r="H84" s="816"/>
      <c r="I84" s="845">
        <v>50</v>
      </c>
      <c r="J84" s="809">
        <v>-1.2</v>
      </c>
      <c r="K84" s="809">
        <v>1.3</v>
      </c>
      <c r="L84" s="830">
        <f t="shared" si="15"/>
        <v>1.25</v>
      </c>
      <c r="O84" s="811"/>
      <c r="P84" s="801"/>
    </row>
    <row r="85" spans="1:16">
      <c r="A85" s="1307"/>
      <c r="C85" s="846">
        <v>30</v>
      </c>
      <c r="D85" s="827">
        <v>-0.4</v>
      </c>
      <c r="E85" s="827">
        <v>-0.2</v>
      </c>
      <c r="F85" s="830">
        <f t="shared" si="14"/>
        <v>0.1</v>
      </c>
      <c r="H85" s="816"/>
      <c r="I85" s="846">
        <v>60</v>
      </c>
      <c r="J85" s="812">
        <v>-1.1000000000000001</v>
      </c>
      <c r="K85" s="812">
        <v>1.7</v>
      </c>
      <c r="L85" s="830">
        <f t="shared" si="15"/>
        <v>1.4</v>
      </c>
      <c r="O85" s="811"/>
      <c r="P85" s="801"/>
    </row>
    <row r="86" spans="1:16">
      <c r="A86" s="1307"/>
      <c r="C86" s="846">
        <v>35</v>
      </c>
      <c r="D86" s="812">
        <v>-0.5</v>
      </c>
      <c r="E86" s="812">
        <v>-0.3</v>
      </c>
      <c r="F86" s="830">
        <f t="shared" si="14"/>
        <v>0.1</v>
      </c>
      <c r="H86" s="816"/>
      <c r="I86" s="846">
        <v>70</v>
      </c>
      <c r="J86" s="812">
        <v>-1.2</v>
      </c>
      <c r="K86" s="812">
        <v>2.1</v>
      </c>
      <c r="L86" s="830">
        <f t="shared" si="15"/>
        <v>1.65</v>
      </c>
      <c r="O86" s="811"/>
      <c r="P86" s="801"/>
    </row>
    <row r="87" spans="1:16">
      <c r="A87" s="1307"/>
      <c r="C87" s="846">
        <v>37</v>
      </c>
      <c r="D87" s="812">
        <v>-0.5</v>
      </c>
      <c r="E87" s="812">
        <v>-0.3</v>
      </c>
      <c r="F87" s="830">
        <f t="shared" si="14"/>
        <v>0.1</v>
      </c>
      <c r="H87" s="816"/>
      <c r="I87" s="846">
        <v>80</v>
      </c>
      <c r="J87" s="812">
        <v>-1.2</v>
      </c>
      <c r="K87" s="812">
        <v>2.6</v>
      </c>
      <c r="L87" s="830">
        <f t="shared" si="15"/>
        <v>1.9</v>
      </c>
      <c r="O87" s="811"/>
      <c r="P87" s="801"/>
    </row>
    <row r="88" spans="1:16" ht="13.8" thickBot="1">
      <c r="A88" s="1308"/>
      <c r="B88" s="814"/>
      <c r="C88" s="847">
        <v>40</v>
      </c>
      <c r="D88" s="833">
        <v>-0.4</v>
      </c>
      <c r="E88" s="833">
        <v>-0.4</v>
      </c>
      <c r="F88" s="834">
        <f t="shared" si="14"/>
        <v>0</v>
      </c>
      <c r="G88" s="814"/>
      <c r="H88" s="835"/>
      <c r="I88" s="847">
        <v>90</v>
      </c>
      <c r="J88" s="833">
        <v>-1.3</v>
      </c>
      <c r="K88" s="833">
        <v>2.6</v>
      </c>
      <c r="L88" s="834">
        <f t="shared" si="15"/>
        <v>1.9500000000000002</v>
      </c>
      <c r="M88" s="814"/>
      <c r="N88" s="814"/>
      <c r="O88" s="815"/>
      <c r="P88" s="801"/>
    </row>
    <row r="89" spans="1:16" ht="13.8" thickBot="1">
      <c r="A89" s="837"/>
      <c r="B89" s="838"/>
      <c r="C89" s="838"/>
      <c r="D89" s="838"/>
      <c r="E89" s="839"/>
      <c r="F89" s="848"/>
      <c r="G89" s="841"/>
      <c r="H89" s="838"/>
      <c r="I89" s="838"/>
      <c r="J89" s="838"/>
      <c r="K89" s="839"/>
      <c r="L89" s="848"/>
      <c r="O89" s="811"/>
      <c r="P89" s="801"/>
    </row>
    <row r="90" spans="1:16" ht="13.8" thickBot="1">
      <c r="A90" s="1306">
        <v>9</v>
      </c>
      <c r="B90" s="1309" t="s">
        <v>353</v>
      </c>
      <c r="C90" s="1310"/>
      <c r="D90" s="1310"/>
      <c r="E90" s="1310"/>
      <c r="F90" s="1311"/>
      <c r="G90" s="803"/>
      <c r="H90" s="1309" t="str">
        <f>B90</f>
        <v>KOREKSI GREISINGER 34904091</v>
      </c>
      <c r="I90" s="1310"/>
      <c r="J90" s="1310"/>
      <c r="K90" s="1310"/>
      <c r="L90" s="1311"/>
      <c r="M90" s="803"/>
      <c r="N90" s="1294" t="s">
        <v>183</v>
      </c>
      <c r="O90" s="1295"/>
      <c r="P90" s="801"/>
    </row>
    <row r="91" spans="1:16" ht="13.8" thickBot="1">
      <c r="A91" s="1307"/>
      <c r="B91" s="1296" t="s">
        <v>343</v>
      </c>
      <c r="C91" s="1297"/>
      <c r="D91" s="1298" t="s">
        <v>185</v>
      </c>
      <c r="E91" s="1299"/>
      <c r="F91" s="1300" t="s">
        <v>182</v>
      </c>
      <c r="H91" s="1296" t="s">
        <v>344</v>
      </c>
      <c r="I91" s="1297"/>
      <c r="J91" s="1298" t="s">
        <v>185</v>
      </c>
      <c r="K91" s="1299"/>
      <c r="L91" s="1300" t="s">
        <v>182</v>
      </c>
      <c r="N91" s="820" t="s">
        <v>343</v>
      </c>
      <c r="O91" s="843">
        <v>0.3</v>
      </c>
      <c r="P91" s="801"/>
    </row>
    <row r="92" spans="1:16" ht="15" thickBot="1">
      <c r="A92" s="1307"/>
      <c r="B92" s="1302" t="s">
        <v>345</v>
      </c>
      <c r="C92" s="1303"/>
      <c r="D92" s="822">
        <v>2019</v>
      </c>
      <c r="E92" s="849" t="s">
        <v>196</v>
      </c>
      <c r="F92" s="1301"/>
      <c r="H92" s="1304" t="s">
        <v>93</v>
      </c>
      <c r="I92" s="1305"/>
      <c r="J92" s="823">
        <f>D92</f>
        <v>2019</v>
      </c>
      <c r="K92" s="823" t="str">
        <f>E92</f>
        <v>-</v>
      </c>
      <c r="L92" s="1301"/>
      <c r="N92" s="824" t="s">
        <v>93</v>
      </c>
      <c r="O92" s="842">
        <v>2.4</v>
      </c>
      <c r="P92" s="801"/>
    </row>
    <row r="93" spans="1:16">
      <c r="A93" s="1307"/>
      <c r="B93" s="816"/>
      <c r="C93" s="844">
        <v>15</v>
      </c>
      <c r="D93" s="827">
        <v>9.9999999999999995E-7</v>
      </c>
      <c r="E93" s="850" t="s">
        <v>196</v>
      </c>
      <c r="F93" s="828">
        <f t="shared" ref="F93" si="16">0.5*(MAX(D93:E93)-MIN(D93:E93))</f>
        <v>0</v>
      </c>
      <c r="H93" s="816"/>
      <c r="I93" s="844">
        <v>30</v>
      </c>
      <c r="J93" s="827">
        <v>-1.2</v>
      </c>
      <c r="K93" s="850" t="s">
        <v>196</v>
      </c>
      <c r="L93" s="828">
        <f t="shared" ref="L93:L99" si="17">0.5*(MAX(J93:K93)-MIN(J93:K93))</f>
        <v>0</v>
      </c>
      <c r="O93" s="811"/>
      <c r="P93" s="801"/>
    </row>
    <row r="94" spans="1:16">
      <c r="A94" s="1307"/>
      <c r="B94" s="816"/>
      <c r="C94" s="845">
        <v>20</v>
      </c>
      <c r="D94" s="827">
        <v>-0.2</v>
      </c>
      <c r="E94" s="851" t="s">
        <v>196</v>
      </c>
      <c r="F94" s="830">
        <f>0.5*(MAX(D94:E94)-MIN(D94:E94))</f>
        <v>0</v>
      </c>
      <c r="H94" s="816"/>
      <c r="I94" s="845">
        <v>40</v>
      </c>
      <c r="J94" s="827">
        <v>-1</v>
      </c>
      <c r="K94" s="851" t="s">
        <v>196</v>
      </c>
      <c r="L94" s="830">
        <f t="shared" si="17"/>
        <v>0</v>
      </c>
      <c r="O94" s="811"/>
      <c r="P94" s="801"/>
    </row>
    <row r="95" spans="1:16">
      <c r="A95" s="1307"/>
      <c r="B95" s="816"/>
      <c r="C95" s="845">
        <v>25</v>
      </c>
      <c r="D95" s="827">
        <v>-0.4</v>
      </c>
      <c r="E95" s="851" t="s">
        <v>196</v>
      </c>
      <c r="F95" s="830">
        <f t="shared" ref="F95:F99" si="18">0.5*(MAX(D95:E95)-MIN(D95:E95))</f>
        <v>0</v>
      </c>
      <c r="H95" s="816"/>
      <c r="I95" s="845">
        <v>50</v>
      </c>
      <c r="J95" s="827">
        <v>-0.9</v>
      </c>
      <c r="K95" s="851" t="s">
        <v>196</v>
      </c>
      <c r="L95" s="830">
        <f t="shared" si="17"/>
        <v>0</v>
      </c>
      <c r="O95" s="811"/>
      <c r="P95" s="801"/>
    </row>
    <row r="96" spans="1:16">
      <c r="A96" s="1307"/>
      <c r="B96" s="816"/>
      <c r="C96" s="846">
        <v>30</v>
      </c>
      <c r="D96" s="827">
        <v>-0.5</v>
      </c>
      <c r="E96" s="813" t="s">
        <v>196</v>
      </c>
      <c r="F96" s="830">
        <f t="shared" si="18"/>
        <v>0</v>
      </c>
      <c r="H96" s="816"/>
      <c r="I96" s="846">
        <v>60</v>
      </c>
      <c r="J96" s="827">
        <v>-0.8</v>
      </c>
      <c r="K96" s="813" t="s">
        <v>196</v>
      </c>
      <c r="L96" s="830">
        <f t="shared" si="17"/>
        <v>0</v>
      </c>
      <c r="O96" s="811"/>
      <c r="P96" s="801"/>
    </row>
    <row r="97" spans="1:16">
      <c r="A97" s="1307"/>
      <c r="B97" s="816"/>
      <c r="C97" s="846">
        <v>35</v>
      </c>
      <c r="D97" s="827">
        <v>-0.5</v>
      </c>
      <c r="E97" s="813" t="s">
        <v>196</v>
      </c>
      <c r="F97" s="830">
        <f t="shared" si="18"/>
        <v>0</v>
      </c>
      <c r="H97" s="816"/>
      <c r="I97" s="846">
        <v>70</v>
      </c>
      <c r="J97" s="827">
        <v>-0.6</v>
      </c>
      <c r="K97" s="813" t="s">
        <v>196</v>
      </c>
      <c r="L97" s="830">
        <f t="shared" si="17"/>
        <v>0</v>
      </c>
      <c r="O97" s="811"/>
      <c r="P97" s="801"/>
    </row>
    <row r="98" spans="1:16">
      <c r="A98" s="1307"/>
      <c r="B98" s="816"/>
      <c r="C98" s="846">
        <v>37</v>
      </c>
      <c r="D98" s="827">
        <v>-0.5</v>
      </c>
      <c r="E98" s="813" t="s">
        <v>196</v>
      </c>
      <c r="F98" s="830">
        <f t="shared" si="18"/>
        <v>0</v>
      </c>
      <c r="H98" s="816"/>
      <c r="I98" s="846">
        <v>80</v>
      </c>
      <c r="J98" s="827">
        <v>-0.5</v>
      </c>
      <c r="K98" s="813" t="s">
        <v>196</v>
      </c>
      <c r="L98" s="830">
        <f t="shared" si="17"/>
        <v>0</v>
      </c>
      <c r="O98" s="811"/>
      <c r="P98" s="801"/>
    </row>
    <row r="99" spans="1:16" ht="13.8" thickBot="1">
      <c r="A99" s="1308"/>
      <c r="B99" s="835"/>
      <c r="C99" s="847">
        <v>40</v>
      </c>
      <c r="D99" s="852">
        <v>-0.4</v>
      </c>
      <c r="E99" s="836" t="s">
        <v>196</v>
      </c>
      <c r="F99" s="834">
        <f t="shared" si="18"/>
        <v>0</v>
      </c>
      <c r="G99" s="814"/>
      <c r="H99" s="835"/>
      <c r="I99" s="847">
        <v>90</v>
      </c>
      <c r="J99" s="852">
        <v>-0.2</v>
      </c>
      <c r="K99" s="836" t="s">
        <v>196</v>
      </c>
      <c r="L99" s="834">
        <f t="shared" si="17"/>
        <v>0</v>
      </c>
      <c r="M99" s="814"/>
      <c r="N99" s="814"/>
      <c r="O99" s="815"/>
      <c r="P99" s="801"/>
    </row>
    <row r="100" spans="1:16" ht="13.8" thickBot="1">
      <c r="A100" s="837"/>
      <c r="B100" s="838"/>
      <c r="C100" s="838"/>
      <c r="D100" s="838"/>
      <c r="E100" s="839"/>
      <c r="F100" s="848"/>
      <c r="G100" s="841"/>
      <c r="H100" s="838"/>
      <c r="I100" s="838"/>
      <c r="J100" s="838"/>
      <c r="K100" s="839"/>
      <c r="L100" s="848"/>
      <c r="M100" s="841"/>
      <c r="O100" s="811"/>
      <c r="P100" s="801"/>
    </row>
    <row r="101" spans="1:16" ht="13.8" thickBot="1">
      <c r="A101" s="1306">
        <v>10</v>
      </c>
      <c r="B101" s="1309" t="s">
        <v>354</v>
      </c>
      <c r="C101" s="1310"/>
      <c r="D101" s="1310"/>
      <c r="E101" s="1310"/>
      <c r="F101" s="1311"/>
      <c r="G101" s="803"/>
      <c r="H101" s="1312" t="str">
        <f>B101</f>
        <v>KOREKSI Sekonic HE-21.000669</v>
      </c>
      <c r="I101" s="1313"/>
      <c r="J101" s="1313"/>
      <c r="K101" s="1313"/>
      <c r="L101" s="1314"/>
      <c r="M101" s="803"/>
      <c r="N101" s="1294" t="s">
        <v>183</v>
      </c>
      <c r="O101" s="1295"/>
      <c r="P101" s="801"/>
    </row>
    <row r="102" spans="1:16" ht="13.8" thickBot="1">
      <c r="A102" s="1307"/>
      <c r="B102" s="1296" t="s">
        <v>343</v>
      </c>
      <c r="C102" s="1297"/>
      <c r="D102" s="1298" t="s">
        <v>185</v>
      </c>
      <c r="E102" s="1299"/>
      <c r="F102" s="1300" t="s">
        <v>182</v>
      </c>
      <c r="H102" s="1296" t="s">
        <v>344</v>
      </c>
      <c r="I102" s="1297"/>
      <c r="J102" s="1298" t="s">
        <v>185</v>
      </c>
      <c r="K102" s="1299"/>
      <c r="L102" s="1300" t="s">
        <v>182</v>
      </c>
      <c r="N102" s="820" t="s">
        <v>343</v>
      </c>
      <c r="O102" s="843">
        <v>0.3</v>
      </c>
      <c r="P102" s="801"/>
    </row>
    <row r="103" spans="1:16" ht="15" thickBot="1">
      <c r="A103" s="1307"/>
      <c r="B103" s="1302" t="s">
        <v>345</v>
      </c>
      <c r="C103" s="1303"/>
      <c r="D103" s="822">
        <v>2019</v>
      </c>
      <c r="E103" s="822">
        <v>2016</v>
      </c>
      <c r="F103" s="1301"/>
      <c r="H103" s="1304" t="s">
        <v>93</v>
      </c>
      <c r="I103" s="1305"/>
      <c r="J103" s="823">
        <f>D103</f>
        <v>2019</v>
      </c>
      <c r="K103" s="823">
        <f>E103</f>
        <v>2016</v>
      </c>
      <c r="L103" s="1301"/>
      <c r="N103" s="824" t="s">
        <v>93</v>
      </c>
      <c r="O103" s="842">
        <v>1.5</v>
      </c>
      <c r="P103" s="801"/>
    </row>
    <row r="104" spans="1:16">
      <c r="A104" s="1307"/>
      <c r="C104" s="844">
        <v>15</v>
      </c>
      <c r="D104" s="827">
        <v>0.2</v>
      </c>
      <c r="E104" s="827">
        <v>0.2</v>
      </c>
      <c r="F104" s="828">
        <f t="shared" ref="F104:F110" si="19">0.5*(MAX(D104:E104)-MIN(D104:E104))</f>
        <v>0</v>
      </c>
      <c r="H104" s="816"/>
      <c r="I104" s="844">
        <v>30</v>
      </c>
      <c r="J104" s="827">
        <v>-2.9</v>
      </c>
      <c r="K104" s="827">
        <v>-5.8</v>
      </c>
      <c r="L104" s="828">
        <f t="shared" ref="L104:L107" si="20">0.5*(MAX(J104:K104)-MIN(J104:K104))</f>
        <v>1.45</v>
      </c>
      <c r="O104" s="811"/>
      <c r="P104" s="801"/>
    </row>
    <row r="105" spans="1:16">
      <c r="A105" s="1307"/>
      <c r="C105" s="845">
        <v>20</v>
      </c>
      <c r="D105" s="809">
        <v>0.2</v>
      </c>
      <c r="E105" s="809">
        <v>-0.7</v>
      </c>
      <c r="F105" s="830">
        <f t="shared" si="19"/>
        <v>0.44999999999999996</v>
      </c>
      <c r="H105" s="816"/>
      <c r="I105" s="845">
        <v>40</v>
      </c>
      <c r="J105" s="809">
        <v>-3.3</v>
      </c>
      <c r="K105" s="809">
        <v>-6.4</v>
      </c>
      <c r="L105" s="830">
        <f t="shared" si="20"/>
        <v>1.5500000000000003</v>
      </c>
      <c r="O105" s="811"/>
      <c r="P105" s="801"/>
    </row>
    <row r="106" spans="1:16">
      <c r="A106" s="1307"/>
      <c r="C106" s="845">
        <v>25</v>
      </c>
      <c r="D106" s="809">
        <v>0.1</v>
      </c>
      <c r="E106" s="809">
        <v>-0.5</v>
      </c>
      <c r="F106" s="830">
        <f t="shared" si="19"/>
        <v>0.3</v>
      </c>
      <c r="H106" s="816"/>
      <c r="I106" s="845">
        <v>50</v>
      </c>
      <c r="J106" s="809">
        <v>-3.1</v>
      </c>
      <c r="K106" s="809">
        <v>-6.1</v>
      </c>
      <c r="L106" s="830">
        <f t="shared" si="20"/>
        <v>1.4999999999999998</v>
      </c>
      <c r="O106" s="811"/>
      <c r="P106" s="801"/>
    </row>
    <row r="107" spans="1:16">
      <c r="A107" s="1307"/>
      <c r="C107" s="846">
        <v>30</v>
      </c>
      <c r="D107" s="812">
        <v>0.1</v>
      </c>
      <c r="E107" s="812">
        <v>0.2</v>
      </c>
      <c r="F107" s="830">
        <f t="shared" si="19"/>
        <v>0.05</v>
      </c>
      <c r="H107" s="816"/>
      <c r="I107" s="846">
        <v>60</v>
      </c>
      <c r="J107" s="812">
        <v>-2.1</v>
      </c>
      <c r="K107" s="812">
        <v>-5.6</v>
      </c>
      <c r="L107" s="830">
        <f t="shared" si="20"/>
        <v>1.7499999999999998</v>
      </c>
      <c r="O107" s="811"/>
      <c r="P107" s="801"/>
    </row>
    <row r="108" spans="1:16">
      <c r="A108" s="1307"/>
      <c r="C108" s="846">
        <v>35</v>
      </c>
      <c r="D108" s="812">
        <v>0.2</v>
      </c>
      <c r="E108" s="812">
        <v>0.8</v>
      </c>
      <c r="F108" s="830">
        <f t="shared" si="19"/>
        <v>0.30000000000000004</v>
      </c>
      <c r="H108" s="816"/>
      <c r="I108" s="846">
        <v>70</v>
      </c>
      <c r="J108" s="812">
        <v>-0.3</v>
      </c>
      <c r="K108" s="812">
        <v>-5.0999999999999996</v>
      </c>
      <c r="L108" s="830">
        <f>0.5*(MAX(J108:K108)-MIN(J108:K108))</f>
        <v>2.4</v>
      </c>
      <c r="O108" s="811"/>
      <c r="P108" s="801"/>
    </row>
    <row r="109" spans="1:16">
      <c r="A109" s="1307"/>
      <c r="C109" s="846">
        <v>37</v>
      </c>
      <c r="D109" s="812">
        <v>0.2</v>
      </c>
      <c r="E109" s="812">
        <v>0.4</v>
      </c>
      <c r="F109" s="830">
        <f t="shared" si="19"/>
        <v>0.1</v>
      </c>
      <c r="H109" s="816"/>
      <c r="I109" s="846">
        <v>80</v>
      </c>
      <c r="J109" s="812">
        <v>2.2000000000000002</v>
      </c>
      <c r="K109" s="812">
        <v>-4.7</v>
      </c>
      <c r="L109" s="830">
        <f t="shared" ref="L109:L110" si="21">0.5*(MAX(J109:K109)-MIN(J109:K109))</f>
        <v>3.45</v>
      </c>
      <c r="O109" s="811"/>
      <c r="P109" s="801"/>
    </row>
    <row r="110" spans="1:16" ht="13.8" thickBot="1">
      <c r="A110" s="1308"/>
      <c r="B110" s="814"/>
      <c r="C110" s="847">
        <v>40</v>
      </c>
      <c r="D110" s="853">
        <v>0.2</v>
      </c>
      <c r="E110" s="853">
        <v>0</v>
      </c>
      <c r="F110" s="834">
        <f t="shared" si="19"/>
        <v>0.1</v>
      </c>
      <c r="G110" s="814"/>
      <c r="H110" s="835"/>
      <c r="I110" s="847">
        <v>90</v>
      </c>
      <c r="J110" s="832">
        <v>5.4</v>
      </c>
      <c r="K110" s="832">
        <v>0</v>
      </c>
      <c r="L110" s="834">
        <f t="shared" si="21"/>
        <v>2.7</v>
      </c>
      <c r="M110" s="814"/>
      <c r="N110" s="814"/>
      <c r="O110" s="815"/>
      <c r="P110" s="801"/>
    </row>
    <row r="111" spans="1:16" ht="13.8" thickBot="1">
      <c r="A111" s="837"/>
      <c r="B111" s="838"/>
      <c r="C111" s="838"/>
      <c r="D111" s="838"/>
      <c r="E111" s="839"/>
      <c r="F111" s="848"/>
      <c r="G111" s="841"/>
      <c r="H111" s="838"/>
      <c r="I111" s="838"/>
      <c r="J111" s="838"/>
      <c r="K111" s="839"/>
      <c r="L111" s="848"/>
      <c r="M111" s="841"/>
      <c r="O111" s="811"/>
      <c r="P111" s="801"/>
    </row>
    <row r="112" spans="1:16" ht="13.8" thickBot="1">
      <c r="A112" s="1306">
        <v>11</v>
      </c>
      <c r="B112" s="1309" t="s">
        <v>355</v>
      </c>
      <c r="C112" s="1310"/>
      <c r="D112" s="1310"/>
      <c r="E112" s="1310"/>
      <c r="F112" s="1311"/>
      <c r="G112" s="803"/>
      <c r="H112" s="1312" t="str">
        <f>B112</f>
        <v>KOREKSI Sekonic HE-21.000670</v>
      </c>
      <c r="I112" s="1313"/>
      <c r="J112" s="1313"/>
      <c r="K112" s="1313"/>
      <c r="L112" s="1314"/>
      <c r="M112" s="803"/>
      <c r="N112" s="1294" t="s">
        <v>183</v>
      </c>
      <c r="O112" s="1295"/>
      <c r="P112" s="801"/>
    </row>
    <row r="113" spans="1:16" ht="13.8" thickBot="1">
      <c r="A113" s="1307"/>
      <c r="B113" s="1296" t="s">
        <v>343</v>
      </c>
      <c r="C113" s="1297"/>
      <c r="D113" s="1298" t="s">
        <v>185</v>
      </c>
      <c r="E113" s="1299"/>
      <c r="F113" s="1300" t="s">
        <v>182</v>
      </c>
      <c r="H113" s="1296" t="s">
        <v>344</v>
      </c>
      <c r="I113" s="1297"/>
      <c r="J113" s="1298" t="s">
        <v>185</v>
      </c>
      <c r="K113" s="1299"/>
      <c r="L113" s="1300" t="s">
        <v>182</v>
      </c>
      <c r="N113" s="820" t="s">
        <v>343</v>
      </c>
      <c r="O113" s="843">
        <v>0.3</v>
      </c>
      <c r="P113" s="801"/>
    </row>
    <row r="114" spans="1:16" ht="15" thickBot="1">
      <c r="A114" s="1307"/>
      <c r="B114" s="1302" t="s">
        <v>345</v>
      </c>
      <c r="C114" s="1303"/>
      <c r="D114" s="822">
        <v>2020</v>
      </c>
      <c r="E114" s="849" t="s">
        <v>196</v>
      </c>
      <c r="F114" s="1301"/>
      <c r="H114" s="1304" t="s">
        <v>93</v>
      </c>
      <c r="I114" s="1305"/>
      <c r="J114" s="823">
        <f>D114</f>
        <v>2020</v>
      </c>
      <c r="K114" s="823" t="str">
        <f>E114</f>
        <v>-</v>
      </c>
      <c r="L114" s="1301"/>
      <c r="N114" s="824" t="s">
        <v>93</v>
      </c>
      <c r="O114" s="842">
        <v>1.8</v>
      </c>
      <c r="P114" s="801"/>
    </row>
    <row r="115" spans="1:16">
      <c r="A115" s="1307"/>
      <c r="C115" s="826">
        <v>15</v>
      </c>
      <c r="D115" s="827">
        <v>0.3</v>
      </c>
      <c r="E115" s="850" t="s">
        <v>196</v>
      </c>
      <c r="F115" s="828">
        <f t="shared" ref="F115:F121" si="22">0.5*(MAX(D115:E115)-MIN(D115:E115))</f>
        <v>0</v>
      </c>
      <c r="H115" s="816"/>
      <c r="I115" s="826">
        <v>35</v>
      </c>
      <c r="J115" s="827">
        <v>-5.2</v>
      </c>
      <c r="K115" s="850" t="s">
        <v>196</v>
      </c>
      <c r="L115" s="828">
        <f t="shared" ref="L115:L121" si="23">0.5*(MAX(J115:K115)-MIN(J115:K115))</f>
        <v>0</v>
      </c>
      <c r="O115" s="811"/>
      <c r="P115" s="801"/>
    </row>
    <row r="116" spans="1:16">
      <c r="A116" s="1307"/>
      <c r="C116" s="829">
        <v>20</v>
      </c>
      <c r="D116" s="809">
        <v>0.4</v>
      </c>
      <c r="E116" s="851" t="s">
        <v>196</v>
      </c>
      <c r="F116" s="830">
        <f t="shared" si="22"/>
        <v>0</v>
      </c>
      <c r="H116" s="816"/>
      <c r="I116" s="829">
        <v>40</v>
      </c>
      <c r="J116" s="809">
        <v>-5.5</v>
      </c>
      <c r="K116" s="851" t="s">
        <v>196</v>
      </c>
      <c r="L116" s="830">
        <f t="shared" si="23"/>
        <v>0</v>
      </c>
      <c r="O116" s="811"/>
      <c r="P116" s="801"/>
    </row>
    <row r="117" spans="1:16">
      <c r="A117" s="1307"/>
      <c r="C117" s="829">
        <v>25</v>
      </c>
      <c r="D117" s="809">
        <v>0.4</v>
      </c>
      <c r="E117" s="851" t="s">
        <v>196</v>
      </c>
      <c r="F117" s="830">
        <f t="shared" si="22"/>
        <v>0</v>
      </c>
      <c r="H117" s="816"/>
      <c r="I117" s="829">
        <v>50</v>
      </c>
      <c r="J117" s="809">
        <v>-5.5</v>
      </c>
      <c r="K117" s="851" t="s">
        <v>196</v>
      </c>
      <c r="L117" s="830">
        <f t="shared" si="23"/>
        <v>0</v>
      </c>
      <c r="O117" s="811"/>
      <c r="P117" s="801"/>
    </row>
    <row r="118" spans="1:16">
      <c r="A118" s="1307"/>
      <c r="C118" s="831">
        <v>30</v>
      </c>
      <c r="D118" s="812">
        <v>0.5</v>
      </c>
      <c r="E118" s="813" t="s">
        <v>196</v>
      </c>
      <c r="F118" s="830">
        <f t="shared" si="22"/>
        <v>0</v>
      </c>
      <c r="H118" s="816"/>
      <c r="I118" s="831">
        <v>60</v>
      </c>
      <c r="J118" s="812">
        <v>-4.8</v>
      </c>
      <c r="K118" s="813" t="s">
        <v>196</v>
      </c>
      <c r="L118" s="830">
        <f t="shared" si="23"/>
        <v>0</v>
      </c>
      <c r="O118" s="811"/>
      <c r="P118" s="801"/>
    </row>
    <row r="119" spans="1:16">
      <c r="A119" s="1307"/>
      <c r="C119" s="831">
        <v>35</v>
      </c>
      <c r="D119" s="812">
        <v>0.5</v>
      </c>
      <c r="E119" s="813" t="s">
        <v>196</v>
      </c>
      <c r="F119" s="830">
        <f t="shared" si="22"/>
        <v>0</v>
      </c>
      <c r="H119" s="816"/>
      <c r="I119" s="831">
        <v>70</v>
      </c>
      <c r="J119" s="812">
        <v>-3.4</v>
      </c>
      <c r="K119" s="813" t="s">
        <v>196</v>
      </c>
      <c r="L119" s="830">
        <f t="shared" si="23"/>
        <v>0</v>
      </c>
      <c r="O119" s="811"/>
      <c r="P119" s="801"/>
    </row>
    <row r="120" spans="1:16">
      <c r="A120" s="1307"/>
      <c r="C120" s="831">
        <v>37</v>
      </c>
      <c r="D120" s="812">
        <v>0.5</v>
      </c>
      <c r="E120" s="813" t="s">
        <v>196</v>
      </c>
      <c r="F120" s="830">
        <f t="shared" si="22"/>
        <v>0</v>
      </c>
      <c r="H120" s="816"/>
      <c r="I120" s="831">
        <v>80</v>
      </c>
      <c r="J120" s="812">
        <v>-1.4</v>
      </c>
      <c r="K120" s="813" t="s">
        <v>196</v>
      </c>
      <c r="L120" s="830">
        <f t="shared" si="23"/>
        <v>0</v>
      </c>
      <c r="O120" s="811"/>
      <c r="P120" s="801"/>
    </row>
    <row r="121" spans="1:16" ht="13.8" thickBot="1">
      <c r="A121" s="1308"/>
      <c r="B121" s="814"/>
      <c r="C121" s="832">
        <v>40</v>
      </c>
      <c r="D121" s="833">
        <v>0.5</v>
      </c>
      <c r="E121" s="836" t="s">
        <v>196</v>
      </c>
      <c r="F121" s="834">
        <f t="shared" si="22"/>
        <v>0</v>
      </c>
      <c r="G121" s="814"/>
      <c r="H121" s="835"/>
      <c r="I121" s="832">
        <v>90</v>
      </c>
      <c r="J121" s="833">
        <v>1.3</v>
      </c>
      <c r="K121" s="836" t="s">
        <v>196</v>
      </c>
      <c r="L121" s="834">
        <f t="shared" si="23"/>
        <v>0</v>
      </c>
      <c r="M121" s="814"/>
      <c r="N121" s="814"/>
      <c r="O121" s="815"/>
      <c r="P121" s="801"/>
    </row>
    <row r="122" spans="1:16" ht="13.8" thickBot="1">
      <c r="A122" s="837"/>
      <c r="B122" s="838"/>
      <c r="C122" s="838"/>
      <c r="D122" s="838"/>
      <c r="E122" s="839"/>
      <c r="F122" s="848"/>
      <c r="G122" s="841"/>
      <c r="H122" s="838"/>
      <c r="I122" s="838"/>
      <c r="J122" s="838"/>
      <c r="K122" s="839"/>
      <c r="L122" s="848"/>
      <c r="O122" s="811"/>
      <c r="P122" s="801"/>
    </row>
    <row r="123" spans="1:16" ht="13.8" thickBot="1">
      <c r="A123" s="1306">
        <v>12</v>
      </c>
      <c r="B123" s="1309" t="s">
        <v>356</v>
      </c>
      <c r="C123" s="1310"/>
      <c r="D123" s="1310"/>
      <c r="E123" s="1310"/>
      <c r="F123" s="1311"/>
      <c r="G123" s="803"/>
      <c r="H123" s="1309" t="str">
        <f>B123</f>
        <v>KOREKSI EXTECH A.100611</v>
      </c>
      <c r="I123" s="1310"/>
      <c r="J123" s="1310"/>
      <c r="K123" s="1310"/>
      <c r="L123" s="1311"/>
      <c r="M123" s="803"/>
      <c r="N123" s="1294" t="s">
        <v>183</v>
      </c>
      <c r="O123" s="1295"/>
      <c r="P123" s="801"/>
    </row>
    <row r="124" spans="1:16" ht="13.8" thickBot="1">
      <c r="A124" s="1307"/>
      <c r="B124" s="1296" t="s">
        <v>343</v>
      </c>
      <c r="C124" s="1297"/>
      <c r="D124" s="1298" t="s">
        <v>185</v>
      </c>
      <c r="E124" s="1299"/>
      <c r="F124" s="1300" t="s">
        <v>182</v>
      </c>
      <c r="H124" s="1296" t="s">
        <v>344</v>
      </c>
      <c r="I124" s="1297"/>
      <c r="J124" s="1298" t="s">
        <v>185</v>
      </c>
      <c r="K124" s="1299"/>
      <c r="L124" s="1300" t="s">
        <v>182</v>
      </c>
      <c r="N124" s="820" t="s">
        <v>343</v>
      </c>
      <c r="O124" s="843">
        <v>0.3</v>
      </c>
      <c r="P124" s="801"/>
    </row>
    <row r="125" spans="1:16" ht="15" thickBot="1">
      <c r="A125" s="1307"/>
      <c r="B125" s="1302" t="s">
        <v>345</v>
      </c>
      <c r="C125" s="1303"/>
      <c r="D125" s="822">
        <v>2020</v>
      </c>
      <c r="E125" s="849" t="s">
        <v>196</v>
      </c>
      <c r="F125" s="1301"/>
      <c r="H125" s="1304" t="s">
        <v>93</v>
      </c>
      <c r="I125" s="1305"/>
      <c r="J125" s="823">
        <f>D125</f>
        <v>2020</v>
      </c>
      <c r="K125" s="823" t="str">
        <f>E125</f>
        <v>-</v>
      </c>
      <c r="L125" s="1301"/>
      <c r="N125" s="824" t="s">
        <v>93</v>
      </c>
      <c r="O125" s="842">
        <v>2.7</v>
      </c>
      <c r="P125" s="801"/>
    </row>
    <row r="126" spans="1:16">
      <c r="A126" s="1307"/>
      <c r="C126" s="826">
        <v>15</v>
      </c>
      <c r="D126" s="827">
        <v>-0.6</v>
      </c>
      <c r="E126" s="850" t="s">
        <v>196</v>
      </c>
      <c r="F126" s="828">
        <f t="shared" ref="F126:F132" si="24">0.5*(MAX(D126:E126)-MIN(D126:E126))</f>
        <v>0</v>
      </c>
      <c r="H126" s="816"/>
      <c r="I126" s="826">
        <v>35</v>
      </c>
      <c r="J126" s="827">
        <v>-0.4</v>
      </c>
      <c r="K126" s="850" t="s">
        <v>196</v>
      </c>
      <c r="L126" s="828">
        <f t="shared" ref="L126:L132" si="25">0.5*(MAX(J126:K126)-MIN(J126:K126))</f>
        <v>0</v>
      </c>
      <c r="O126" s="811"/>
      <c r="P126" s="801"/>
    </row>
    <row r="127" spans="1:16">
      <c r="A127" s="1307"/>
      <c r="C127" s="829">
        <v>20</v>
      </c>
      <c r="D127" s="809">
        <v>-0.5</v>
      </c>
      <c r="E127" s="851" t="s">
        <v>196</v>
      </c>
      <c r="F127" s="830">
        <f t="shared" si="24"/>
        <v>0</v>
      </c>
      <c r="H127" s="816"/>
      <c r="I127" s="829">
        <v>40</v>
      </c>
      <c r="J127" s="809">
        <v>-0.3</v>
      </c>
      <c r="K127" s="851" t="s">
        <v>196</v>
      </c>
      <c r="L127" s="830">
        <f t="shared" si="25"/>
        <v>0</v>
      </c>
      <c r="O127" s="811"/>
      <c r="P127" s="801"/>
    </row>
    <row r="128" spans="1:16">
      <c r="A128" s="1307"/>
      <c r="C128" s="829">
        <v>25</v>
      </c>
      <c r="D128" s="809">
        <v>-0.4</v>
      </c>
      <c r="E128" s="851" t="s">
        <v>196</v>
      </c>
      <c r="F128" s="830">
        <f t="shared" si="24"/>
        <v>0</v>
      </c>
      <c r="H128" s="816"/>
      <c r="I128" s="829">
        <v>50</v>
      </c>
      <c r="J128" s="809">
        <v>-0.3</v>
      </c>
      <c r="K128" s="851" t="s">
        <v>196</v>
      </c>
      <c r="L128" s="830">
        <f t="shared" si="25"/>
        <v>0</v>
      </c>
      <c r="O128" s="811"/>
      <c r="P128" s="801"/>
    </row>
    <row r="129" spans="1:16">
      <c r="A129" s="1307"/>
      <c r="C129" s="831">
        <v>30</v>
      </c>
      <c r="D129" s="812">
        <v>-0.2</v>
      </c>
      <c r="E129" s="813" t="s">
        <v>196</v>
      </c>
      <c r="F129" s="830">
        <f t="shared" si="24"/>
        <v>0</v>
      </c>
      <c r="H129" s="816"/>
      <c r="I129" s="831">
        <v>60</v>
      </c>
      <c r="J129" s="812">
        <v>-0.5</v>
      </c>
      <c r="K129" s="813" t="s">
        <v>196</v>
      </c>
      <c r="L129" s="830">
        <f t="shared" si="25"/>
        <v>0</v>
      </c>
      <c r="O129" s="811"/>
      <c r="P129" s="801"/>
    </row>
    <row r="130" spans="1:16">
      <c r="A130" s="1307"/>
      <c r="C130" s="831">
        <v>35</v>
      </c>
      <c r="D130" s="812">
        <v>-0.1</v>
      </c>
      <c r="E130" s="813" t="s">
        <v>196</v>
      </c>
      <c r="F130" s="830">
        <f t="shared" si="24"/>
        <v>0</v>
      </c>
      <c r="H130" s="816"/>
      <c r="I130" s="831">
        <v>70</v>
      </c>
      <c r="J130" s="812">
        <v>-0.8</v>
      </c>
      <c r="K130" s="813" t="s">
        <v>196</v>
      </c>
      <c r="L130" s="830">
        <f t="shared" si="25"/>
        <v>0</v>
      </c>
      <c r="O130" s="811"/>
      <c r="P130" s="801"/>
    </row>
    <row r="131" spans="1:16">
      <c r="A131" s="1307"/>
      <c r="C131" s="831">
        <v>37</v>
      </c>
      <c r="D131" s="812">
        <v>-0.1</v>
      </c>
      <c r="E131" s="813" t="s">
        <v>196</v>
      </c>
      <c r="F131" s="830">
        <f t="shared" si="24"/>
        <v>0</v>
      </c>
      <c r="H131" s="816"/>
      <c r="I131" s="831">
        <v>80</v>
      </c>
      <c r="J131" s="812">
        <v>-1.3</v>
      </c>
      <c r="K131" s="813" t="s">
        <v>196</v>
      </c>
      <c r="L131" s="830">
        <f t="shared" si="25"/>
        <v>0</v>
      </c>
      <c r="O131" s="811"/>
      <c r="P131" s="801"/>
    </row>
    <row r="132" spans="1:16" ht="13.8" thickBot="1">
      <c r="A132" s="1308"/>
      <c r="B132" s="814"/>
      <c r="C132" s="832">
        <v>40</v>
      </c>
      <c r="D132" s="833">
        <v>9.9999999999999995E-7</v>
      </c>
      <c r="E132" s="836" t="s">
        <v>196</v>
      </c>
      <c r="F132" s="834">
        <f t="shared" si="24"/>
        <v>0</v>
      </c>
      <c r="G132" s="814"/>
      <c r="H132" s="835"/>
      <c r="I132" s="832">
        <v>90</v>
      </c>
      <c r="J132" s="833">
        <v>-2</v>
      </c>
      <c r="K132" s="836" t="s">
        <v>196</v>
      </c>
      <c r="L132" s="834">
        <f t="shared" si="25"/>
        <v>0</v>
      </c>
      <c r="M132" s="814"/>
      <c r="N132" s="814"/>
      <c r="O132" s="815"/>
      <c r="P132" s="801"/>
    </row>
    <row r="133" spans="1:16" ht="13.8" thickBot="1">
      <c r="A133" s="837"/>
      <c r="B133" s="838"/>
      <c r="C133" s="838"/>
      <c r="D133" s="838"/>
      <c r="E133" s="839"/>
      <c r="F133" s="848"/>
      <c r="G133" s="841"/>
      <c r="H133" s="838"/>
      <c r="I133" s="838"/>
      <c r="J133" s="838"/>
      <c r="K133" s="839"/>
      <c r="L133" s="848"/>
      <c r="O133" s="811"/>
      <c r="P133" s="801"/>
    </row>
    <row r="134" spans="1:16" ht="13.8" thickBot="1">
      <c r="A134" s="1306">
        <v>13</v>
      </c>
      <c r="B134" s="1309" t="s">
        <v>357</v>
      </c>
      <c r="C134" s="1310"/>
      <c r="D134" s="1310"/>
      <c r="E134" s="1310"/>
      <c r="F134" s="1311"/>
      <c r="G134" s="803"/>
      <c r="H134" s="1309" t="str">
        <f>B134</f>
        <v>KOREKSI EXTECH A.100609</v>
      </c>
      <c r="I134" s="1310"/>
      <c r="J134" s="1310"/>
      <c r="K134" s="1310"/>
      <c r="L134" s="1311"/>
      <c r="M134" s="803"/>
      <c r="N134" s="1294" t="s">
        <v>183</v>
      </c>
      <c r="O134" s="1295"/>
      <c r="P134" s="801"/>
    </row>
    <row r="135" spans="1:16" ht="13.8" thickBot="1">
      <c r="A135" s="1307"/>
      <c r="B135" s="1296" t="s">
        <v>343</v>
      </c>
      <c r="C135" s="1297"/>
      <c r="D135" s="1298" t="s">
        <v>185</v>
      </c>
      <c r="E135" s="1299"/>
      <c r="F135" s="1300" t="s">
        <v>182</v>
      </c>
      <c r="H135" s="1296" t="s">
        <v>344</v>
      </c>
      <c r="I135" s="1297"/>
      <c r="J135" s="1298" t="s">
        <v>185</v>
      </c>
      <c r="K135" s="1299"/>
      <c r="L135" s="1300" t="s">
        <v>182</v>
      </c>
      <c r="N135" s="820" t="s">
        <v>343</v>
      </c>
      <c r="O135" s="843">
        <v>0.4</v>
      </c>
      <c r="P135" s="801"/>
    </row>
    <row r="136" spans="1:16" ht="15" thickBot="1">
      <c r="A136" s="1307"/>
      <c r="B136" s="1302" t="s">
        <v>345</v>
      </c>
      <c r="C136" s="1303"/>
      <c r="D136" s="822">
        <v>2020</v>
      </c>
      <c r="E136" s="849" t="s">
        <v>196</v>
      </c>
      <c r="F136" s="1301"/>
      <c r="H136" s="1304" t="s">
        <v>93</v>
      </c>
      <c r="I136" s="1305"/>
      <c r="J136" s="823">
        <f>D136</f>
        <v>2020</v>
      </c>
      <c r="K136" s="823" t="str">
        <f>E136</f>
        <v>-</v>
      </c>
      <c r="L136" s="1301"/>
      <c r="N136" s="824" t="s">
        <v>93</v>
      </c>
      <c r="O136" s="842">
        <v>2.2000000000000002</v>
      </c>
      <c r="P136" s="801"/>
    </row>
    <row r="137" spans="1:16">
      <c r="A137" s="1307"/>
      <c r="C137" s="826">
        <v>15</v>
      </c>
      <c r="D137" s="827">
        <v>-0.2</v>
      </c>
      <c r="E137" s="850" t="s">
        <v>196</v>
      </c>
      <c r="F137" s="828">
        <f t="shared" ref="F137:F143" si="26">0.5*(MAX(D137:E137)-MIN(D137:E137))</f>
        <v>0</v>
      </c>
      <c r="H137" s="816"/>
      <c r="I137" s="826">
        <v>35</v>
      </c>
      <c r="J137" s="827">
        <v>0.6</v>
      </c>
      <c r="K137" s="850" t="s">
        <v>196</v>
      </c>
      <c r="L137" s="828">
        <f t="shared" ref="L137:L143" si="27">0.5*(MAX(J137:K137)-MIN(J137:K137))</f>
        <v>0</v>
      </c>
      <c r="O137" s="811"/>
      <c r="P137" s="801"/>
    </row>
    <row r="138" spans="1:16">
      <c r="A138" s="1307"/>
      <c r="C138" s="829">
        <v>20</v>
      </c>
      <c r="D138" s="809">
        <v>-0.1</v>
      </c>
      <c r="E138" s="851" t="s">
        <v>196</v>
      </c>
      <c r="F138" s="830">
        <f t="shared" si="26"/>
        <v>0</v>
      </c>
      <c r="H138" s="816"/>
      <c r="I138" s="829">
        <v>40</v>
      </c>
      <c r="J138" s="809">
        <v>0.3</v>
      </c>
      <c r="K138" s="851" t="s">
        <v>196</v>
      </c>
      <c r="L138" s="830">
        <f t="shared" si="27"/>
        <v>0</v>
      </c>
      <c r="O138" s="811"/>
      <c r="P138" s="801"/>
    </row>
    <row r="139" spans="1:16">
      <c r="A139" s="1307"/>
      <c r="C139" s="829">
        <v>25</v>
      </c>
      <c r="D139" s="809">
        <v>-0.1</v>
      </c>
      <c r="E139" s="851" t="s">
        <v>196</v>
      </c>
      <c r="F139" s="830">
        <f t="shared" si="26"/>
        <v>0</v>
      </c>
      <c r="H139" s="816"/>
      <c r="I139" s="829">
        <v>50</v>
      </c>
      <c r="J139" s="809">
        <v>-0.2</v>
      </c>
      <c r="K139" s="851" t="s">
        <v>196</v>
      </c>
      <c r="L139" s="830">
        <f t="shared" si="27"/>
        <v>0</v>
      </c>
      <c r="O139" s="811"/>
      <c r="P139" s="801"/>
    </row>
    <row r="140" spans="1:16">
      <c r="A140" s="1307"/>
      <c r="C140" s="831">
        <v>30</v>
      </c>
      <c r="D140" s="812">
        <v>-0.3</v>
      </c>
      <c r="E140" s="813" t="s">
        <v>196</v>
      </c>
      <c r="F140" s="830">
        <f t="shared" si="26"/>
        <v>0</v>
      </c>
      <c r="H140" s="816"/>
      <c r="I140" s="831">
        <v>60</v>
      </c>
      <c r="J140" s="812">
        <v>-0.6</v>
      </c>
      <c r="K140" s="813" t="s">
        <v>196</v>
      </c>
      <c r="L140" s="830">
        <f t="shared" si="27"/>
        <v>0</v>
      </c>
      <c r="O140" s="811"/>
      <c r="P140" s="801"/>
    </row>
    <row r="141" spans="1:16">
      <c r="A141" s="1307"/>
      <c r="C141" s="831">
        <v>35</v>
      </c>
      <c r="D141" s="812">
        <v>-0.6</v>
      </c>
      <c r="E141" s="813" t="s">
        <v>196</v>
      </c>
      <c r="F141" s="830">
        <f t="shared" si="26"/>
        <v>0</v>
      </c>
      <c r="H141" s="816"/>
      <c r="I141" s="831">
        <v>70</v>
      </c>
      <c r="J141" s="812">
        <v>-0.8</v>
      </c>
      <c r="K141" s="813" t="s">
        <v>196</v>
      </c>
      <c r="L141" s="830">
        <f t="shared" si="27"/>
        <v>0</v>
      </c>
      <c r="O141" s="811"/>
      <c r="P141" s="801"/>
    </row>
    <row r="142" spans="1:16">
      <c r="A142" s="1307"/>
      <c r="C142" s="831">
        <v>37</v>
      </c>
      <c r="D142" s="812">
        <v>-0.8</v>
      </c>
      <c r="E142" s="813" t="s">
        <v>196</v>
      </c>
      <c r="F142" s="830">
        <f t="shared" si="26"/>
        <v>0</v>
      </c>
      <c r="H142" s="816"/>
      <c r="I142" s="831">
        <v>80</v>
      </c>
      <c r="J142" s="812">
        <v>-0.9</v>
      </c>
      <c r="K142" s="813" t="s">
        <v>196</v>
      </c>
      <c r="L142" s="830">
        <f t="shared" si="27"/>
        <v>0</v>
      </c>
      <c r="O142" s="811"/>
      <c r="P142" s="801"/>
    </row>
    <row r="143" spans="1:16" ht="13.8" thickBot="1">
      <c r="A143" s="1308"/>
      <c r="B143" s="814"/>
      <c r="C143" s="832">
        <v>40</v>
      </c>
      <c r="D143" s="833">
        <v>-1.1000000000000001</v>
      </c>
      <c r="E143" s="836" t="s">
        <v>196</v>
      </c>
      <c r="F143" s="834">
        <f t="shared" si="26"/>
        <v>0</v>
      </c>
      <c r="G143" s="814"/>
      <c r="H143" s="835"/>
      <c r="I143" s="832">
        <v>90</v>
      </c>
      <c r="J143" s="833">
        <v>-0.8</v>
      </c>
      <c r="K143" s="836" t="s">
        <v>196</v>
      </c>
      <c r="L143" s="834">
        <f t="shared" si="27"/>
        <v>0</v>
      </c>
      <c r="M143" s="814"/>
      <c r="N143" s="814"/>
      <c r="O143" s="815"/>
      <c r="P143" s="801"/>
    </row>
    <row r="144" spans="1:16" ht="13.8" thickBot="1">
      <c r="A144" s="837"/>
      <c r="B144" s="838"/>
      <c r="C144" s="838"/>
      <c r="D144" s="838"/>
      <c r="E144" s="839"/>
      <c r="F144" s="848"/>
      <c r="G144" s="841"/>
      <c r="H144" s="838"/>
      <c r="I144" s="838"/>
      <c r="J144" s="838"/>
      <c r="K144" s="839"/>
      <c r="L144" s="848"/>
      <c r="O144" s="811"/>
      <c r="P144" s="801"/>
    </row>
    <row r="145" spans="1:16" ht="13.8" thickBot="1">
      <c r="A145" s="1306">
        <v>14</v>
      </c>
      <c r="B145" s="1309" t="s">
        <v>358</v>
      </c>
      <c r="C145" s="1310"/>
      <c r="D145" s="1310"/>
      <c r="E145" s="1310"/>
      <c r="F145" s="1311"/>
      <c r="G145" s="803"/>
      <c r="H145" s="1309" t="str">
        <f>B145</f>
        <v>KOREKSI EXTECH A.100605</v>
      </c>
      <c r="I145" s="1310"/>
      <c r="J145" s="1310"/>
      <c r="K145" s="1310"/>
      <c r="L145" s="1311"/>
      <c r="M145" s="803"/>
      <c r="N145" s="1294" t="s">
        <v>183</v>
      </c>
      <c r="O145" s="1295"/>
      <c r="P145" s="801"/>
    </row>
    <row r="146" spans="1:16" ht="13.8" thickBot="1">
      <c r="A146" s="1307"/>
      <c r="B146" s="1296" t="s">
        <v>343</v>
      </c>
      <c r="C146" s="1297"/>
      <c r="D146" s="1298" t="s">
        <v>185</v>
      </c>
      <c r="E146" s="1299"/>
      <c r="F146" s="1300" t="s">
        <v>182</v>
      </c>
      <c r="H146" s="1296" t="s">
        <v>344</v>
      </c>
      <c r="I146" s="1297"/>
      <c r="J146" s="1298" t="s">
        <v>185</v>
      </c>
      <c r="K146" s="1299"/>
      <c r="L146" s="1300" t="s">
        <v>182</v>
      </c>
      <c r="N146" s="820" t="s">
        <v>343</v>
      </c>
      <c r="O146" s="843">
        <v>0.3</v>
      </c>
      <c r="P146" s="801"/>
    </row>
    <row r="147" spans="1:16" ht="15" thickBot="1">
      <c r="A147" s="1307"/>
      <c r="B147" s="1302" t="s">
        <v>345</v>
      </c>
      <c r="C147" s="1303"/>
      <c r="D147" s="822">
        <v>2020</v>
      </c>
      <c r="E147" s="849" t="s">
        <v>196</v>
      </c>
      <c r="F147" s="1301"/>
      <c r="H147" s="1304" t="s">
        <v>93</v>
      </c>
      <c r="I147" s="1305"/>
      <c r="J147" s="823">
        <f>D147</f>
        <v>2020</v>
      </c>
      <c r="K147" s="823" t="str">
        <f>E147</f>
        <v>-</v>
      </c>
      <c r="L147" s="1301"/>
      <c r="N147" s="824" t="s">
        <v>93</v>
      </c>
      <c r="O147" s="842">
        <v>2.7</v>
      </c>
      <c r="P147" s="801"/>
    </row>
    <row r="148" spans="1:16">
      <c r="A148" s="1307"/>
      <c r="C148" s="826">
        <v>15</v>
      </c>
      <c r="D148" s="827">
        <v>-0.7</v>
      </c>
      <c r="E148" s="850" t="s">
        <v>196</v>
      </c>
      <c r="F148" s="828">
        <f t="shared" ref="F148:F154" si="28">0.5*(MAX(D148:E148)-MIN(D148:E148))</f>
        <v>0</v>
      </c>
      <c r="H148" s="816"/>
      <c r="I148" s="826">
        <v>35</v>
      </c>
      <c r="J148" s="827">
        <v>-1.4</v>
      </c>
      <c r="K148" s="850" t="s">
        <v>196</v>
      </c>
      <c r="L148" s="828">
        <f t="shared" ref="L148:L154" si="29">0.5*(MAX(J148:K148)-MIN(J148:K148))</f>
        <v>0</v>
      </c>
      <c r="O148" s="811"/>
      <c r="P148" s="801"/>
    </row>
    <row r="149" spans="1:16">
      <c r="A149" s="1307"/>
      <c r="C149" s="829">
        <v>20</v>
      </c>
      <c r="D149" s="809">
        <v>-0.4</v>
      </c>
      <c r="E149" s="851" t="s">
        <v>196</v>
      </c>
      <c r="F149" s="830">
        <f t="shared" si="28"/>
        <v>0</v>
      </c>
      <c r="H149" s="816"/>
      <c r="I149" s="829">
        <v>40</v>
      </c>
      <c r="J149" s="809">
        <v>-1.3</v>
      </c>
      <c r="K149" s="851" t="s">
        <v>196</v>
      </c>
      <c r="L149" s="830">
        <f t="shared" si="29"/>
        <v>0</v>
      </c>
      <c r="O149" s="811"/>
      <c r="P149" s="801"/>
    </row>
    <row r="150" spans="1:16">
      <c r="A150" s="1307"/>
      <c r="C150" s="829">
        <v>25</v>
      </c>
      <c r="D150" s="809">
        <v>-0.2</v>
      </c>
      <c r="E150" s="851" t="s">
        <v>196</v>
      </c>
      <c r="F150" s="830">
        <f t="shared" si="28"/>
        <v>0</v>
      </c>
      <c r="H150" s="816"/>
      <c r="I150" s="829">
        <v>50</v>
      </c>
      <c r="J150" s="809">
        <v>-1.3</v>
      </c>
      <c r="K150" s="851" t="s">
        <v>196</v>
      </c>
      <c r="L150" s="830">
        <f t="shared" si="29"/>
        <v>0</v>
      </c>
      <c r="O150" s="811"/>
      <c r="P150" s="801"/>
    </row>
    <row r="151" spans="1:16">
      <c r="A151" s="1307"/>
      <c r="C151" s="831">
        <v>30</v>
      </c>
      <c r="D151" s="812">
        <v>0.1</v>
      </c>
      <c r="E151" s="813" t="s">
        <v>196</v>
      </c>
      <c r="F151" s="830">
        <f t="shared" si="28"/>
        <v>0</v>
      </c>
      <c r="H151" s="816"/>
      <c r="I151" s="831">
        <v>60</v>
      </c>
      <c r="J151" s="812">
        <v>-1.5</v>
      </c>
      <c r="K151" s="813" t="s">
        <v>196</v>
      </c>
      <c r="L151" s="830">
        <f t="shared" si="29"/>
        <v>0</v>
      </c>
      <c r="O151" s="811"/>
      <c r="P151" s="801"/>
    </row>
    <row r="152" spans="1:16">
      <c r="A152" s="1307"/>
      <c r="C152" s="831">
        <v>35</v>
      </c>
      <c r="D152" s="812">
        <v>0.3</v>
      </c>
      <c r="E152" s="813" t="s">
        <v>196</v>
      </c>
      <c r="F152" s="830">
        <f t="shared" si="28"/>
        <v>0</v>
      </c>
      <c r="H152" s="816"/>
      <c r="I152" s="831">
        <v>70</v>
      </c>
      <c r="J152" s="812">
        <v>-1.9</v>
      </c>
      <c r="K152" s="813" t="s">
        <v>196</v>
      </c>
      <c r="L152" s="830">
        <f t="shared" si="29"/>
        <v>0</v>
      </c>
      <c r="O152" s="811"/>
      <c r="P152" s="801"/>
    </row>
    <row r="153" spans="1:16">
      <c r="A153" s="1307"/>
      <c r="C153" s="831">
        <v>37</v>
      </c>
      <c r="D153" s="812">
        <v>0.4</v>
      </c>
      <c r="E153" s="813" t="s">
        <v>196</v>
      </c>
      <c r="F153" s="830">
        <f t="shared" si="28"/>
        <v>0</v>
      </c>
      <c r="H153" s="816"/>
      <c r="I153" s="831">
        <v>80</v>
      </c>
      <c r="J153" s="812">
        <v>-2.5</v>
      </c>
      <c r="K153" s="813" t="s">
        <v>196</v>
      </c>
      <c r="L153" s="830">
        <f t="shared" si="29"/>
        <v>0</v>
      </c>
      <c r="O153" s="811"/>
      <c r="P153" s="801"/>
    </row>
    <row r="154" spans="1:16" ht="13.8" thickBot="1">
      <c r="A154" s="1308"/>
      <c r="B154" s="814"/>
      <c r="C154" s="832">
        <v>40</v>
      </c>
      <c r="D154" s="833">
        <v>0.5</v>
      </c>
      <c r="E154" s="836" t="s">
        <v>196</v>
      </c>
      <c r="F154" s="834">
        <f t="shared" si="28"/>
        <v>0</v>
      </c>
      <c r="G154" s="814"/>
      <c r="H154" s="835"/>
      <c r="I154" s="832">
        <v>90</v>
      </c>
      <c r="J154" s="833">
        <v>-3.2</v>
      </c>
      <c r="K154" s="836" t="s">
        <v>196</v>
      </c>
      <c r="L154" s="834">
        <f t="shared" si="29"/>
        <v>0</v>
      </c>
      <c r="M154" s="814"/>
      <c r="N154" s="814"/>
      <c r="O154" s="815"/>
      <c r="P154" s="801"/>
    </row>
    <row r="155" spans="1:16" ht="13.8" thickBot="1">
      <c r="A155" s="837"/>
      <c r="B155" s="838"/>
      <c r="C155" s="838"/>
      <c r="D155" s="838"/>
      <c r="E155" s="839"/>
      <c r="F155" s="848"/>
      <c r="G155" s="841"/>
      <c r="H155" s="838"/>
      <c r="I155" s="838"/>
      <c r="J155" s="838"/>
      <c r="K155" s="839"/>
      <c r="L155" s="848"/>
      <c r="O155" s="811"/>
      <c r="P155" s="801"/>
    </row>
    <row r="156" spans="1:16" ht="13.8" thickBot="1">
      <c r="A156" s="1306">
        <v>15</v>
      </c>
      <c r="B156" s="1309" t="s">
        <v>359</v>
      </c>
      <c r="C156" s="1310"/>
      <c r="D156" s="1310"/>
      <c r="E156" s="1310"/>
      <c r="F156" s="1311"/>
      <c r="G156" s="803"/>
      <c r="H156" s="1309" t="str">
        <f>B156</f>
        <v>KOREKSI EXTECH A.100617</v>
      </c>
      <c r="I156" s="1310"/>
      <c r="J156" s="1310"/>
      <c r="K156" s="1310"/>
      <c r="L156" s="1311"/>
      <c r="M156" s="803"/>
      <c r="N156" s="1294" t="s">
        <v>183</v>
      </c>
      <c r="O156" s="1295"/>
      <c r="P156" s="801"/>
    </row>
    <row r="157" spans="1:16" ht="13.8" thickBot="1">
      <c r="A157" s="1307"/>
      <c r="B157" s="1296" t="s">
        <v>343</v>
      </c>
      <c r="C157" s="1297"/>
      <c r="D157" s="1298" t="s">
        <v>185</v>
      </c>
      <c r="E157" s="1299"/>
      <c r="F157" s="1300" t="s">
        <v>182</v>
      </c>
      <c r="H157" s="1296" t="s">
        <v>344</v>
      </c>
      <c r="I157" s="1297"/>
      <c r="J157" s="1298" t="s">
        <v>185</v>
      </c>
      <c r="K157" s="1299"/>
      <c r="L157" s="1300" t="s">
        <v>182</v>
      </c>
      <c r="N157" s="820" t="s">
        <v>343</v>
      </c>
      <c r="O157" s="843">
        <v>0.3</v>
      </c>
      <c r="P157" s="801"/>
    </row>
    <row r="158" spans="1:16" ht="15" thickBot="1">
      <c r="A158" s="1307"/>
      <c r="B158" s="1302" t="s">
        <v>345</v>
      </c>
      <c r="C158" s="1303"/>
      <c r="D158" s="822">
        <v>2020</v>
      </c>
      <c r="E158" s="849" t="s">
        <v>196</v>
      </c>
      <c r="F158" s="1301"/>
      <c r="H158" s="1304" t="s">
        <v>93</v>
      </c>
      <c r="I158" s="1305"/>
      <c r="J158" s="823">
        <f>D158</f>
        <v>2020</v>
      </c>
      <c r="K158" s="823" t="str">
        <f>E158</f>
        <v>-</v>
      </c>
      <c r="L158" s="1301"/>
      <c r="N158" s="824" t="s">
        <v>93</v>
      </c>
      <c r="O158" s="842">
        <v>2.8</v>
      </c>
      <c r="P158" s="801"/>
    </row>
    <row r="159" spans="1:16">
      <c r="A159" s="1307"/>
      <c r="C159" s="826">
        <v>15</v>
      </c>
      <c r="D159" s="827">
        <v>0.1</v>
      </c>
      <c r="E159" s="850" t="s">
        <v>196</v>
      </c>
      <c r="F159" s="828">
        <f t="shared" ref="F159:F165" si="30">0.5*(MAX(D159:E159)-MIN(D159:E159))</f>
        <v>0</v>
      </c>
      <c r="H159" s="816"/>
      <c r="I159" s="826">
        <v>30</v>
      </c>
      <c r="J159" s="827">
        <v>0.1</v>
      </c>
      <c r="K159" s="850" t="s">
        <v>196</v>
      </c>
      <c r="L159" s="828">
        <f t="shared" ref="L159:L165" si="31">0.5*(MAX(J159:K159)-MIN(J159:K159))</f>
        <v>0</v>
      </c>
      <c r="O159" s="811"/>
      <c r="P159" s="801"/>
    </row>
    <row r="160" spans="1:16">
      <c r="A160" s="1307"/>
      <c r="C160" s="829">
        <v>20</v>
      </c>
      <c r="D160" s="809">
        <v>0.1</v>
      </c>
      <c r="E160" s="851" t="s">
        <v>196</v>
      </c>
      <c r="F160" s="830">
        <f t="shared" si="30"/>
        <v>0</v>
      </c>
      <c r="H160" s="816"/>
      <c r="I160" s="829">
        <v>40</v>
      </c>
      <c r="J160" s="809">
        <v>0.2</v>
      </c>
      <c r="K160" s="851" t="s">
        <v>196</v>
      </c>
      <c r="L160" s="830">
        <f t="shared" si="31"/>
        <v>0</v>
      </c>
      <c r="O160" s="811"/>
      <c r="P160" s="801"/>
    </row>
    <row r="161" spans="1:16">
      <c r="A161" s="1307"/>
      <c r="C161" s="829">
        <v>25</v>
      </c>
      <c r="D161" s="809">
        <v>9.9999999999999995E-7</v>
      </c>
      <c r="E161" s="851" t="s">
        <v>196</v>
      </c>
      <c r="F161" s="830">
        <f t="shared" si="30"/>
        <v>0</v>
      </c>
      <c r="H161" s="816"/>
      <c r="I161" s="829">
        <v>50</v>
      </c>
      <c r="J161" s="809">
        <v>0.2</v>
      </c>
      <c r="K161" s="851" t="s">
        <v>196</v>
      </c>
      <c r="L161" s="830">
        <f t="shared" si="31"/>
        <v>0</v>
      </c>
      <c r="O161" s="811"/>
      <c r="P161" s="801"/>
    </row>
    <row r="162" spans="1:16">
      <c r="A162" s="1307"/>
      <c r="C162" s="831">
        <v>30</v>
      </c>
      <c r="D162" s="812">
        <v>-0.2</v>
      </c>
      <c r="E162" s="813" t="s">
        <v>196</v>
      </c>
      <c r="F162" s="830">
        <f t="shared" si="30"/>
        <v>0</v>
      </c>
      <c r="H162" s="816"/>
      <c r="I162" s="831">
        <v>60</v>
      </c>
      <c r="J162" s="812">
        <v>0</v>
      </c>
      <c r="K162" s="813" t="s">
        <v>196</v>
      </c>
      <c r="L162" s="830">
        <f t="shared" si="31"/>
        <v>0</v>
      </c>
      <c r="O162" s="811"/>
      <c r="P162" s="801"/>
    </row>
    <row r="163" spans="1:16">
      <c r="A163" s="1307"/>
      <c r="C163" s="831">
        <v>35</v>
      </c>
      <c r="D163" s="812">
        <v>-0.5</v>
      </c>
      <c r="E163" s="813" t="s">
        <v>196</v>
      </c>
      <c r="F163" s="830">
        <f t="shared" si="30"/>
        <v>0</v>
      </c>
      <c r="H163" s="816"/>
      <c r="I163" s="831">
        <v>70</v>
      </c>
      <c r="J163" s="812">
        <v>-0.3</v>
      </c>
      <c r="K163" s="813" t="s">
        <v>196</v>
      </c>
      <c r="L163" s="830">
        <f t="shared" si="31"/>
        <v>0</v>
      </c>
      <c r="O163" s="811"/>
      <c r="P163" s="801"/>
    </row>
    <row r="164" spans="1:16">
      <c r="A164" s="1307"/>
      <c r="C164" s="831">
        <v>37</v>
      </c>
      <c r="D164" s="812">
        <v>-0.6</v>
      </c>
      <c r="E164" s="813" t="s">
        <v>196</v>
      </c>
      <c r="F164" s="830">
        <f t="shared" si="30"/>
        <v>0</v>
      </c>
      <c r="H164" s="816"/>
      <c r="I164" s="831">
        <v>80</v>
      </c>
      <c r="J164" s="812">
        <v>-0.8</v>
      </c>
      <c r="K164" s="813" t="s">
        <v>196</v>
      </c>
      <c r="L164" s="830">
        <f t="shared" si="31"/>
        <v>0</v>
      </c>
      <c r="O164" s="811"/>
      <c r="P164" s="801"/>
    </row>
    <row r="165" spans="1:16" ht="13.8" thickBot="1">
      <c r="A165" s="1308"/>
      <c r="B165" s="814"/>
      <c r="C165" s="832">
        <v>40</v>
      </c>
      <c r="D165" s="833">
        <v>-0.8</v>
      </c>
      <c r="E165" s="836" t="s">
        <v>196</v>
      </c>
      <c r="F165" s="834">
        <f t="shared" si="30"/>
        <v>0</v>
      </c>
      <c r="G165" s="814"/>
      <c r="H165" s="835"/>
      <c r="I165" s="832">
        <v>90</v>
      </c>
      <c r="J165" s="833">
        <v>-1.4</v>
      </c>
      <c r="K165" s="836" t="s">
        <v>196</v>
      </c>
      <c r="L165" s="834">
        <f t="shared" si="31"/>
        <v>0</v>
      </c>
      <c r="M165" s="814"/>
      <c r="N165" s="814"/>
      <c r="O165" s="815"/>
      <c r="P165" s="801"/>
    </row>
    <row r="166" spans="1:16" ht="13.8" thickBot="1">
      <c r="A166" s="837"/>
      <c r="B166" s="838"/>
      <c r="C166" s="838"/>
      <c r="D166" s="838"/>
      <c r="E166" s="839"/>
      <c r="F166" s="848"/>
      <c r="G166" s="841"/>
      <c r="H166" s="838"/>
      <c r="I166" s="838"/>
      <c r="J166" s="838"/>
      <c r="K166" s="839"/>
      <c r="L166" s="848"/>
      <c r="O166" s="811"/>
      <c r="P166" s="801"/>
    </row>
    <row r="167" spans="1:16" ht="13.8" thickBot="1">
      <c r="A167" s="1306">
        <v>16</v>
      </c>
      <c r="B167" s="1309" t="s">
        <v>360</v>
      </c>
      <c r="C167" s="1310"/>
      <c r="D167" s="1310"/>
      <c r="E167" s="1310"/>
      <c r="F167" s="1311"/>
      <c r="G167" s="803"/>
      <c r="H167" s="1309" t="str">
        <f>B167</f>
        <v>KOREKSI EXTECH A.100616</v>
      </c>
      <c r="I167" s="1310"/>
      <c r="J167" s="1310"/>
      <c r="K167" s="1310"/>
      <c r="L167" s="1311"/>
      <c r="M167" s="803"/>
      <c r="N167" s="1294" t="s">
        <v>183</v>
      </c>
      <c r="O167" s="1295"/>
      <c r="P167" s="801"/>
    </row>
    <row r="168" spans="1:16" ht="13.8" thickBot="1">
      <c r="A168" s="1307"/>
      <c r="B168" s="1296" t="s">
        <v>343</v>
      </c>
      <c r="C168" s="1297"/>
      <c r="D168" s="1298" t="s">
        <v>185</v>
      </c>
      <c r="E168" s="1299"/>
      <c r="F168" s="1300" t="s">
        <v>182</v>
      </c>
      <c r="H168" s="1296" t="s">
        <v>344</v>
      </c>
      <c r="I168" s="1297"/>
      <c r="J168" s="1298" t="s">
        <v>185</v>
      </c>
      <c r="K168" s="1299"/>
      <c r="L168" s="1300" t="s">
        <v>182</v>
      </c>
      <c r="N168" s="820" t="s">
        <v>343</v>
      </c>
      <c r="O168" s="843">
        <v>0.4</v>
      </c>
      <c r="P168" s="801"/>
    </row>
    <row r="169" spans="1:16" ht="15" thickBot="1">
      <c r="A169" s="1307"/>
      <c r="B169" s="1302" t="s">
        <v>345</v>
      </c>
      <c r="C169" s="1303"/>
      <c r="D169" s="822">
        <v>2020</v>
      </c>
      <c r="E169" s="849" t="s">
        <v>196</v>
      </c>
      <c r="F169" s="1301"/>
      <c r="H169" s="1304" t="s">
        <v>93</v>
      </c>
      <c r="I169" s="1305"/>
      <c r="J169" s="823">
        <f>D169</f>
        <v>2020</v>
      </c>
      <c r="K169" s="823" t="str">
        <f>E169</f>
        <v>-</v>
      </c>
      <c r="L169" s="1301"/>
      <c r="N169" s="824" t="s">
        <v>93</v>
      </c>
      <c r="O169" s="842">
        <v>2.2000000000000002</v>
      </c>
      <c r="P169" s="801"/>
    </row>
    <row r="170" spans="1:16">
      <c r="A170" s="1307"/>
      <c r="C170" s="826">
        <v>15</v>
      </c>
      <c r="D170" s="827">
        <v>0.1</v>
      </c>
      <c r="E170" s="850" t="s">
        <v>196</v>
      </c>
      <c r="F170" s="828">
        <f t="shared" ref="F170:F176" si="32">0.5*(MAX(D170:E170)-MIN(D170:E170))</f>
        <v>0</v>
      </c>
      <c r="H170" s="816"/>
      <c r="I170" s="826">
        <v>30</v>
      </c>
      <c r="J170" s="827">
        <v>-1.6</v>
      </c>
      <c r="K170" s="850" t="s">
        <v>196</v>
      </c>
      <c r="L170" s="828">
        <f t="shared" ref="L170:L176" si="33">0.5*(MAX(J170:K170)-MIN(J170:K170))</f>
        <v>0</v>
      </c>
      <c r="O170" s="811"/>
      <c r="P170" s="801"/>
    </row>
    <row r="171" spans="1:16">
      <c r="A171" s="1307"/>
      <c r="C171" s="829">
        <v>20</v>
      </c>
      <c r="D171" s="809">
        <v>0.2</v>
      </c>
      <c r="E171" s="851" t="s">
        <v>196</v>
      </c>
      <c r="F171" s="830">
        <f t="shared" si="32"/>
        <v>0</v>
      </c>
      <c r="H171" s="816"/>
      <c r="I171" s="829">
        <v>40</v>
      </c>
      <c r="J171" s="809">
        <v>-1.4</v>
      </c>
      <c r="K171" s="851" t="s">
        <v>196</v>
      </c>
      <c r="L171" s="830">
        <f t="shared" si="33"/>
        <v>0</v>
      </c>
      <c r="O171" s="811"/>
      <c r="P171" s="801"/>
    </row>
    <row r="172" spans="1:16">
      <c r="A172" s="1307"/>
      <c r="C172" s="829">
        <v>25</v>
      </c>
      <c r="D172" s="809">
        <v>0.2</v>
      </c>
      <c r="E172" s="851" t="s">
        <v>196</v>
      </c>
      <c r="F172" s="830">
        <f t="shared" si="32"/>
        <v>0</v>
      </c>
      <c r="H172" s="816"/>
      <c r="I172" s="829">
        <v>50</v>
      </c>
      <c r="J172" s="809">
        <v>-1.4</v>
      </c>
      <c r="K172" s="851" t="s">
        <v>196</v>
      </c>
      <c r="L172" s="830">
        <f t="shared" si="33"/>
        <v>0</v>
      </c>
      <c r="O172" s="811"/>
      <c r="P172" s="801"/>
    </row>
    <row r="173" spans="1:16">
      <c r="A173" s="1307"/>
      <c r="C173" s="831">
        <v>30</v>
      </c>
      <c r="D173" s="812">
        <v>0.2</v>
      </c>
      <c r="E173" s="813" t="s">
        <v>196</v>
      </c>
      <c r="F173" s="830">
        <f t="shared" si="32"/>
        <v>0</v>
      </c>
      <c r="H173" s="816"/>
      <c r="I173" s="831">
        <v>60</v>
      </c>
      <c r="J173" s="812">
        <v>-1.5</v>
      </c>
      <c r="K173" s="813" t="s">
        <v>196</v>
      </c>
      <c r="L173" s="830">
        <f t="shared" si="33"/>
        <v>0</v>
      </c>
      <c r="O173" s="811"/>
      <c r="P173" s="801"/>
    </row>
    <row r="174" spans="1:16">
      <c r="A174" s="1307"/>
      <c r="C174" s="831">
        <v>35</v>
      </c>
      <c r="D174" s="812">
        <v>0.1</v>
      </c>
      <c r="E174" s="813" t="s">
        <v>196</v>
      </c>
      <c r="F174" s="830">
        <f t="shared" si="32"/>
        <v>0</v>
      </c>
      <c r="H174" s="816"/>
      <c r="I174" s="831">
        <v>70</v>
      </c>
      <c r="J174" s="812">
        <v>-1.8</v>
      </c>
      <c r="K174" s="813" t="s">
        <v>196</v>
      </c>
      <c r="L174" s="830">
        <f t="shared" si="33"/>
        <v>0</v>
      </c>
      <c r="O174" s="811"/>
      <c r="P174" s="801"/>
    </row>
    <row r="175" spans="1:16">
      <c r="A175" s="1307"/>
      <c r="C175" s="831">
        <v>37</v>
      </c>
      <c r="D175" s="812">
        <v>9.9999999999999995E-7</v>
      </c>
      <c r="E175" s="813" t="s">
        <v>196</v>
      </c>
      <c r="F175" s="830">
        <f t="shared" si="32"/>
        <v>0</v>
      </c>
      <c r="H175" s="816"/>
      <c r="I175" s="831">
        <v>80</v>
      </c>
      <c r="J175" s="812">
        <v>-2.2999999999999998</v>
      </c>
      <c r="K175" s="813" t="s">
        <v>196</v>
      </c>
      <c r="L175" s="830">
        <f t="shared" si="33"/>
        <v>0</v>
      </c>
      <c r="O175" s="811"/>
      <c r="P175" s="801"/>
    </row>
    <row r="176" spans="1:16" ht="13.8" thickBot="1">
      <c r="A176" s="1308"/>
      <c r="B176" s="814"/>
      <c r="C176" s="832">
        <v>40</v>
      </c>
      <c r="D176" s="833">
        <v>9.9999999999999995E-7</v>
      </c>
      <c r="E176" s="836" t="s">
        <v>196</v>
      </c>
      <c r="F176" s="834">
        <f t="shared" si="32"/>
        <v>0</v>
      </c>
      <c r="G176" s="814"/>
      <c r="H176" s="835"/>
      <c r="I176" s="832">
        <v>90</v>
      </c>
      <c r="J176" s="833">
        <v>-3</v>
      </c>
      <c r="K176" s="836" t="s">
        <v>196</v>
      </c>
      <c r="L176" s="834">
        <f t="shared" si="33"/>
        <v>0</v>
      </c>
      <c r="M176" s="814"/>
      <c r="N176" s="814"/>
      <c r="O176" s="815"/>
      <c r="P176" s="801"/>
    </row>
    <row r="177" spans="1:16" ht="13.8" thickBot="1">
      <c r="A177" s="837"/>
      <c r="B177" s="838"/>
      <c r="C177" s="838"/>
      <c r="D177" s="838"/>
      <c r="E177" s="839"/>
      <c r="F177" s="848"/>
      <c r="G177" s="841"/>
      <c r="H177" s="838"/>
      <c r="I177" s="838"/>
      <c r="J177" s="838"/>
      <c r="K177" s="839"/>
      <c r="L177" s="848"/>
      <c r="O177" s="811"/>
      <c r="P177" s="801"/>
    </row>
    <row r="178" spans="1:16" ht="13.8" thickBot="1">
      <c r="A178" s="1306">
        <v>17</v>
      </c>
      <c r="B178" s="1309" t="s">
        <v>361</v>
      </c>
      <c r="C178" s="1310"/>
      <c r="D178" s="1310"/>
      <c r="E178" s="1310"/>
      <c r="F178" s="1311"/>
      <c r="G178" s="803"/>
      <c r="H178" s="1309" t="str">
        <f>B178</f>
        <v>KOREKSI EXTECH A.100618</v>
      </c>
      <c r="I178" s="1310"/>
      <c r="J178" s="1310"/>
      <c r="K178" s="1310"/>
      <c r="L178" s="1311"/>
      <c r="M178" s="803"/>
      <c r="N178" s="1294" t="s">
        <v>183</v>
      </c>
      <c r="O178" s="1295"/>
      <c r="P178" s="801"/>
    </row>
    <row r="179" spans="1:16" ht="13.8" thickBot="1">
      <c r="A179" s="1307"/>
      <c r="B179" s="1296" t="s">
        <v>343</v>
      </c>
      <c r="C179" s="1297"/>
      <c r="D179" s="1298" t="s">
        <v>185</v>
      </c>
      <c r="E179" s="1299"/>
      <c r="F179" s="1300" t="s">
        <v>182</v>
      </c>
      <c r="H179" s="1296" t="s">
        <v>344</v>
      </c>
      <c r="I179" s="1297"/>
      <c r="J179" s="1298" t="s">
        <v>185</v>
      </c>
      <c r="K179" s="1299"/>
      <c r="L179" s="1300" t="s">
        <v>182</v>
      </c>
      <c r="N179" s="820" t="s">
        <v>343</v>
      </c>
      <c r="O179" s="843">
        <v>0.3</v>
      </c>
      <c r="P179" s="801"/>
    </row>
    <row r="180" spans="1:16" ht="15" thickBot="1">
      <c r="A180" s="1307"/>
      <c r="B180" s="1302" t="s">
        <v>345</v>
      </c>
      <c r="C180" s="1303"/>
      <c r="D180" s="822">
        <v>2020</v>
      </c>
      <c r="E180" s="849" t="s">
        <v>196</v>
      </c>
      <c r="F180" s="1301"/>
      <c r="H180" s="1304" t="s">
        <v>93</v>
      </c>
      <c r="I180" s="1305"/>
      <c r="J180" s="823">
        <f>D180</f>
        <v>2020</v>
      </c>
      <c r="K180" s="823" t="str">
        <f>E180</f>
        <v>-</v>
      </c>
      <c r="L180" s="1301"/>
      <c r="N180" s="824" t="s">
        <v>93</v>
      </c>
      <c r="O180" s="842">
        <v>1.6</v>
      </c>
      <c r="P180" s="801"/>
    </row>
    <row r="181" spans="1:16">
      <c r="A181" s="1307"/>
      <c r="C181" s="826">
        <v>15</v>
      </c>
      <c r="D181" s="827">
        <v>9.9999999999999995E-7</v>
      </c>
      <c r="E181" s="850" t="s">
        <v>196</v>
      </c>
      <c r="F181" s="828">
        <f t="shared" ref="F181:F187" si="34">0.5*(MAX(D181:E181)-MIN(D181:E181))</f>
        <v>0</v>
      </c>
      <c r="H181" s="816"/>
      <c r="I181" s="826">
        <v>30</v>
      </c>
      <c r="J181" s="827">
        <v>-0.4</v>
      </c>
      <c r="K181" s="850" t="s">
        <v>196</v>
      </c>
      <c r="L181" s="828">
        <f t="shared" ref="L181:L187" si="35">0.5*(MAX(J181:K181)-MIN(J181:K181))</f>
        <v>0</v>
      </c>
      <c r="O181" s="811"/>
      <c r="P181" s="801"/>
    </row>
    <row r="182" spans="1:16">
      <c r="A182" s="1307"/>
      <c r="C182" s="829">
        <v>20</v>
      </c>
      <c r="D182" s="809">
        <v>-0.1</v>
      </c>
      <c r="E182" s="851" t="s">
        <v>196</v>
      </c>
      <c r="F182" s="830">
        <f t="shared" si="34"/>
        <v>0</v>
      </c>
      <c r="H182" s="816"/>
      <c r="I182" s="829">
        <v>40</v>
      </c>
      <c r="J182" s="809">
        <v>-0.2</v>
      </c>
      <c r="K182" s="851" t="s">
        <v>196</v>
      </c>
      <c r="L182" s="830">
        <f t="shared" si="35"/>
        <v>0</v>
      </c>
      <c r="O182" s="811"/>
      <c r="P182" s="801"/>
    </row>
    <row r="183" spans="1:16">
      <c r="A183" s="1307"/>
      <c r="C183" s="829">
        <v>25</v>
      </c>
      <c r="D183" s="809">
        <v>-0.2</v>
      </c>
      <c r="E183" s="851" t="s">
        <v>196</v>
      </c>
      <c r="F183" s="830">
        <f t="shared" si="34"/>
        <v>0</v>
      </c>
      <c r="H183" s="816"/>
      <c r="I183" s="829">
        <v>50</v>
      </c>
      <c r="J183" s="809">
        <v>-0.2</v>
      </c>
      <c r="K183" s="851" t="s">
        <v>196</v>
      </c>
      <c r="L183" s="830">
        <f t="shared" si="35"/>
        <v>0</v>
      </c>
      <c r="O183" s="811"/>
      <c r="P183" s="801"/>
    </row>
    <row r="184" spans="1:16">
      <c r="A184" s="1307"/>
      <c r="C184" s="831">
        <v>30</v>
      </c>
      <c r="D184" s="812">
        <v>-0.2</v>
      </c>
      <c r="E184" s="813" t="s">
        <v>196</v>
      </c>
      <c r="F184" s="830">
        <f t="shared" si="34"/>
        <v>0</v>
      </c>
      <c r="H184" s="816"/>
      <c r="I184" s="831">
        <v>60</v>
      </c>
      <c r="J184" s="812">
        <v>-0.2</v>
      </c>
      <c r="K184" s="813" t="s">
        <v>196</v>
      </c>
      <c r="L184" s="830">
        <f t="shared" si="35"/>
        <v>0</v>
      </c>
      <c r="O184" s="811"/>
      <c r="P184" s="801"/>
    </row>
    <row r="185" spans="1:16">
      <c r="A185" s="1307"/>
      <c r="C185" s="831">
        <v>35</v>
      </c>
      <c r="D185" s="812">
        <v>-0.3</v>
      </c>
      <c r="E185" s="813" t="s">
        <v>196</v>
      </c>
      <c r="F185" s="830">
        <f t="shared" si="34"/>
        <v>0</v>
      </c>
      <c r="H185" s="816"/>
      <c r="I185" s="831">
        <v>70</v>
      </c>
      <c r="J185" s="812">
        <v>-0.3</v>
      </c>
      <c r="K185" s="813" t="s">
        <v>196</v>
      </c>
      <c r="L185" s="830">
        <f t="shared" si="35"/>
        <v>0</v>
      </c>
      <c r="O185" s="811"/>
      <c r="P185" s="801"/>
    </row>
    <row r="186" spans="1:16">
      <c r="A186" s="1307"/>
      <c r="C186" s="831">
        <v>37</v>
      </c>
      <c r="D186" s="812">
        <v>-0.3</v>
      </c>
      <c r="E186" s="813" t="s">
        <v>196</v>
      </c>
      <c r="F186" s="830">
        <f t="shared" si="34"/>
        <v>0</v>
      </c>
      <c r="H186" s="816"/>
      <c r="I186" s="831">
        <v>80</v>
      </c>
      <c r="J186" s="812">
        <v>-0.5</v>
      </c>
      <c r="K186" s="813" t="s">
        <v>196</v>
      </c>
      <c r="L186" s="830">
        <f t="shared" si="35"/>
        <v>0</v>
      </c>
      <c r="O186" s="811"/>
      <c r="P186" s="801"/>
    </row>
    <row r="187" spans="1:16" ht="13.8" thickBot="1">
      <c r="A187" s="1308"/>
      <c r="B187" s="814"/>
      <c r="C187" s="832">
        <v>40</v>
      </c>
      <c r="D187" s="833">
        <v>-0.4</v>
      </c>
      <c r="E187" s="836" t="s">
        <v>196</v>
      </c>
      <c r="F187" s="834">
        <f t="shared" si="34"/>
        <v>0</v>
      </c>
      <c r="G187" s="814"/>
      <c r="H187" s="835"/>
      <c r="I187" s="832">
        <v>90</v>
      </c>
      <c r="J187" s="833">
        <v>-0.8</v>
      </c>
      <c r="K187" s="836" t="s">
        <v>196</v>
      </c>
      <c r="L187" s="834">
        <f t="shared" si="35"/>
        <v>0</v>
      </c>
      <c r="M187" s="814"/>
      <c r="N187" s="814"/>
      <c r="O187" s="815"/>
      <c r="P187" s="801"/>
    </row>
    <row r="188" spans="1:16" ht="13.8" thickBot="1">
      <c r="A188" s="837"/>
      <c r="B188" s="838"/>
      <c r="C188" s="838"/>
      <c r="D188" s="838"/>
      <c r="E188" s="839"/>
      <c r="F188" s="848"/>
      <c r="G188" s="841"/>
      <c r="H188" s="838"/>
      <c r="I188" s="838"/>
      <c r="J188" s="838"/>
      <c r="K188" s="839"/>
      <c r="L188" s="848"/>
      <c r="O188" s="811"/>
      <c r="P188" s="801"/>
    </row>
    <row r="189" spans="1:16" ht="13.8" thickBot="1">
      <c r="A189" s="1306">
        <v>18</v>
      </c>
      <c r="B189" s="1309" t="s">
        <v>362</v>
      </c>
      <c r="C189" s="1310"/>
      <c r="D189" s="1310"/>
      <c r="E189" s="1310"/>
      <c r="F189" s="1311"/>
      <c r="G189" s="803"/>
      <c r="H189" s="1309" t="str">
        <f>B189</f>
        <v>KOREKSI EXTECH A.100586</v>
      </c>
      <c r="I189" s="1310"/>
      <c r="J189" s="1310"/>
      <c r="K189" s="1310"/>
      <c r="L189" s="1311"/>
      <c r="M189" s="803"/>
      <c r="N189" s="1294" t="s">
        <v>183</v>
      </c>
      <c r="O189" s="1295"/>
      <c r="P189" s="801"/>
    </row>
    <row r="190" spans="1:16" ht="13.8" thickBot="1">
      <c r="A190" s="1307"/>
      <c r="B190" s="1296" t="s">
        <v>343</v>
      </c>
      <c r="C190" s="1297"/>
      <c r="D190" s="1298" t="s">
        <v>185</v>
      </c>
      <c r="E190" s="1299"/>
      <c r="F190" s="1300" t="s">
        <v>182</v>
      </c>
      <c r="H190" s="1296" t="s">
        <v>344</v>
      </c>
      <c r="I190" s="1297"/>
      <c r="J190" s="1298" t="s">
        <v>185</v>
      </c>
      <c r="K190" s="1299"/>
      <c r="L190" s="1300" t="s">
        <v>182</v>
      </c>
      <c r="N190" s="820" t="s">
        <v>343</v>
      </c>
      <c r="O190" s="843">
        <v>0.3</v>
      </c>
      <c r="P190" s="801"/>
    </row>
    <row r="191" spans="1:16" ht="15" thickBot="1">
      <c r="A191" s="1307"/>
      <c r="B191" s="1302" t="s">
        <v>345</v>
      </c>
      <c r="C191" s="1303"/>
      <c r="D191" s="822">
        <v>2017</v>
      </c>
      <c r="E191" s="849" t="s">
        <v>196</v>
      </c>
      <c r="F191" s="1301"/>
      <c r="H191" s="1304" t="s">
        <v>93</v>
      </c>
      <c r="I191" s="1305"/>
      <c r="J191" s="823">
        <f>D191</f>
        <v>2017</v>
      </c>
      <c r="K191" s="823" t="str">
        <f>E191</f>
        <v>-</v>
      </c>
      <c r="L191" s="1301"/>
      <c r="N191" s="824" t="s">
        <v>93</v>
      </c>
      <c r="O191" s="842">
        <v>2</v>
      </c>
      <c r="P191" s="801"/>
    </row>
    <row r="192" spans="1:16">
      <c r="A192" s="1307"/>
      <c r="C192" s="826">
        <v>15</v>
      </c>
      <c r="D192" s="827">
        <v>9.9999999999999995E-7</v>
      </c>
      <c r="E192" s="850" t="s">
        <v>196</v>
      </c>
      <c r="F192" s="828">
        <f t="shared" ref="F192:F198" si="36">0.5*(MAX(D192:E192)-MIN(D192:E192))</f>
        <v>0</v>
      </c>
      <c r="H192" s="816"/>
      <c r="I192" s="826">
        <v>30</v>
      </c>
      <c r="J192" s="827">
        <v>-0.4</v>
      </c>
      <c r="K192" s="850" t="s">
        <v>196</v>
      </c>
      <c r="L192" s="828">
        <f t="shared" ref="L192:L198" si="37">0.5*(MAX(J192:K192)-MIN(J192:K192))</f>
        <v>0</v>
      </c>
      <c r="O192" s="811"/>
      <c r="P192" s="801"/>
    </row>
    <row r="193" spans="1:17">
      <c r="A193" s="1307"/>
      <c r="C193" s="829">
        <v>20</v>
      </c>
      <c r="D193" s="809">
        <v>9.9999999999999995E-7</v>
      </c>
      <c r="E193" s="851" t="s">
        <v>196</v>
      </c>
      <c r="F193" s="830">
        <f t="shared" si="36"/>
        <v>0</v>
      </c>
      <c r="H193" s="816"/>
      <c r="I193" s="829">
        <v>40</v>
      </c>
      <c r="J193" s="809">
        <v>-0.1</v>
      </c>
      <c r="K193" s="851" t="s">
        <v>196</v>
      </c>
      <c r="L193" s="830">
        <f t="shared" si="37"/>
        <v>0</v>
      </c>
      <c r="O193" s="811"/>
      <c r="P193" s="801"/>
    </row>
    <row r="194" spans="1:17">
      <c r="A194" s="1307"/>
      <c r="C194" s="829">
        <v>25</v>
      </c>
      <c r="D194" s="809">
        <v>9.9999999999999995E-7</v>
      </c>
      <c r="E194" s="851" t="s">
        <v>196</v>
      </c>
      <c r="F194" s="830">
        <f t="shared" si="36"/>
        <v>0</v>
      </c>
      <c r="H194" s="816"/>
      <c r="I194" s="829">
        <v>50</v>
      </c>
      <c r="J194" s="809">
        <v>0</v>
      </c>
      <c r="K194" s="851" t="s">
        <v>196</v>
      </c>
      <c r="L194" s="830">
        <f t="shared" si="37"/>
        <v>0</v>
      </c>
      <c r="O194" s="811"/>
      <c r="P194" s="801"/>
    </row>
    <row r="195" spans="1:17">
      <c r="A195" s="1307"/>
      <c r="C195" s="831">
        <v>30</v>
      </c>
      <c r="D195" s="812">
        <v>-0.1</v>
      </c>
      <c r="E195" s="813" t="s">
        <v>196</v>
      </c>
      <c r="F195" s="830">
        <f t="shared" si="36"/>
        <v>0</v>
      </c>
      <c r="H195" s="816"/>
      <c r="I195" s="831">
        <v>60</v>
      </c>
      <c r="J195" s="812">
        <v>0</v>
      </c>
      <c r="K195" s="813" t="s">
        <v>196</v>
      </c>
      <c r="L195" s="830">
        <f t="shared" si="37"/>
        <v>0</v>
      </c>
      <c r="O195" s="811"/>
      <c r="P195" s="801"/>
    </row>
    <row r="196" spans="1:17">
      <c r="A196" s="1307"/>
      <c r="C196" s="831">
        <v>35</v>
      </c>
      <c r="D196" s="812">
        <v>-0.2</v>
      </c>
      <c r="E196" s="813" t="s">
        <v>196</v>
      </c>
      <c r="F196" s="830">
        <f t="shared" si="36"/>
        <v>0</v>
      </c>
      <c r="H196" s="816"/>
      <c r="I196" s="831">
        <v>70</v>
      </c>
      <c r="J196" s="812">
        <v>-0.1</v>
      </c>
      <c r="K196" s="813" t="s">
        <v>196</v>
      </c>
      <c r="L196" s="830">
        <f t="shared" si="37"/>
        <v>0</v>
      </c>
      <c r="O196" s="811"/>
      <c r="P196" s="801"/>
    </row>
    <row r="197" spans="1:17">
      <c r="A197" s="1307"/>
      <c r="C197" s="831">
        <v>37</v>
      </c>
      <c r="D197" s="812">
        <v>-0.3</v>
      </c>
      <c r="E197" s="813" t="s">
        <v>196</v>
      </c>
      <c r="F197" s="830">
        <f t="shared" si="36"/>
        <v>0</v>
      </c>
      <c r="H197" s="816"/>
      <c r="I197" s="831">
        <v>80</v>
      </c>
      <c r="J197" s="812">
        <v>-0.5</v>
      </c>
      <c r="K197" s="813" t="s">
        <v>196</v>
      </c>
      <c r="L197" s="830">
        <f t="shared" si="37"/>
        <v>0</v>
      </c>
      <c r="O197" s="811"/>
      <c r="P197" s="801"/>
    </row>
    <row r="198" spans="1:17" ht="13.8" thickBot="1">
      <c r="A198" s="1308"/>
      <c r="B198" s="814"/>
      <c r="C198" s="832">
        <v>40</v>
      </c>
      <c r="D198" s="833">
        <v>-0.4</v>
      </c>
      <c r="E198" s="836" t="s">
        <v>196</v>
      </c>
      <c r="F198" s="834">
        <f t="shared" si="36"/>
        <v>0</v>
      </c>
      <c r="G198" s="814"/>
      <c r="H198" s="835"/>
      <c r="I198" s="832">
        <v>90</v>
      </c>
      <c r="J198" s="833">
        <v>-0.9</v>
      </c>
      <c r="K198" s="836" t="s">
        <v>196</v>
      </c>
      <c r="L198" s="834">
        <f t="shared" si="37"/>
        <v>0</v>
      </c>
      <c r="M198" s="814"/>
      <c r="N198" s="814"/>
      <c r="O198" s="815"/>
      <c r="P198" s="801"/>
    </row>
    <row r="199" spans="1:17" ht="13.8" thickBot="1">
      <c r="A199" s="854"/>
      <c r="B199" s="855"/>
      <c r="C199" s="855"/>
      <c r="D199" s="855"/>
      <c r="E199" s="855"/>
      <c r="F199" s="855"/>
      <c r="G199" s="855"/>
      <c r="H199" s="855"/>
      <c r="I199" s="855"/>
      <c r="J199" s="855"/>
      <c r="K199" s="855"/>
      <c r="L199" s="855"/>
      <c r="M199" s="855"/>
      <c r="N199" s="855"/>
      <c r="O199" s="856"/>
      <c r="P199" s="801"/>
    </row>
    <row r="200" spans="1:17" ht="13.8" thickBot="1">
      <c r="A200" s="801"/>
      <c r="B200" s="801"/>
      <c r="C200" s="801"/>
      <c r="D200" s="801"/>
      <c r="E200" s="801"/>
      <c r="F200" s="801"/>
      <c r="G200" s="801"/>
      <c r="H200" s="801"/>
      <c r="I200" s="801"/>
      <c r="J200" s="801"/>
      <c r="K200" s="801"/>
      <c r="L200" s="801"/>
      <c r="M200" s="801"/>
      <c r="N200" s="801"/>
      <c r="O200" s="801"/>
      <c r="P200" s="801"/>
    </row>
    <row r="201" spans="1:17">
      <c r="A201" s="1325" t="s">
        <v>30</v>
      </c>
      <c r="B201" s="1327" t="s">
        <v>363</v>
      </c>
      <c r="C201" s="1321" t="s">
        <v>188</v>
      </c>
      <c r="D201" s="1321"/>
      <c r="E201" s="1321"/>
      <c r="F201" s="1321"/>
      <c r="G201" s="857"/>
      <c r="H201" s="1329" t="s">
        <v>30</v>
      </c>
      <c r="I201" s="1327" t="s">
        <v>363</v>
      </c>
      <c r="J201" s="1321" t="s">
        <v>188</v>
      </c>
      <c r="K201" s="1321"/>
      <c r="L201" s="1321"/>
      <c r="M201" s="1321"/>
      <c r="N201" s="858"/>
      <c r="O201" s="1322" t="s">
        <v>183</v>
      </c>
      <c r="P201" s="1323"/>
    </row>
    <row r="202" spans="1:17" ht="13.8">
      <c r="A202" s="1326"/>
      <c r="B202" s="1328"/>
      <c r="C202" s="859" t="s">
        <v>343</v>
      </c>
      <c r="D202" s="1324" t="s">
        <v>185</v>
      </c>
      <c r="E202" s="1324"/>
      <c r="F202" s="1324" t="s">
        <v>182</v>
      </c>
      <c r="G202" s="801"/>
      <c r="H202" s="1330"/>
      <c r="I202" s="1328"/>
      <c r="J202" s="859" t="s">
        <v>344</v>
      </c>
      <c r="K202" s="1324" t="s">
        <v>185</v>
      </c>
      <c r="L202" s="1324"/>
      <c r="M202" s="1324" t="s">
        <v>182</v>
      </c>
      <c r="N202" s="801"/>
      <c r="O202" s="1319" t="s">
        <v>343</v>
      </c>
      <c r="P202" s="1320"/>
    </row>
    <row r="203" spans="1:17" ht="14.4">
      <c r="A203" s="1326"/>
      <c r="B203" s="1328"/>
      <c r="C203" s="860" t="s">
        <v>364</v>
      </c>
      <c r="D203" s="859"/>
      <c r="E203" s="859"/>
      <c r="F203" s="1324"/>
      <c r="G203" s="801"/>
      <c r="H203" s="1330"/>
      <c r="I203" s="1328"/>
      <c r="J203" s="860" t="s">
        <v>93</v>
      </c>
      <c r="K203" s="859"/>
      <c r="L203" s="859"/>
      <c r="M203" s="1324"/>
      <c r="O203" s="861">
        <v>1</v>
      </c>
      <c r="P203" s="862">
        <f>O3</f>
        <v>0.6</v>
      </c>
      <c r="Q203" s="862">
        <f>O4</f>
        <v>3.1</v>
      </c>
    </row>
    <row r="204" spans="1:17">
      <c r="A204" s="1315" t="s">
        <v>365</v>
      </c>
      <c r="B204" s="863">
        <v>1</v>
      </c>
      <c r="C204" s="864">
        <f>C5</f>
        <v>15</v>
      </c>
      <c r="D204" s="864">
        <f t="shared" ref="D204:F204" si="38">D5</f>
        <v>-0.5</v>
      </c>
      <c r="E204" s="864">
        <f t="shared" si="38"/>
        <v>0.3</v>
      </c>
      <c r="F204" s="864">
        <f t="shared" si="38"/>
        <v>0.4</v>
      </c>
      <c r="G204" s="801"/>
      <c r="H204" s="1316" t="s">
        <v>365</v>
      </c>
      <c r="I204" s="863">
        <v>1</v>
      </c>
      <c r="J204" s="864">
        <f>I5</f>
        <v>35</v>
      </c>
      <c r="K204" s="864">
        <f t="shared" ref="K204:M204" si="39">J5</f>
        <v>-6</v>
      </c>
      <c r="L204" s="864">
        <f t="shared" si="39"/>
        <v>-9.4</v>
      </c>
      <c r="M204" s="864">
        <f t="shared" si="39"/>
        <v>1.7000000000000002</v>
      </c>
      <c r="N204" s="801"/>
      <c r="O204" s="865">
        <v>2</v>
      </c>
      <c r="P204" s="866">
        <f>O14</f>
        <v>0.3</v>
      </c>
      <c r="Q204" s="866">
        <f>O15</f>
        <v>3.3</v>
      </c>
    </row>
    <row r="205" spans="1:17">
      <c r="A205" s="1315"/>
      <c r="B205" s="863">
        <v>2</v>
      </c>
      <c r="C205" s="864">
        <f>C16</f>
        <v>15</v>
      </c>
      <c r="D205" s="864">
        <f t="shared" ref="D205:F205" si="40">D16</f>
        <v>0</v>
      </c>
      <c r="E205" s="864">
        <f t="shared" si="40"/>
        <v>0.5</v>
      </c>
      <c r="F205" s="864">
        <f t="shared" si="40"/>
        <v>0.25</v>
      </c>
      <c r="G205" s="801"/>
      <c r="H205" s="1316"/>
      <c r="I205" s="863">
        <v>2</v>
      </c>
      <c r="J205" s="864">
        <f>I16</f>
        <v>35</v>
      </c>
      <c r="K205" s="864">
        <f t="shared" ref="K205:M205" si="41">J16</f>
        <v>-1.6</v>
      </c>
      <c r="L205" s="864">
        <f t="shared" si="41"/>
        <v>-0.9</v>
      </c>
      <c r="M205" s="864">
        <f t="shared" si="41"/>
        <v>0.35000000000000003</v>
      </c>
      <c r="N205" s="801"/>
      <c r="O205" s="865">
        <v>3</v>
      </c>
      <c r="P205" s="867">
        <f>O25</f>
        <v>0.3</v>
      </c>
      <c r="Q205" s="867">
        <f>O26</f>
        <v>3.1</v>
      </c>
    </row>
    <row r="206" spans="1:17">
      <c r="A206" s="1315"/>
      <c r="B206" s="863">
        <v>3</v>
      </c>
      <c r="C206" s="864">
        <f>C27</f>
        <v>15</v>
      </c>
      <c r="D206" s="864">
        <f t="shared" ref="D206:F206" si="42">D27</f>
        <v>0</v>
      </c>
      <c r="E206" s="864">
        <f t="shared" si="42"/>
        <v>0.2</v>
      </c>
      <c r="F206" s="864">
        <f t="shared" si="42"/>
        <v>0.1</v>
      </c>
      <c r="G206" s="801"/>
      <c r="H206" s="1316"/>
      <c r="I206" s="863">
        <v>3</v>
      </c>
      <c r="J206" s="864">
        <f>I27</f>
        <v>30</v>
      </c>
      <c r="K206" s="864">
        <f t="shared" ref="K206:M206" si="43">J27</f>
        <v>-5.7</v>
      </c>
      <c r="L206" s="864">
        <f t="shared" si="43"/>
        <v>-1.1000000000000001</v>
      </c>
      <c r="M206" s="864">
        <f t="shared" si="43"/>
        <v>2.2999999999999998</v>
      </c>
      <c r="N206" s="801"/>
      <c r="O206" s="865">
        <v>4</v>
      </c>
      <c r="P206" s="867">
        <f>O36</f>
        <v>0.6</v>
      </c>
      <c r="Q206" s="867">
        <f>O37</f>
        <v>2.6</v>
      </c>
    </row>
    <row r="207" spans="1:17">
      <c r="A207" s="1315"/>
      <c r="B207" s="863">
        <v>4</v>
      </c>
      <c r="C207" s="868">
        <f>C38</f>
        <v>15</v>
      </c>
      <c r="D207" s="868">
        <f t="shared" ref="D207:F207" si="44">D38</f>
        <v>-0.1</v>
      </c>
      <c r="E207" s="868">
        <f t="shared" si="44"/>
        <v>0.4</v>
      </c>
      <c r="F207" s="868">
        <f t="shared" si="44"/>
        <v>0.25</v>
      </c>
      <c r="G207" s="801"/>
      <c r="H207" s="1316"/>
      <c r="I207" s="863">
        <v>4</v>
      </c>
      <c r="J207" s="868">
        <f>I38</f>
        <v>35</v>
      </c>
      <c r="K207" s="868">
        <f t="shared" ref="K207:M207" si="45">J38</f>
        <v>-1.7</v>
      </c>
      <c r="L207" s="868">
        <f t="shared" si="45"/>
        <v>-0.8</v>
      </c>
      <c r="M207" s="868">
        <f t="shared" si="45"/>
        <v>0.44999999999999996</v>
      </c>
      <c r="N207" s="801"/>
      <c r="O207" s="865">
        <v>5</v>
      </c>
      <c r="P207" s="867">
        <f>O47</f>
        <v>0.4</v>
      </c>
      <c r="Q207" s="867">
        <f>O48</f>
        <v>2.8</v>
      </c>
    </row>
    <row r="208" spans="1:17">
      <c r="A208" s="1315"/>
      <c r="B208" s="863">
        <v>5</v>
      </c>
      <c r="C208" s="868">
        <f>C49</f>
        <v>15</v>
      </c>
      <c r="D208" s="868">
        <f t="shared" ref="D208:F208" si="46">D49</f>
        <v>-0.3</v>
      </c>
      <c r="E208" s="868">
        <f t="shared" si="46"/>
        <v>0.3</v>
      </c>
      <c r="F208" s="868">
        <f t="shared" si="46"/>
        <v>0.3</v>
      </c>
      <c r="G208" s="801"/>
      <c r="H208" s="1316"/>
      <c r="I208" s="863">
        <v>5</v>
      </c>
      <c r="J208" s="868">
        <f>I49</f>
        <v>35</v>
      </c>
      <c r="K208" s="868">
        <f t="shared" ref="K208:M208" si="47">J49</f>
        <v>-7.7</v>
      </c>
      <c r="L208" s="868">
        <f t="shared" si="47"/>
        <v>-9.6</v>
      </c>
      <c r="M208" s="868">
        <f t="shared" si="47"/>
        <v>0.94999999999999973</v>
      </c>
      <c r="N208" s="801"/>
      <c r="O208" s="861">
        <v>6</v>
      </c>
      <c r="P208" s="862">
        <f>O58</f>
        <v>0.8</v>
      </c>
      <c r="Q208" s="862">
        <f>O59</f>
        <v>2.6</v>
      </c>
    </row>
    <row r="209" spans="1:17">
      <c r="A209" s="1315"/>
      <c r="B209" s="863">
        <v>6</v>
      </c>
      <c r="C209" s="868">
        <f>C60</f>
        <v>15</v>
      </c>
      <c r="D209" s="868">
        <f t="shared" ref="D209:F209" si="48">D60</f>
        <v>0.4</v>
      </c>
      <c r="E209" s="868">
        <f t="shared" si="48"/>
        <v>0.4</v>
      </c>
      <c r="F209" s="868">
        <f t="shared" si="48"/>
        <v>0</v>
      </c>
      <c r="G209" s="801"/>
      <c r="H209" s="1316"/>
      <c r="I209" s="863">
        <v>6</v>
      </c>
      <c r="J209" s="868">
        <f>I60</f>
        <v>30</v>
      </c>
      <c r="K209" s="868">
        <f t="shared" ref="K209:M209" si="49">J60</f>
        <v>-1.5</v>
      </c>
      <c r="L209" s="868">
        <f t="shared" si="49"/>
        <v>-4.9000000000000004</v>
      </c>
      <c r="M209" s="868">
        <f t="shared" si="49"/>
        <v>1.7000000000000002</v>
      </c>
      <c r="N209" s="801"/>
      <c r="O209" s="861">
        <v>7</v>
      </c>
      <c r="P209" s="862">
        <f>O69</f>
        <v>0.3</v>
      </c>
      <c r="Q209" s="862">
        <f>O70</f>
        <v>2.2999999999999998</v>
      </c>
    </row>
    <row r="210" spans="1:17">
      <c r="A210" s="1315"/>
      <c r="B210" s="863">
        <v>7</v>
      </c>
      <c r="C210" s="868">
        <f>C71</f>
        <v>15</v>
      </c>
      <c r="D210" s="868">
        <f t="shared" ref="D210:F210" si="50">D71</f>
        <v>0.3</v>
      </c>
      <c r="E210" s="868">
        <f t="shared" si="50"/>
        <v>0.2</v>
      </c>
      <c r="F210" s="868">
        <f t="shared" si="50"/>
        <v>4.9999999999999989E-2</v>
      </c>
      <c r="G210" s="801"/>
      <c r="H210" s="1316"/>
      <c r="I210" s="863">
        <v>7</v>
      </c>
      <c r="J210" s="868">
        <f>I71</f>
        <v>30</v>
      </c>
      <c r="K210" s="868">
        <f t="shared" ref="K210:M210" si="51">J71</f>
        <v>1.8</v>
      </c>
      <c r="L210" s="868">
        <f t="shared" si="51"/>
        <v>-0.1</v>
      </c>
      <c r="M210" s="868">
        <f t="shared" si="51"/>
        <v>0.95000000000000007</v>
      </c>
      <c r="N210" s="801"/>
      <c r="O210" s="861">
        <v>8</v>
      </c>
      <c r="P210" s="862">
        <f>O80</f>
        <v>0.3</v>
      </c>
      <c r="Q210" s="862">
        <f>O81</f>
        <v>2.6</v>
      </c>
    </row>
    <row r="211" spans="1:17">
      <c r="A211" s="1315"/>
      <c r="B211" s="863">
        <v>8</v>
      </c>
      <c r="C211" s="868">
        <f>C82</f>
        <v>15</v>
      </c>
      <c r="D211" s="868">
        <f t="shared" ref="D211:F211" si="52">D82</f>
        <v>9.9999999999999995E-7</v>
      </c>
      <c r="E211" s="868">
        <f t="shared" si="52"/>
        <v>-0.2</v>
      </c>
      <c r="F211" s="868">
        <f t="shared" si="52"/>
        <v>0.10000050000000001</v>
      </c>
      <c r="G211" s="801"/>
      <c r="H211" s="1316"/>
      <c r="I211" s="863">
        <v>8</v>
      </c>
      <c r="J211" s="868">
        <f>I82</f>
        <v>30</v>
      </c>
      <c r="K211" s="868">
        <f t="shared" ref="K211:M211" si="53">J82</f>
        <v>-1.4</v>
      </c>
      <c r="L211" s="868">
        <f t="shared" si="53"/>
        <v>1</v>
      </c>
      <c r="M211" s="868">
        <f t="shared" si="53"/>
        <v>1.2</v>
      </c>
      <c r="N211" s="801"/>
      <c r="O211" s="861">
        <v>9</v>
      </c>
      <c r="P211" s="862">
        <f>O91</f>
        <v>0.3</v>
      </c>
      <c r="Q211" s="862">
        <f>O92</f>
        <v>2.4</v>
      </c>
    </row>
    <row r="212" spans="1:17">
      <c r="A212" s="1315"/>
      <c r="B212" s="863">
        <v>9</v>
      </c>
      <c r="C212" s="868">
        <f>C93</f>
        <v>15</v>
      </c>
      <c r="D212" s="868">
        <f t="shared" ref="D212:F212" si="54">D93</f>
        <v>9.9999999999999995E-7</v>
      </c>
      <c r="E212" s="868" t="str">
        <f t="shared" si="54"/>
        <v>-</v>
      </c>
      <c r="F212" s="868">
        <f t="shared" si="54"/>
        <v>0</v>
      </c>
      <c r="G212" s="801"/>
      <c r="H212" s="1316"/>
      <c r="I212" s="863">
        <v>9</v>
      </c>
      <c r="J212" s="868">
        <f>I93</f>
        <v>30</v>
      </c>
      <c r="K212" s="868">
        <f t="shared" ref="K212:M212" si="55">J93</f>
        <v>-1.2</v>
      </c>
      <c r="L212" s="868" t="str">
        <f t="shared" si="55"/>
        <v>-</v>
      </c>
      <c r="M212" s="868">
        <f t="shared" si="55"/>
        <v>0</v>
      </c>
      <c r="N212" s="801"/>
      <c r="O212" s="861">
        <v>10</v>
      </c>
      <c r="P212" s="862">
        <f>O102</f>
        <v>0.3</v>
      </c>
      <c r="Q212" s="862">
        <f>O103</f>
        <v>1.5</v>
      </c>
    </row>
    <row r="213" spans="1:17">
      <c r="A213" s="1315"/>
      <c r="B213" s="863">
        <v>10</v>
      </c>
      <c r="C213" s="868">
        <f>C104</f>
        <v>15</v>
      </c>
      <c r="D213" s="868">
        <f t="shared" ref="D213:F213" si="56">D104</f>
        <v>0.2</v>
      </c>
      <c r="E213" s="868">
        <f t="shared" si="56"/>
        <v>0.2</v>
      </c>
      <c r="F213" s="868">
        <f t="shared" si="56"/>
        <v>0</v>
      </c>
      <c r="G213" s="801"/>
      <c r="H213" s="1316"/>
      <c r="I213" s="863">
        <v>10</v>
      </c>
      <c r="J213" s="868">
        <f>I104</f>
        <v>30</v>
      </c>
      <c r="K213" s="868">
        <f t="shared" ref="K213:M213" si="57">J104</f>
        <v>-2.9</v>
      </c>
      <c r="L213" s="868">
        <f t="shared" si="57"/>
        <v>-5.8</v>
      </c>
      <c r="M213" s="868">
        <f t="shared" si="57"/>
        <v>1.45</v>
      </c>
      <c r="N213" s="801"/>
      <c r="O213" s="861">
        <v>11</v>
      </c>
      <c r="P213" s="862">
        <f>O113</f>
        <v>0.3</v>
      </c>
      <c r="Q213" s="862">
        <f>O114</f>
        <v>1.8</v>
      </c>
    </row>
    <row r="214" spans="1:17">
      <c r="A214" s="1315"/>
      <c r="B214" s="863">
        <v>11</v>
      </c>
      <c r="C214" s="868">
        <f>C115</f>
        <v>15</v>
      </c>
      <c r="D214" s="868">
        <f t="shared" ref="D214:F214" si="58">D115</f>
        <v>0.3</v>
      </c>
      <c r="E214" s="868" t="str">
        <f t="shared" si="58"/>
        <v>-</v>
      </c>
      <c r="F214" s="868">
        <f t="shared" si="58"/>
        <v>0</v>
      </c>
      <c r="G214" s="801"/>
      <c r="H214" s="1316"/>
      <c r="I214" s="863">
        <v>11</v>
      </c>
      <c r="J214" s="868">
        <f>I115</f>
        <v>35</v>
      </c>
      <c r="K214" s="868">
        <f t="shared" ref="K214:M214" si="59">J115</f>
        <v>-5.2</v>
      </c>
      <c r="L214" s="868" t="str">
        <f t="shared" si="59"/>
        <v>-</v>
      </c>
      <c r="M214" s="868">
        <f t="shared" si="59"/>
        <v>0</v>
      </c>
      <c r="N214" s="801"/>
      <c r="O214" s="861">
        <v>12</v>
      </c>
      <c r="P214" s="862">
        <f>O124</f>
        <v>0.3</v>
      </c>
      <c r="Q214" s="869">
        <f>O125</f>
        <v>2.7</v>
      </c>
    </row>
    <row r="215" spans="1:17">
      <c r="A215" s="1315"/>
      <c r="B215" s="863">
        <v>12</v>
      </c>
      <c r="C215" s="868">
        <f>C126</f>
        <v>15</v>
      </c>
      <c r="D215" s="868">
        <f t="shared" ref="D215:F215" si="60">D126</f>
        <v>-0.6</v>
      </c>
      <c r="E215" s="868" t="str">
        <f t="shared" si="60"/>
        <v>-</v>
      </c>
      <c r="F215" s="868">
        <f t="shared" si="60"/>
        <v>0</v>
      </c>
      <c r="G215" s="801"/>
      <c r="H215" s="1316"/>
      <c r="I215" s="870">
        <v>12</v>
      </c>
      <c r="J215" s="868">
        <f>I126</f>
        <v>35</v>
      </c>
      <c r="K215" s="868">
        <f t="shared" ref="K215:M215" si="61">J126</f>
        <v>-0.4</v>
      </c>
      <c r="L215" s="868" t="str">
        <f t="shared" si="61"/>
        <v>-</v>
      </c>
      <c r="M215" s="868">
        <f t="shared" si="61"/>
        <v>0</v>
      </c>
      <c r="N215" s="801"/>
      <c r="O215" s="861">
        <v>13</v>
      </c>
      <c r="P215" s="862">
        <f>O135</f>
        <v>0.4</v>
      </c>
      <c r="Q215" s="862">
        <f>O136</f>
        <v>2.2000000000000002</v>
      </c>
    </row>
    <row r="216" spans="1:17">
      <c r="A216" s="1315"/>
      <c r="B216" s="863">
        <v>13</v>
      </c>
      <c r="C216" s="868">
        <f>C137</f>
        <v>15</v>
      </c>
      <c r="D216" s="868">
        <f t="shared" ref="D216:F216" si="62">D137</f>
        <v>-0.2</v>
      </c>
      <c r="E216" s="868" t="str">
        <f t="shared" si="62"/>
        <v>-</v>
      </c>
      <c r="F216" s="868">
        <f t="shared" si="62"/>
        <v>0</v>
      </c>
      <c r="G216" s="801"/>
      <c r="H216" s="1316"/>
      <c r="I216" s="863">
        <v>13</v>
      </c>
      <c r="J216" s="868">
        <f>I137</f>
        <v>35</v>
      </c>
      <c r="K216" s="868">
        <f t="shared" ref="K216:M216" si="63">J137</f>
        <v>0.6</v>
      </c>
      <c r="L216" s="868" t="str">
        <f t="shared" si="63"/>
        <v>-</v>
      </c>
      <c r="M216" s="868">
        <f t="shared" si="63"/>
        <v>0</v>
      </c>
      <c r="N216" s="801"/>
      <c r="O216" s="861">
        <v>14</v>
      </c>
      <c r="P216" s="862">
        <f>O146</f>
        <v>0.3</v>
      </c>
      <c r="Q216" s="862">
        <f>O147</f>
        <v>2.7</v>
      </c>
    </row>
    <row r="217" spans="1:17">
      <c r="A217" s="1315"/>
      <c r="B217" s="863">
        <v>14</v>
      </c>
      <c r="C217" s="868">
        <f>C148</f>
        <v>15</v>
      </c>
      <c r="D217" s="868">
        <f t="shared" ref="D217:F217" si="64">D148</f>
        <v>-0.7</v>
      </c>
      <c r="E217" s="868" t="str">
        <f t="shared" si="64"/>
        <v>-</v>
      </c>
      <c r="F217" s="868">
        <f t="shared" si="64"/>
        <v>0</v>
      </c>
      <c r="G217" s="801"/>
      <c r="H217" s="1316"/>
      <c r="I217" s="863">
        <v>14</v>
      </c>
      <c r="J217" s="868">
        <f>I148</f>
        <v>35</v>
      </c>
      <c r="K217" s="868">
        <f t="shared" ref="K217:M217" si="65">J148</f>
        <v>-1.4</v>
      </c>
      <c r="L217" s="868" t="str">
        <f t="shared" si="65"/>
        <v>-</v>
      </c>
      <c r="M217" s="868">
        <f t="shared" si="65"/>
        <v>0</v>
      </c>
      <c r="N217" s="801"/>
      <c r="O217" s="861">
        <v>15</v>
      </c>
      <c r="P217" s="862">
        <f>O157</f>
        <v>0.3</v>
      </c>
      <c r="Q217" s="862">
        <f>O158</f>
        <v>2.8</v>
      </c>
    </row>
    <row r="218" spans="1:17">
      <c r="A218" s="1315"/>
      <c r="B218" s="863">
        <v>15</v>
      </c>
      <c r="C218" s="868">
        <f>C159</f>
        <v>15</v>
      </c>
      <c r="D218" s="868">
        <f t="shared" ref="D218:F218" si="66">D159</f>
        <v>0.1</v>
      </c>
      <c r="E218" s="868" t="str">
        <f t="shared" si="66"/>
        <v>-</v>
      </c>
      <c r="F218" s="868">
        <f t="shared" si="66"/>
        <v>0</v>
      </c>
      <c r="G218" s="801"/>
      <c r="H218" s="1316"/>
      <c r="I218" s="863">
        <v>15</v>
      </c>
      <c r="J218" s="868">
        <f>I159</f>
        <v>30</v>
      </c>
      <c r="K218" s="868">
        <f t="shared" ref="K218:M218" si="67">J159</f>
        <v>0.1</v>
      </c>
      <c r="L218" s="868" t="str">
        <f t="shared" si="67"/>
        <v>-</v>
      </c>
      <c r="M218" s="868">
        <f t="shared" si="67"/>
        <v>0</v>
      </c>
      <c r="N218" s="801"/>
      <c r="O218" s="861">
        <v>16</v>
      </c>
      <c r="P218" s="862">
        <f>O168</f>
        <v>0.4</v>
      </c>
      <c r="Q218" s="871">
        <f>O169</f>
        <v>2.2000000000000002</v>
      </c>
    </row>
    <row r="219" spans="1:17">
      <c r="A219" s="1315"/>
      <c r="B219" s="863">
        <v>16</v>
      </c>
      <c r="C219" s="868">
        <f>C170</f>
        <v>15</v>
      </c>
      <c r="D219" s="868">
        <f t="shared" ref="D219:F219" si="68">D170</f>
        <v>0.1</v>
      </c>
      <c r="E219" s="868" t="str">
        <f t="shared" si="68"/>
        <v>-</v>
      </c>
      <c r="F219" s="868">
        <f t="shared" si="68"/>
        <v>0</v>
      </c>
      <c r="G219" s="801"/>
      <c r="H219" s="1316"/>
      <c r="I219" s="863">
        <v>16</v>
      </c>
      <c r="J219" s="868">
        <f>I170</f>
        <v>30</v>
      </c>
      <c r="K219" s="868">
        <f t="shared" ref="K219:M219" si="69">J170</f>
        <v>-1.6</v>
      </c>
      <c r="L219" s="868" t="str">
        <f t="shared" si="69"/>
        <v>-</v>
      </c>
      <c r="M219" s="868">
        <f t="shared" si="69"/>
        <v>0</v>
      </c>
      <c r="N219" s="801"/>
      <c r="O219" s="861">
        <v>17</v>
      </c>
      <c r="P219" s="862">
        <f>O179</f>
        <v>0.3</v>
      </c>
      <c r="Q219" s="871">
        <f>O180</f>
        <v>1.6</v>
      </c>
    </row>
    <row r="220" spans="1:17">
      <c r="A220" s="1315"/>
      <c r="B220" s="863">
        <v>17</v>
      </c>
      <c r="C220" s="868">
        <f>C181</f>
        <v>15</v>
      </c>
      <c r="D220" s="868">
        <f t="shared" ref="D220:F220" si="70">D181</f>
        <v>9.9999999999999995E-7</v>
      </c>
      <c r="E220" s="868" t="str">
        <f t="shared" si="70"/>
        <v>-</v>
      </c>
      <c r="F220" s="868">
        <f t="shared" si="70"/>
        <v>0</v>
      </c>
      <c r="G220" s="801"/>
      <c r="H220" s="1316"/>
      <c r="I220" s="863">
        <v>17</v>
      </c>
      <c r="J220" s="868">
        <f>I181</f>
        <v>30</v>
      </c>
      <c r="K220" s="868">
        <f t="shared" ref="K220:M220" si="71">J181</f>
        <v>-0.4</v>
      </c>
      <c r="L220" s="868" t="str">
        <f t="shared" si="71"/>
        <v>-</v>
      </c>
      <c r="M220" s="868">
        <f t="shared" si="71"/>
        <v>0</v>
      </c>
      <c r="N220" s="801"/>
      <c r="O220" s="861">
        <v>18</v>
      </c>
      <c r="P220" s="862">
        <f>O190</f>
        <v>0.3</v>
      </c>
      <c r="Q220" s="871">
        <f>O191</f>
        <v>2</v>
      </c>
    </row>
    <row r="221" spans="1:17">
      <c r="A221" s="1315"/>
      <c r="B221" s="863">
        <v>18</v>
      </c>
      <c r="C221" s="868">
        <f>C192</f>
        <v>15</v>
      </c>
      <c r="D221" s="868">
        <f t="shared" ref="D221:F221" si="72">D192</f>
        <v>9.9999999999999995E-7</v>
      </c>
      <c r="E221" s="868" t="str">
        <f t="shared" si="72"/>
        <v>-</v>
      </c>
      <c r="F221" s="868">
        <f t="shared" si="72"/>
        <v>0</v>
      </c>
      <c r="G221" s="801"/>
      <c r="H221" s="1316"/>
      <c r="I221" s="863">
        <v>18</v>
      </c>
      <c r="J221" s="868">
        <f>I192</f>
        <v>30</v>
      </c>
      <c r="K221" s="868">
        <f t="shared" ref="K221:M221" si="73">J192</f>
        <v>-0.4</v>
      </c>
      <c r="L221" s="868" t="str">
        <f t="shared" si="73"/>
        <v>-</v>
      </c>
      <c r="M221" s="868">
        <f t="shared" si="73"/>
        <v>0</v>
      </c>
      <c r="N221" s="801"/>
      <c r="O221" s="861">
        <v>19</v>
      </c>
      <c r="P221" s="872"/>
      <c r="Q221" s="872"/>
    </row>
    <row r="222" spans="1:17">
      <c r="A222" s="873"/>
      <c r="B222" s="874"/>
      <c r="C222" s="875"/>
      <c r="D222" s="875"/>
      <c r="E222" s="875"/>
      <c r="F222" s="876"/>
      <c r="G222" s="877"/>
      <c r="H222" s="878"/>
      <c r="I222" s="878"/>
      <c r="J222" s="879"/>
      <c r="K222" s="879"/>
      <c r="L222" s="879"/>
      <c r="M222" s="879"/>
      <c r="N222" s="877"/>
      <c r="O222" s="877"/>
      <c r="P222" s="877"/>
    </row>
    <row r="223" spans="1:17">
      <c r="A223" s="1315" t="s">
        <v>366</v>
      </c>
      <c r="B223" s="863">
        <v>1</v>
      </c>
      <c r="C223" s="868">
        <f>C6</f>
        <v>20</v>
      </c>
      <c r="D223" s="868">
        <f t="shared" ref="D223:F223" si="74">D6</f>
        <v>-0.2</v>
      </c>
      <c r="E223" s="868">
        <f t="shared" si="74"/>
        <v>0.2</v>
      </c>
      <c r="F223" s="868">
        <f t="shared" si="74"/>
        <v>0.2</v>
      </c>
      <c r="G223" s="801"/>
      <c r="H223" s="1316" t="s">
        <v>366</v>
      </c>
      <c r="I223" s="863">
        <v>1</v>
      </c>
      <c r="J223" s="868">
        <f>I6</f>
        <v>40</v>
      </c>
      <c r="K223" s="868">
        <f t="shared" ref="K223:M223" si="75">J50</f>
        <v>-7.2</v>
      </c>
      <c r="L223" s="868">
        <f t="shared" si="75"/>
        <v>-8</v>
      </c>
      <c r="M223" s="868">
        <f t="shared" si="75"/>
        <v>0.39999999999999991</v>
      </c>
      <c r="N223" s="801"/>
      <c r="O223" s="1317" t="s">
        <v>183</v>
      </c>
      <c r="P223" s="1318"/>
    </row>
    <row r="224" spans="1:17">
      <c r="A224" s="1315"/>
      <c r="B224" s="863">
        <v>2</v>
      </c>
      <c r="C224" s="868">
        <f>C17</f>
        <v>20</v>
      </c>
      <c r="D224" s="868">
        <f t="shared" ref="D224:F224" si="76">D17</f>
        <v>-0.1</v>
      </c>
      <c r="E224" s="868">
        <f t="shared" si="76"/>
        <v>0</v>
      </c>
      <c r="F224" s="868">
        <f t="shared" si="76"/>
        <v>0.05</v>
      </c>
      <c r="G224" s="801"/>
      <c r="H224" s="1316"/>
      <c r="I224" s="863">
        <v>2</v>
      </c>
      <c r="J224" s="868">
        <f>I17</f>
        <v>40</v>
      </c>
      <c r="K224" s="868">
        <f t="shared" ref="K224:M224" si="77">J17</f>
        <v>-1.6</v>
      </c>
      <c r="L224" s="868">
        <f t="shared" si="77"/>
        <v>-1.1000000000000001</v>
      </c>
      <c r="M224" s="868">
        <f t="shared" si="77"/>
        <v>0.25</v>
      </c>
      <c r="N224" s="801"/>
      <c r="O224" s="1319" t="s">
        <v>344</v>
      </c>
      <c r="P224" s="1320"/>
    </row>
    <row r="225" spans="1:15">
      <c r="A225" s="1315"/>
      <c r="B225" s="863">
        <v>3</v>
      </c>
      <c r="C225" s="864">
        <f>C28</f>
        <v>20</v>
      </c>
      <c r="D225" s="864">
        <f t="shared" ref="D225:F225" si="78">D28</f>
        <v>0</v>
      </c>
      <c r="E225" s="864">
        <f t="shared" si="78"/>
        <v>0</v>
      </c>
      <c r="F225" s="864">
        <f t="shared" si="78"/>
        <v>0</v>
      </c>
      <c r="G225" s="801"/>
      <c r="H225" s="1316"/>
      <c r="I225" s="863">
        <v>3</v>
      </c>
      <c r="J225" s="864">
        <f>I28</f>
        <v>40</v>
      </c>
      <c r="K225" s="864">
        <f t="shared" ref="K225:M225" si="79">J28</f>
        <v>-5.3</v>
      </c>
      <c r="L225" s="864">
        <f t="shared" si="79"/>
        <v>-1.9</v>
      </c>
      <c r="M225" s="864">
        <f t="shared" si="79"/>
        <v>1.7</v>
      </c>
      <c r="N225" s="801"/>
      <c r="O225" s="861">
        <v>1</v>
      </c>
    </row>
    <row r="226" spans="1:15">
      <c r="A226" s="1315"/>
      <c r="B226" s="863">
        <v>4</v>
      </c>
      <c r="C226" s="864">
        <f>C39</f>
        <v>20</v>
      </c>
      <c r="D226" s="864">
        <f t="shared" ref="D226:F226" si="80">D39</f>
        <v>-0.3</v>
      </c>
      <c r="E226" s="864">
        <f t="shared" si="80"/>
        <v>0</v>
      </c>
      <c r="F226" s="864">
        <f t="shared" si="80"/>
        <v>0.15</v>
      </c>
      <c r="G226" s="801"/>
      <c r="H226" s="1316"/>
      <c r="I226" s="863">
        <v>4</v>
      </c>
      <c r="J226" s="864">
        <f>I39</f>
        <v>40</v>
      </c>
      <c r="K226" s="864">
        <f t="shared" ref="K226:M226" si="81">J39</f>
        <v>-1.5</v>
      </c>
      <c r="L226" s="864">
        <f t="shared" si="81"/>
        <v>-0.9</v>
      </c>
      <c r="M226" s="864">
        <f t="shared" si="81"/>
        <v>0.3</v>
      </c>
      <c r="N226" s="801"/>
      <c r="O226" s="865">
        <v>2</v>
      </c>
    </row>
    <row r="227" spans="1:15">
      <c r="A227" s="1315"/>
      <c r="B227" s="863">
        <v>5</v>
      </c>
      <c r="C227" s="864">
        <f>C50</f>
        <v>20</v>
      </c>
      <c r="D227" s="864">
        <f t="shared" ref="D227:F227" si="82">D50</f>
        <v>0.1</v>
      </c>
      <c r="E227" s="864">
        <f t="shared" si="82"/>
        <v>0.3</v>
      </c>
      <c r="F227" s="864">
        <f t="shared" si="82"/>
        <v>9.9999999999999992E-2</v>
      </c>
      <c r="G227" s="801"/>
      <c r="H227" s="1316"/>
      <c r="I227" s="863">
        <v>5</v>
      </c>
      <c r="J227" s="864">
        <f>I50</f>
        <v>40</v>
      </c>
      <c r="K227" s="864">
        <f t="shared" ref="K227:M227" si="83">J50</f>
        <v>-7.2</v>
      </c>
      <c r="L227" s="864">
        <f t="shared" si="83"/>
        <v>-8</v>
      </c>
      <c r="M227" s="864">
        <f t="shared" si="83"/>
        <v>0.39999999999999991</v>
      </c>
      <c r="N227" s="801"/>
      <c r="O227" s="865">
        <v>3</v>
      </c>
    </row>
    <row r="228" spans="1:15">
      <c r="A228" s="1315"/>
      <c r="B228" s="863">
        <v>6</v>
      </c>
      <c r="C228" s="864">
        <f>C61</f>
        <v>20</v>
      </c>
      <c r="D228" s="864">
        <f t="shared" ref="D228:F228" si="84">D61</f>
        <v>0.3</v>
      </c>
      <c r="E228" s="864">
        <f t="shared" si="84"/>
        <v>0.2</v>
      </c>
      <c r="F228" s="864">
        <f t="shared" si="84"/>
        <v>4.9999999999999989E-2</v>
      </c>
      <c r="G228" s="801"/>
      <c r="H228" s="1316"/>
      <c r="I228" s="863">
        <v>6</v>
      </c>
      <c r="J228" s="864">
        <f>I61</f>
        <v>40</v>
      </c>
      <c r="K228" s="864">
        <f t="shared" ref="K228:M228" si="85">J61</f>
        <v>-3.8</v>
      </c>
      <c r="L228" s="864">
        <f t="shared" si="85"/>
        <v>-3.4</v>
      </c>
      <c r="M228" s="864">
        <f t="shared" si="85"/>
        <v>0.19999999999999996</v>
      </c>
      <c r="N228" s="801"/>
      <c r="O228" s="865">
        <v>4</v>
      </c>
    </row>
    <row r="229" spans="1:15">
      <c r="A229" s="1315"/>
      <c r="B229" s="863">
        <v>7</v>
      </c>
      <c r="C229" s="864">
        <f>C72</f>
        <v>20</v>
      </c>
      <c r="D229" s="864">
        <f t="shared" ref="D229:F229" si="86">D72</f>
        <v>0.1</v>
      </c>
      <c r="E229" s="864">
        <f t="shared" si="86"/>
        <v>0.1</v>
      </c>
      <c r="F229" s="864">
        <f t="shared" si="86"/>
        <v>0</v>
      </c>
      <c r="G229" s="801"/>
      <c r="H229" s="1316"/>
      <c r="I229" s="863">
        <v>7</v>
      </c>
      <c r="J229" s="864">
        <f>I72</f>
        <v>40</v>
      </c>
      <c r="K229" s="864">
        <f t="shared" ref="K229:M229" si="87">J72</f>
        <v>1.2</v>
      </c>
      <c r="L229" s="864">
        <f t="shared" si="87"/>
        <v>0</v>
      </c>
      <c r="M229" s="864">
        <f t="shared" si="87"/>
        <v>0.6</v>
      </c>
      <c r="N229" s="801"/>
      <c r="O229" s="865">
        <v>5</v>
      </c>
    </row>
    <row r="230" spans="1:15">
      <c r="A230" s="1315"/>
      <c r="B230" s="863">
        <v>8</v>
      </c>
      <c r="C230" s="864">
        <f>C83</f>
        <v>20</v>
      </c>
      <c r="D230" s="864">
        <f t="shared" ref="D230:F230" si="88">D83</f>
        <v>-0.2</v>
      </c>
      <c r="E230" s="864">
        <f t="shared" si="88"/>
        <v>-0.2</v>
      </c>
      <c r="F230" s="864">
        <f t="shared" si="88"/>
        <v>0</v>
      </c>
      <c r="G230" s="801"/>
      <c r="H230" s="1316"/>
      <c r="I230" s="863">
        <v>8</v>
      </c>
      <c r="J230" s="864">
        <f>I83</f>
        <v>40</v>
      </c>
      <c r="K230" s="864">
        <f t="shared" ref="K230:M230" si="89">J83</f>
        <v>-1.2</v>
      </c>
      <c r="L230" s="864">
        <f t="shared" si="89"/>
        <v>1.1000000000000001</v>
      </c>
      <c r="M230" s="864">
        <f t="shared" si="89"/>
        <v>1.1499999999999999</v>
      </c>
      <c r="N230" s="801"/>
      <c r="O230" s="861">
        <v>6</v>
      </c>
    </row>
    <row r="231" spans="1:15">
      <c r="A231" s="1315"/>
      <c r="B231" s="863">
        <v>9</v>
      </c>
      <c r="C231" s="864">
        <f>C94</f>
        <v>20</v>
      </c>
      <c r="D231" s="864">
        <f t="shared" ref="D231:F231" si="90">D94</f>
        <v>-0.2</v>
      </c>
      <c r="E231" s="864" t="str">
        <f t="shared" si="90"/>
        <v>-</v>
      </c>
      <c r="F231" s="864">
        <f t="shared" si="90"/>
        <v>0</v>
      </c>
      <c r="G231" s="801"/>
      <c r="H231" s="1316"/>
      <c r="I231" s="863">
        <v>9</v>
      </c>
      <c r="J231" s="864">
        <f>I94</f>
        <v>40</v>
      </c>
      <c r="K231" s="864">
        <f t="shared" ref="K231:M231" si="91">J94</f>
        <v>-1</v>
      </c>
      <c r="L231" s="864" t="str">
        <f t="shared" si="91"/>
        <v>-</v>
      </c>
      <c r="M231" s="864">
        <f t="shared" si="91"/>
        <v>0</v>
      </c>
      <c r="N231" s="801"/>
      <c r="O231" s="861">
        <v>7</v>
      </c>
    </row>
    <row r="232" spans="1:15">
      <c r="A232" s="1315"/>
      <c r="B232" s="863">
        <v>10</v>
      </c>
      <c r="C232" s="864">
        <f>C105</f>
        <v>20</v>
      </c>
      <c r="D232" s="864">
        <f t="shared" ref="D232:F232" si="92">D105</f>
        <v>0.2</v>
      </c>
      <c r="E232" s="864">
        <f t="shared" si="92"/>
        <v>-0.7</v>
      </c>
      <c r="F232" s="864">
        <f t="shared" si="92"/>
        <v>0.44999999999999996</v>
      </c>
      <c r="G232" s="801"/>
      <c r="H232" s="1316"/>
      <c r="I232" s="863">
        <v>10</v>
      </c>
      <c r="J232" s="864">
        <f>I105</f>
        <v>40</v>
      </c>
      <c r="K232" s="864">
        <f t="shared" ref="K232:M232" si="93">J105</f>
        <v>-3.3</v>
      </c>
      <c r="L232" s="864">
        <f t="shared" si="93"/>
        <v>-6.4</v>
      </c>
      <c r="M232" s="864">
        <f t="shared" si="93"/>
        <v>1.5500000000000003</v>
      </c>
      <c r="N232" s="801"/>
      <c r="O232" s="861">
        <v>8</v>
      </c>
    </row>
    <row r="233" spans="1:15">
      <c r="A233" s="1315"/>
      <c r="B233" s="863">
        <v>11</v>
      </c>
      <c r="C233" s="864">
        <f>C116</f>
        <v>20</v>
      </c>
      <c r="D233" s="864">
        <f t="shared" ref="D233:F233" si="94">D116</f>
        <v>0.4</v>
      </c>
      <c r="E233" s="864" t="str">
        <f t="shared" si="94"/>
        <v>-</v>
      </c>
      <c r="F233" s="864">
        <f t="shared" si="94"/>
        <v>0</v>
      </c>
      <c r="G233" s="801"/>
      <c r="H233" s="1316"/>
      <c r="I233" s="863">
        <v>11</v>
      </c>
      <c r="J233" s="864">
        <f>I116</f>
        <v>40</v>
      </c>
      <c r="K233" s="864">
        <f t="shared" ref="K233:M233" si="95">J116</f>
        <v>-5.5</v>
      </c>
      <c r="L233" s="864" t="str">
        <f t="shared" si="95"/>
        <v>-</v>
      </c>
      <c r="M233" s="864">
        <f t="shared" si="95"/>
        <v>0</v>
      </c>
      <c r="N233" s="801"/>
      <c r="O233" s="861">
        <v>9</v>
      </c>
    </row>
    <row r="234" spans="1:15">
      <c r="A234" s="1315"/>
      <c r="B234" s="863">
        <v>12</v>
      </c>
      <c r="C234" s="864">
        <f>C127</f>
        <v>20</v>
      </c>
      <c r="D234" s="864">
        <f t="shared" ref="D234:F234" si="96">D127</f>
        <v>-0.5</v>
      </c>
      <c r="E234" s="864" t="str">
        <f t="shared" si="96"/>
        <v>-</v>
      </c>
      <c r="F234" s="864">
        <f t="shared" si="96"/>
        <v>0</v>
      </c>
      <c r="G234" s="801"/>
      <c r="H234" s="1316"/>
      <c r="I234" s="863">
        <v>12</v>
      </c>
      <c r="J234" s="864">
        <f>I127</f>
        <v>40</v>
      </c>
      <c r="K234" s="864">
        <f t="shared" ref="K234:M234" si="97">J127</f>
        <v>-0.3</v>
      </c>
      <c r="L234" s="864" t="str">
        <f t="shared" si="97"/>
        <v>-</v>
      </c>
      <c r="M234" s="864">
        <f t="shared" si="97"/>
        <v>0</v>
      </c>
      <c r="N234" s="801"/>
      <c r="O234" s="861">
        <v>10</v>
      </c>
    </row>
    <row r="235" spans="1:15">
      <c r="A235" s="1315"/>
      <c r="B235" s="863">
        <v>13</v>
      </c>
      <c r="C235" s="864">
        <f>C138</f>
        <v>20</v>
      </c>
      <c r="D235" s="864">
        <f t="shared" ref="D235:F235" si="98">D138</f>
        <v>-0.1</v>
      </c>
      <c r="E235" s="864" t="str">
        <f t="shared" si="98"/>
        <v>-</v>
      </c>
      <c r="F235" s="864">
        <f t="shared" si="98"/>
        <v>0</v>
      </c>
      <c r="G235" s="801"/>
      <c r="H235" s="1316"/>
      <c r="I235" s="863">
        <v>13</v>
      </c>
      <c r="J235" s="864">
        <f>I138</f>
        <v>40</v>
      </c>
      <c r="K235" s="864">
        <f t="shared" ref="K235:M235" si="99">J138</f>
        <v>0.3</v>
      </c>
      <c r="L235" s="864" t="str">
        <f t="shared" si="99"/>
        <v>-</v>
      </c>
      <c r="M235" s="864">
        <f t="shared" si="99"/>
        <v>0</v>
      </c>
      <c r="N235" s="801"/>
      <c r="O235" s="861">
        <v>11</v>
      </c>
    </row>
    <row r="236" spans="1:15">
      <c r="A236" s="1315"/>
      <c r="B236" s="863">
        <v>14</v>
      </c>
      <c r="C236" s="864">
        <f>C149</f>
        <v>20</v>
      </c>
      <c r="D236" s="864">
        <f t="shared" ref="D236:F236" si="100">D149</f>
        <v>-0.4</v>
      </c>
      <c r="E236" s="864" t="str">
        <f t="shared" si="100"/>
        <v>-</v>
      </c>
      <c r="F236" s="864">
        <f t="shared" si="100"/>
        <v>0</v>
      </c>
      <c r="G236" s="801"/>
      <c r="H236" s="1316"/>
      <c r="I236" s="863">
        <v>14</v>
      </c>
      <c r="J236" s="864">
        <f>I149</f>
        <v>40</v>
      </c>
      <c r="K236" s="864">
        <f t="shared" ref="K236:M236" si="101">J149</f>
        <v>-1.3</v>
      </c>
      <c r="L236" s="864" t="str">
        <f t="shared" si="101"/>
        <v>-</v>
      </c>
      <c r="M236" s="864">
        <f t="shared" si="101"/>
        <v>0</v>
      </c>
      <c r="N236" s="801"/>
      <c r="O236" s="861">
        <v>12</v>
      </c>
    </row>
    <row r="237" spans="1:15">
      <c r="A237" s="1315"/>
      <c r="B237" s="863">
        <v>15</v>
      </c>
      <c r="C237" s="864">
        <f>C160</f>
        <v>20</v>
      </c>
      <c r="D237" s="864">
        <f t="shared" ref="D237:F237" si="102">D160</f>
        <v>0.1</v>
      </c>
      <c r="E237" s="864" t="str">
        <f t="shared" si="102"/>
        <v>-</v>
      </c>
      <c r="F237" s="864">
        <f t="shared" si="102"/>
        <v>0</v>
      </c>
      <c r="G237" s="801"/>
      <c r="H237" s="1316"/>
      <c r="I237" s="863">
        <v>15</v>
      </c>
      <c r="J237" s="864">
        <f>I160</f>
        <v>40</v>
      </c>
      <c r="K237" s="864">
        <f t="shared" ref="K237:M237" si="103">J160</f>
        <v>0.2</v>
      </c>
      <c r="L237" s="864" t="str">
        <f t="shared" si="103"/>
        <v>-</v>
      </c>
      <c r="M237" s="864">
        <f t="shared" si="103"/>
        <v>0</v>
      </c>
      <c r="N237" s="801"/>
      <c r="O237" s="861">
        <v>13</v>
      </c>
    </row>
    <row r="238" spans="1:15">
      <c r="A238" s="1315"/>
      <c r="B238" s="863">
        <v>16</v>
      </c>
      <c r="C238" s="864">
        <f>C171</f>
        <v>20</v>
      </c>
      <c r="D238" s="864">
        <f t="shared" ref="D238:F238" si="104">D171</f>
        <v>0.2</v>
      </c>
      <c r="E238" s="864" t="str">
        <f t="shared" si="104"/>
        <v>-</v>
      </c>
      <c r="F238" s="864">
        <f t="shared" si="104"/>
        <v>0</v>
      </c>
      <c r="G238" s="801"/>
      <c r="H238" s="1316"/>
      <c r="I238" s="863">
        <v>16</v>
      </c>
      <c r="J238" s="864">
        <f>I171</f>
        <v>40</v>
      </c>
      <c r="K238" s="864">
        <f t="shared" ref="K238:M238" si="105">J171</f>
        <v>-1.4</v>
      </c>
      <c r="L238" s="864" t="str">
        <f t="shared" si="105"/>
        <v>-</v>
      </c>
      <c r="M238" s="864">
        <f t="shared" si="105"/>
        <v>0</v>
      </c>
      <c r="N238" s="801"/>
      <c r="O238" s="861">
        <v>14</v>
      </c>
    </row>
    <row r="239" spans="1:15">
      <c r="A239" s="1315"/>
      <c r="B239" s="863">
        <v>17</v>
      </c>
      <c r="C239" s="864">
        <f>C182</f>
        <v>20</v>
      </c>
      <c r="D239" s="864">
        <f t="shared" ref="D239:F239" si="106">D182</f>
        <v>-0.1</v>
      </c>
      <c r="E239" s="864" t="str">
        <f t="shared" si="106"/>
        <v>-</v>
      </c>
      <c r="F239" s="864">
        <f t="shared" si="106"/>
        <v>0</v>
      </c>
      <c r="G239" s="801"/>
      <c r="H239" s="1316"/>
      <c r="I239" s="863">
        <v>17</v>
      </c>
      <c r="J239" s="864">
        <f>I182</f>
        <v>40</v>
      </c>
      <c r="K239" s="864">
        <f t="shared" ref="K239:M239" si="107">J182</f>
        <v>-0.2</v>
      </c>
      <c r="L239" s="864" t="str">
        <f t="shared" si="107"/>
        <v>-</v>
      </c>
      <c r="M239" s="864">
        <f t="shared" si="107"/>
        <v>0</v>
      </c>
      <c r="N239" s="801"/>
      <c r="O239" s="880">
        <v>15</v>
      </c>
    </row>
    <row r="240" spans="1:15">
      <c r="A240" s="1315"/>
      <c r="B240" s="863">
        <v>18</v>
      </c>
      <c r="C240" s="864">
        <f>C193</f>
        <v>20</v>
      </c>
      <c r="D240" s="864">
        <f t="shared" ref="D240:F240" si="108">D193</f>
        <v>9.9999999999999995E-7</v>
      </c>
      <c r="E240" s="864" t="str">
        <f t="shared" si="108"/>
        <v>-</v>
      </c>
      <c r="F240" s="864">
        <f t="shared" si="108"/>
        <v>0</v>
      </c>
      <c r="G240" s="801"/>
      <c r="H240" s="1316"/>
      <c r="I240" s="863">
        <v>18</v>
      </c>
      <c r="J240" s="864">
        <f>I193</f>
        <v>40</v>
      </c>
      <c r="K240" s="864">
        <f t="shared" ref="K240:M240" si="109">J193</f>
        <v>-0.1</v>
      </c>
      <c r="L240" s="864" t="str">
        <f t="shared" si="109"/>
        <v>-</v>
      </c>
      <c r="M240" s="864">
        <f t="shared" si="109"/>
        <v>0</v>
      </c>
      <c r="N240" s="801"/>
      <c r="O240" s="861">
        <v>16</v>
      </c>
    </row>
    <row r="241" spans="1:16">
      <c r="A241" s="873"/>
      <c r="B241" s="874"/>
      <c r="C241" s="881"/>
      <c r="D241" s="881"/>
      <c r="E241" s="881"/>
      <c r="F241" s="882"/>
      <c r="G241" s="877"/>
      <c r="H241" s="873"/>
      <c r="I241" s="874"/>
      <c r="J241" s="881"/>
      <c r="K241" s="881"/>
      <c r="L241" s="881"/>
      <c r="M241" s="882"/>
      <c r="N241" s="801"/>
      <c r="O241" s="880">
        <v>17</v>
      </c>
    </row>
    <row r="242" spans="1:16">
      <c r="A242" s="1315" t="s">
        <v>367</v>
      </c>
      <c r="B242" s="863">
        <v>1</v>
      </c>
      <c r="C242" s="864">
        <f>C7</f>
        <v>25</v>
      </c>
      <c r="D242" s="864">
        <f t="shared" ref="D242:F242" si="110">D7</f>
        <v>0</v>
      </c>
      <c r="E242" s="864">
        <f t="shared" si="110"/>
        <v>0.1</v>
      </c>
      <c r="F242" s="864">
        <f t="shared" si="110"/>
        <v>0.05</v>
      </c>
      <c r="G242" s="801"/>
      <c r="H242" s="1316" t="s">
        <v>367</v>
      </c>
      <c r="I242" s="863">
        <v>1</v>
      </c>
      <c r="J242" s="864">
        <f>I7</f>
        <v>50</v>
      </c>
      <c r="K242" s="864">
        <f t="shared" ref="K242:M242" si="111">J7</f>
        <v>-5.3</v>
      </c>
      <c r="L242" s="864">
        <f t="shared" si="111"/>
        <v>-7.2</v>
      </c>
      <c r="M242" s="864">
        <f t="shared" si="111"/>
        <v>0.95000000000000018</v>
      </c>
      <c r="N242" s="801"/>
      <c r="O242" s="861">
        <v>18</v>
      </c>
    </row>
    <row r="243" spans="1:16">
      <c r="A243" s="1315"/>
      <c r="B243" s="863">
        <v>2</v>
      </c>
      <c r="C243" s="864">
        <f>C18</f>
        <v>25</v>
      </c>
      <c r="D243" s="864">
        <f t="shared" ref="D243:F243" si="112">D18</f>
        <v>-0.2</v>
      </c>
      <c r="E243" s="864">
        <f t="shared" si="112"/>
        <v>-0.5</v>
      </c>
      <c r="F243" s="864">
        <f t="shared" si="112"/>
        <v>0.15</v>
      </c>
      <c r="G243" s="801"/>
      <c r="H243" s="1316"/>
      <c r="I243" s="863">
        <v>2</v>
      </c>
      <c r="J243" s="864">
        <f>I18</f>
        <v>50</v>
      </c>
      <c r="K243" s="864">
        <f t="shared" ref="K243:M243" si="113">J18</f>
        <v>-1.5</v>
      </c>
      <c r="L243" s="864">
        <f t="shared" si="113"/>
        <v>-1.4</v>
      </c>
      <c r="M243" s="864">
        <f t="shared" si="113"/>
        <v>5.0000000000000044E-2</v>
      </c>
      <c r="N243" s="801"/>
    </row>
    <row r="244" spans="1:16">
      <c r="A244" s="1315"/>
      <c r="B244" s="863">
        <v>3</v>
      </c>
      <c r="C244" s="864">
        <f>C29</f>
        <v>25</v>
      </c>
      <c r="D244" s="864">
        <f t="shared" ref="D244:F244" si="114">D29</f>
        <v>-0.1</v>
      </c>
      <c r="E244" s="864">
        <f t="shared" si="114"/>
        <v>-0.2</v>
      </c>
      <c r="F244" s="864">
        <f t="shared" si="114"/>
        <v>0.05</v>
      </c>
      <c r="G244" s="801"/>
      <c r="H244" s="1316"/>
      <c r="I244" s="863">
        <v>3</v>
      </c>
      <c r="J244" s="864">
        <f>I29</f>
        <v>50</v>
      </c>
      <c r="K244" s="864">
        <f t="shared" ref="K244:M244" si="115">J29</f>
        <v>-4.9000000000000004</v>
      </c>
      <c r="L244" s="864">
        <f t="shared" si="115"/>
        <v>-2.2999999999999998</v>
      </c>
      <c r="M244" s="864">
        <f t="shared" si="115"/>
        <v>1.3000000000000003</v>
      </c>
      <c r="N244" s="801"/>
      <c r="O244" s="801"/>
      <c r="P244" s="801"/>
    </row>
    <row r="245" spans="1:16">
      <c r="A245" s="1315"/>
      <c r="B245" s="863">
        <v>4</v>
      </c>
      <c r="C245" s="864">
        <f>C40</f>
        <v>25</v>
      </c>
      <c r="D245" s="864">
        <f t="shared" ref="D245:F245" si="116">D40</f>
        <v>-0.5</v>
      </c>
      <c r="E245" s="864">
        <f t="shared" si="116"/>
        <v>-0.5</v>
      </c>
      <c r="F245" s="864">
        <f t="shared" si="116"/>
        <v>0</v>
      </c>
      <c r="G245" s="801"/>
      <c r="H245" s="1316"/>
      <c r="I245" s="863">
        <v>4</v>
      </c>
      <c r="J245" s="864">
        <f>I40</f>
        <v>50</v>
      </c>
      <c r="K245" s="864">
        <f t="shared" ref="K245:M245" si="117">J40</f>
        <v>-1</v>
      </c>
      <c r="L245" s="864">
        <f t="shared" si="117"/>
        <v>-1</v>
      </c>
      <c r="M245" s="864">
        <f t="shared" si="117"/>
        <v>0</v>
      </c>
      <c r="N245" s="801"/>
      <c r="O245" s="801"/>
      <c r="P245" s="801"/>
    </row>
    <row r="246" spans="1:16">
      <c r="A246" s="1315"/>
      <c r="B246" s="863">
        <v>5</v>
      </c>
      <c r="C246" s="864">
        <f>C51</f>
        <v>25</v>
      </c>
      <c r="D246" s="864">
        <f t="shared" ref="D246:F246" si="118">D51</f>
        <v>0.4</v>
      </c>
      <c r="E246" s="864">
        <f t="shared" si="118"/>
        <v>0.2</v>
      </c>
      <c r="F246" s="864">
        <f t="shared" si="118"/>
        <v>0.1</v>
      </c>
      <c r="G246" s="801"/>
      <c r="H246" s="1316"/>
      <c r="I246" s="863">
        <v>5</v>
      </c>
      <c r="J246" s="864">
        <f>I51</f>
        <v>50</v>
      </c>
      <c r="K246" s="864">
        <f t="shared" ref="K246:M246" si="119">J51</f>
        <v>-6.2</v>
      </c>
      <c r="L246" s="864">
        <f t="shared" si="119"/>
        <v>-6.2</v>
      </c>
      <c r="M246" s="864">
        <f t="shared" si="119"/>
        <v>0</v>
      </c>
      <c r="N246" s="801"/>
      <c r="O246" s="801"/>
      <c r="P246" s="801"/>
    </row>
    <row r="247" spans="1:16">
      <c r="A247" s="1315"/>
      <c r="B247" s="863">
        <v>6</v>
      </c>
      <c r="C247" s="864">
        <f>C62</f>
        <v>25</v>
      </c>
      <c r="D247" s="864">
        <f t="shared" ref="D247:F247" si="120">D62</f>
        <v>0.2</v>
      </c>
      <c r="E247" s="864">
        <f t="shared" si="120"/>
        <v>-0.1</v>
      </c>
      <c r="F247" s="864">
        <f t="shared" si="120"/>
        <v>0.15000000000000002</v>
      </c>
      <c r="G247" s="801"/>
      <c r="H247" s="1316"/>
      <c r="I247" s="863">
        <v>6</v>
      </c>
      <c r="J247" s="864">
        <f>I62</f>
        <v>50</v>
      </c>
      <c r="K247" s="864">
        <f t="shared" ref="K247:M247" si="121">J62</f>
        <v>-5.4</v>
      </c>
      <c r="L247" s="864">
        <f t="shared" si="121"/>
        <v>-2.5</v>
      </c>
      <c r="M247" s="864">
        <f t="shared" si="121"/>
        <v>1.4500000000000002</v>
      </c>
      <c r="N247" s="801"/>
      <c r="O247" s="801"/>
      <c r="P247" s="801"/>
    </row>
    <row r="248" spans="1:16">
      <c r="A248" s="1315"/>
      <c r="B248" s="863">
        <v>7</v>
      </c>
      <c r="C248" s="864">
        <f>C73</f>
        <v>25</v>
      </c>
      <c r="D248" s="864">
        <f t="shared" ref="D248:F248" si="122">D73</f>
        <v>-0.2</v>
      </c>
      <c r="E248" s="864">
        <f t="shared" si="122"/>
        <v>9.9999999999999995E-7</v>
      </c>
      <c r="F248" s="864">
        <f t="shared" si="122"/>
        <v>0.10000050000000001</v>
      </c>
      <c r="G248" s="801"/>
      <c r="H248" s="1316"/>
      <c r="I248" s="863">
        <v>7</v>
      </c>
      <c r="J248" s="864">
        <f>I73</f>
        <v>50</v>
      </c>
      <c r="K248" s="864">
        <f t="shared" ref="K248:M248" si="123">J73</f>
        <v>0.8</v>
      </c>
      <c r="L248" s="864">
        <f t="shared" si="123"/>
        <v>0.6</v>
      </c>
      <c r="M248" s="864">
        <f t="shared" si="123"/>
        <v>0.10000000000000003</v>
      </c>
      <c r="N248" s="801"/>
      <c r="O248" s="801"/>
      <c r="P248" s="801"/>
    </row>
    <row r="249" spans="1:16">
      <c r="A249" s="1315"/>
      <c r="B249" s="863">
        <v>8</v>
      </c>
      <c r="C249" s="864">
        <f>C84</f>
        <v>25</v>
      </c>
      <c r="D249" s="864">
        <f t="shared" ref="D249:F249" si="124">D84</f>
        <v>-0.4</v>
      </c>
      <c r="E249" s="864">
        <f t="shared" si="124"/>
        <v>-0.2</v>
      </c>
      <c r="F249" s="864">
        <f t="shared" si="124"/>
        <v>0.1</v>
      </c>
      <c r="G249" s="801"/>
      <c r="H249" s="1316"/>
      <c r="I249" s="863">
        <v>8</v>
      </c>
      <c r="J249" s="864">
        <f>I84</f>
        <v>50</v>
      </c>
      <c r="K249" s="864">
        <f t="shared" ref="K249:M249" si="125">J84</f>
        <v>-1.2</v>
      </c>
      <c r="L249" s="864">
        <f t="shared" si="125"/>
        <v>1.3</v>
      </c>
      <c r="M249" s="864">
        <f t="shared" si="125"/>
        <v>1.25</v>
      </c>
      <c r="N249" s="801"/>
      <c r="O249" s="801"/>
      <c r="P249" s="801"/>
    </row>
    <row r="250" spans="1:16">
      <c r="A250" s="1315"/>
      <c r="B250" s="863">
        <v>9</v>
      </c>
      <c r="C250" s="864">
        <f>C95</f>
        <v>25</v>
      </c>
      <c r="D250" s="864">
        <f t="shared" ref="D250:F250" si="126">D95</f>
        <v>-0.4</v>
      </c>
      <c r="E250" s="864" t="str">
        <f t="shared" si="126"/>
        <v>-</v>
      </c>
      <c r="F250" s="864">
        <f t="shared" si="126"/>
        <v>0</v>
      </c>
      <c r="G250" s="801"/>
      <c r="H250" s="1316"/>
      <c r="I250" s="863">
        <v>9</v>
      </c>
      <c r="J250" s="864">
        <f>I95</f>
        <v>50</v>
      </c>
      <c r="K250" s="864">
        <f t="shared" ref="K250:M250" si="127">J95</f>
        <v>-0.9</v>
      </c>
      <c r="L250" s="864" t="str">
        <f t="shared" si="127"/>
        <v>-</v>
      </c>
      <c r="M250" s="864">
        <f t="shared" si="127"/>
        <v>0</v>
      </c>
      <c r="N250" s="801"/>
      <c r="O250" s="801"/>
      <c r="P250" s="801"/>
    </row>
    <row r="251" spans="1:16">
      <c r="A251" s="1315"/>
      <c r="B251" s="863">
        <v>10</v>
      </c>
      <c r="C251" s="864">
        <f>C106</f>
        <v>25</v>
      </c>
      <c r="D251" s="864">
        <f t="shared" ref="D251:F251" si="128">D106</f>
        <v>0.1</v>
      </c>
      <c r="E251" s="864">
        <f t="shared" si="128"/>
        <v>-0.5</v>
      </c>
      <c r="F251" s="864">
        <f t="shared" si="128"/>
        <v>0.3</v>
      </c>
      <c r="G251" s="801"/>
      <c r="H251" s="1316"/>
      <c r="I251" s="863">
        <v>10</v>
      </c>
      <c r="J251" s="864">
        <f>I106</f>
        <v>50</v>
      </c>
      <c r="K251" s="864">
        <f t="shared" ref="K251:M251" si="129">J106</f>
        <v>-3.1</v>
      </c>
      <c r="L251" s="864">
        <f t="shared" si="129"/>
        <v>-6.1</v>
      </c>
      <c r="M251" s="864">
        <f t="shared" si="129"/>
        <v>1.4999999999999998</v>
      </c>
      <c r="N251" s="801"/>
      <c r="O251" s="801"/>
      <c r="P251" s="801"/>
    </row>
    <row r="252" spans="1:16">
      <c r="A252" s="1315"/>
      <c r="B252" s="863">
        <v>11</v>
      </c>
      <c r="C252" s="864">
        <f>C117</f>
        <v>25</v>
      </c>
      <c r="D252" s="864">
        <f t="shared" ref="D252:F252" si="130">D117</f>
        <v>0.4</v>
      </c>
      <c r="E252" s="864" t="str">
        <f t="shared" si="130"/>
        <v>-</v>
      </c>
      <c r="F252" s="864">
        <f t="shared" si="130"/>
        <v>0</v>
      </c>
      <c r="G252" s="801"/>
      <c r="H252" s="1316"/>
      <c r="I252" s="863">
        <v>11</v>
      </c>
      <c r="J252" s="864">
        <f>I117</f>
        <v>50</v>
      </c>
      <c r="K252" s="864">
        <f t="shared" ref="K252:M252" si="131">J117</f>
        <v>-5.5</v>
      </c>
      <c r="L252" s="864" t="str">
        <f t="shared" si="131"/>
        <v>-</v>
      </c>
      <c r="M252" s="864">
        <f t="shared" si="131"/>
        <v>0</v>
      </c>
      <c r="N252" s="801"/>
      <c r="O252" s="801"/>
      <c r="P252" s="801"/>
    </row>
    <row r="253" spans="1:16">
      <c r="A253" s="1315"/>
      <c r="B253" s="863">
        <v>12</v>
      </c>
      <c r="C253" s="864">
        <f>C128</f>
        <v>25</v>
      </c>
      <c r="D253" s="864">
        <f t="shared" ref="D253:F253" si="132">D128</f>
        <v>-0.4</v>
      </c>
      <c r="E253" s="864" t="str">
        <f t="shared" si="132"/>
        <v>-</v>
      </c>
      <c r="F253" s="864">
        <f t="shared" si="132"/>
        <v>0</v>
      </c>
      <c r="G253" s="801"/>
      <c r="H253" s="1316"/>
      <c r="I253" s="863">
        <v>12</v>
      </c>
      <c r="J253" s="864">
        <f>I128</f>
        <v>50</v>
      </c>
      <c r="K253" s="864">
        <f t="shared" ref="K253:M253" si="133">J128</f>
        <v>-0.3</v>
      </c>
      <c r="L253" s="864" t="str">
        <f t="shared" si="133"/>
        <v>-</v>
      </c>
      <c r="M253" s="864">
        <f t="shared" si="133"/>
        <v>0</v>
      </c>
      <c r="N253" s="801"/>
      <c r="O253" s="801"/>
      <c r="P253" s="801"/>
    </row>
    <row r="254" spans="1:16">
      <c r="A254" s="1315"/>
      <c r="B254" s="863">
        <v>13</v>
      </c>
      <c r="C254" s="864">
        <f>C139</f>
        <v>25</v>
      </c>
      <c r="D254" s="864">
        <f t="shared" ref="D254:F254" si="134">D139</f>
        <v>-0.1</v>
      </c>
      <c r="E254" s="864" t="str">
        <f t="shared" si="134"/>
        <v>-</v>
      </c>
      <c r="F254" s="864">
        <f t="shared" si="134"/>
        <v>0</v>
      </c>
      <c r="G254" s="801"/>
      <c r="H254" s="1316"/>
      <c r="I254" s="863">
        <v>13</v>
      </c>
      <c r="J254" s="864">
        <f>I139</f>
        <v>50</v>
      </c>
      <c r="K254" s="864">
        <f t="shared" ref="K254:M254" si="135">J139</f>
        <v>-0.2</v>
      </c>
      <c r="L254" s="864" t="str">
        <f t="shared" si="135"/>
        <v>-</v>
      </c>
      <c r="M254" s="864">
        <f t="shared" si="135"/>
        <v>0</v>
      </c>
      <c r="N254" s="801"/>
      <c r="O254" s="801"/>
      <c r="P254" s="801"/>
    </row>
    <row r="255" spans="1:16">
      <c r="A255" s="1315"/>
      <c r="B255" s="863">
        <v>14</v>
      </c>
      <c r="C255" s="864">
        <f>C150</f>
        <v>25</v>
      </c>
      <c r="D255" s="864">
        <f t="shared" ref="D255:F255" si="136">D150</f>
        <v>-0.2</v>
      </c>
      <c r="E255" s="864" t="str">
        <f t="shared" si="136"/>
        <v>-</v>
      </c>
      <c r="F255" s="864">
        <f t="shared" si="136"/>
        <v>0</v>
      </c>
      <c r="G255" s="801"/>
      <c r="H255" s="1316"/>
      <c r="I255" s="863">
        <v>14</v>
      </c>
      <c r="J255" s="864">
        <f>I150</f>
        <v>50</v>
      </c>
      <c r="K255" s="864">
        <f t="shared" ref="K255:M255" si="137">J150</f>
        <v>-1.3</v>
      </c>
      <c r="L255" s="864" t="str">
        <f t="shared" si="137"/>
        <v>-</v>
      </c>
      <c r="M255" s="864">
        <f t="shared" si="137"/>
        <v>0</v>
      </c>
      <c r="N255" s="801"/>
      <c r="O255" s="801"/>
      <c r="P255" s="801"/>
    </row>
    <row r="256" spans="1:16">
      <c r="A256" s="1315"/>
      <c r="B256" s="863">
        <v>15</v>
      </c>
      <c r="C256" s="864">
        <f>C161</f>
        <v>25</v>
      </c>
      <c r="D256" s="864">
        <f t="shared" ref="D256:F256" si="138">D161</f>
        <v>9.9999999999999995E-7</v>
      </c>
      <c r="E256" s="864" t="str">
        <f t="shared" si="138"/>
        <v>-</v>
      </c>
      <c r="F256" s="864">
        <f t="shared" si="138"/>
        <v>0</v>
      </c>
      <c r="G256" s="801"/>
      <c r="H256" s="1316"/>
      <c r="I256" s="863">
        <v>15</v>
      </c>
      <c r="J256" s="864">
        <f>I161</f>
        <v>50</v>
      </c>
      <c r="K256" s="864">
        <f t="shared" ref="K256:M256" si="139">J161</f>
        <v>0.2</v>
      </c>
      <c r="L256" s="864" t="str">
        <f t="shared" si="139"/>
        <v>-</v>
      </c>
      <c r="M256" s="864">
        <f t="shared" si="139"/>
        <v>0</v>
      </c>
      <c r="N256" s="801"/>
      <c r="O256" s="801"/>
      <c r="P256" s="801"/>
    </row>
    <row r="257" spans="1:16">
      <c r="A257" s="1315"/>
      <c r="B257" s="863">
        <v>16</v>
      </c>
      <c r="C257" s="864">
        <f>C172</f>
        <v>25</v>
      </c>
      <c r="D257" s="864">
        <f t="shared" ref="D257:F257" si="140">D172</f>
        <v>0.2</v>
      </c>
      <c r="E257" s="864" t="str">
        <f t="shared" si="140"/>
        <v>-</v>
      </c>
      <c r="F257" s="864">
        <f t="shared" si="140"/>
        <v>0</v>
      </c>
      <c r="G257" s="801"/>
      <c r="H257" s="1316"/>
      <c r="I257" s="863">
        <v>16</v>
      </c>
      <c r="J257" s="864">
        <f>I172</f>
        <v>50</v>
      </c>
      <c r="K257" s="864">
        <f t="shared" ref="K257:M257" si="141">J172</f>
        <v>-1.4</v>
      </c>
      <c r="L257" s="864" t="str">
        <f t="shared" si="141"/>
        <v>-</v>
      </c>
      <c r="M257" s="864">
        <f t="shared" si="141"/>
        <v>0</v>
      </c>
      <c r="N257" s="801"/>
      <c r="O257" s="801"/>
      <c r="P257" s="801"/>
    </row>
    <row r="258" spans="1:16">
      <c r="A258" s="1315"/>
      <c r="B258" s="863">
        <v>17</v>
      </c>
      <c r="C258" s="864">
        <f>C183</f>
        <v>25</v>
      </c>
      <c r="D258" s="864">
        <f t="shared" ref="D258:F258" si="142">D183</f>
        <v>-0.2</v>
      </c>
      <c r="E258" s="864" t="str">
        <f t="shared" si="142"/>
        <v>-</v>
      </c>
      <c r="F258" s="864">
        <f t="shared" si="142"/>
        <v>0</v>
      </c>
      <c r="G258" s="801"/>
      <c r="H258" s="1316"/>
      <c r="I258" s="863">
        <v>17</v>
      </c>
      <c r="J258" s="864">
        <f>I183</f>
        <v>50</v>
      </c>
      <c r="K258" s="864">
        <f t="shared" ref="K258:M258" si="143">J183</f>
        <v>-0.2</v>
      </c>
      <c r="L258" s="864" t="str">
        <f t="shared" si="143"/>
        <v>-</v>
      </c>
      <c r="M258" s="864">
        <f t="shared" si="143"/>
        <v>0</v>
      </c>
      <c r="N258" s="801"/>
      <c r="O258" s="801"/>
      <c r="P258" s="801"/>
    </row>
    <row r="259" spans="1:16">
      <c r="A259" s="1315"/>
      <c r="B259" s="863">
        <v>18</v>
      </c>
      <c r="C259" s="864">
        <f>C194</f>
        <v>25</v>
      </c>
      <c r="D259" s="864">
        <f t="shared" ref="D259:F259" si="144">D194</f>
        <v>9.9999999999999995E-7</v>
      </c>
      <c r="E259" s="864" t="str">
        <f t="shared" si="144"/>
        <v>-</v>
      </c>
      <c r="F259" s="864">
        <f t="shared" si="144"/>
        <v>0</v>
      </c>
      <c r="G259" s="801"/>
      <c r="H259" s="1316"/>
      <c r="I259" s="863">
        <v>18</v>
      </c>
      <c r="J259" s="864">
        <f>I194</f>
        <v>50</v>
      </c>
      <c r="K259" s="864">
        <f t="shared" ref="K259:M259" si="145">J194</f>
        <v>0</v>
      </c>
      <c r="L259" s="864" t="str">
        <f t="shared" si="145"/>
        <v>-</v>
      </c>
      <c r="M259" s="864">
        <f t="shared" si="145"/>
        <v>0</v>
      </c>
      <c r="N259" s="801"/>
      <c r="O259" s="801"/>
      <c r="P259" s="801"/>
    </row>
    <row r="260" spans="1:16">
      <c r="A260" s="873"/>
      <c r="B260" s="874"/>
      <c r="C260" s="881"/>
      <c r="D260" s="881"/>
      <c r="E260" s="881"/>
      <c r="F260" s="882"/>
      <c r="G260" s="877"/>
      <c r="H260" s="873"/>
      <c r="I260" s="883"/>
      <c r="J260" s="881"/>
      <c r="K260" s="881"/>
      <c r="L260" s="881"/>
      <c r="M260" s="882"/>
      <c r="N260" s="801"/>
      <c r="O260" s="801"/>
      <c r="P260" s="801"/>
    </row>
    <row r="261" spans="1:16">
      <c r="A261" s="1315" t="s">
        <v>368</v>
      </c>
      <c r="B261" s="863">
        <v>1</v>
      </c>
      <c r="C261" s="864">
        <f>C8</f>
        <v>30</v>
      </c>
      <c r="D261" s="864">
        <f t="shared" ref="D261:F261" si="146">D8</f>
        <v>0</v>
      </c>
      <c r="E261" s="864">
        <f t="shared" si="146"/>
        <v>-0.2</v>
      </c>
      <c r="F261" s="864">
        <f t="shared" si="146"/>
        <v>0.1</v>
      </c>
      <c r="G261" s="801"/>
      <c r="H261" s="1316" t="s">
        <v>368</v>
      </c>
      <c r="I261" s="863">
        <v>1</v>
      </c>
      <c r="J261" s="864">
        <f>I8</f>
        <v>60</v>
      </c>
      <c r="K261" s="864">
        <f t="shared" ref="K261:M261" si="147">J8</f>
        <v>-4.4000000000000004</v>
      </c>
      <c r="L261" s="864">
        <f t="shared" si="147"/>
        <v>-5.2</v>
      </c>
      <c r="M261" s="864">
        <f t="shared" si="147"/>
        <v>0.39999999999999991</v>
      </c>
      <c r="N261" s="801"/>
      <c r="O261" s="801"/>
      <c r="P261" s="801"/>
    </row>
    <row r="262" spans="1:16">
      <c r="A262" s="1315"/>
      <c r="B262" s="863">
        <v>2</v>
      </c>
      <c r="C262" s="864">
        <f>C19</f>
        <v>30</v>
      </c>
      <c r="D262" s="864">
        <f t="shared" ref="D262:F262" si="148">D19</f>
        <v>-0.3</v>
      </c>
      <c r="E262" s="864">
        <f t="shared" si="148"/>
        <v>-1</v>
      </c>
      <c r="F262" s="864">
        <f t="shared" si="148"/>
        <v>0.35</v>
      </c>
      <c r="G262" s="801"/>
      <c r="H262" s="1316"/>
      <c r="I262" s="863">
        <v>2</v>
      </c>
      <c r="J262" s="864">
        <f>I19</f>
        <v>60</v>
      </c>
      <c r="K262" s="864">
        <f t="shared" ref="K262:M262" si="149">J19</f>
        <v>-1.3</v>
      </c>
      <c r="L262" s="864">
        <f t="shared" si="149"/>
        <v>-1.3</v>
      </c>
      <c r="M262" s="864">
        <f t="shared" si="149"/>
        <v>0</v>
      </c>
      <c r="N262" s="801"/>
      <c r="O262" s="801"/>
      <c r="P262" s="801"/>
    </row>
    <row r="263" spans="1:16">
      <c r="A263" s="1315"/>
      <c r="B263" s="863">
        <v>3</v>
      </c>
      <c r="C263" s="864">
        <f>C30</f>
        <v>30</v>
      </c>
      <c r="D263" s="864">
        <f t="shared" ref="D263:F263" si="150">D30</f>
        <v>-0.3</v>
      </c>
      <c r="E263" s="864">
        <f t="shared" si="150"/>
        <v>-0.3</v>
      </c>
      <c r="F263" s="864">
        <f t="shared" si="150"/>
        <v>0</v>
      </c>
      <c r="G263" s="801"/>
      <c r="H263" s="1316"/>
      <c r="I263" s="863">
        <v>3</v>
      </c>
      <c r="J263" s="864">
        <f>I30</f>
        <v>60</v>
      </c>
      <c r="K263" s="864">
        <f t="shared" ref="K263:M263" si="151">J30</f>
        <v>-4.3</v>
      </c>
      <c r="L263" s="864">
        <f t="shared" si="151"/>
        <v>-2.2000000000000002</v>
      </c>
      <c r="M263" s="864">
        <f t="shared" si="151"/>
        <v>1.0499999999999998</v>
      </c>
      <c r="N263" s="801"/>
      <c r="O263" s="801"/>
      <c r="P263" s="801"/>
    </row>
    <row r="264" spans="1:16">
      <c r="A264" s="1315"/>
      <c r="B264" s="863">
        <v>4</v>
      </c>
      <c r="C264" s="864">
        <f>C41</f>
        <v>30</v>
      </c>
      <c r="D264" s="864">
        <f t="shared" ref="D264:F264" si="152">D41</f>
        <v>-0.6</v>
      </c>
      <c r="E264" s="864">
        <f t="shared" si="152"/>
        <v>-1</v>
      </c>
      <c r="F264" s="864">
        <f t="shared" si="152"/>
        <v>0.2</v>
      </c>
      <c r="G264" s="801"/>
      <c r="H264" s="1316"/>
      <c r="I264" s="863">
        <v>4</v>
      </c>
      <c r="J264" s="864">
        <f>I41</f>
        <v>60</v>
      </c>
      <c r="K264" s="864">
        <f t="shared" ref="K264:M264" si="153">J41</f>
        <v>-0.3</v>
      </c>
      <c r="L264" s="864">
        <f t="shared" si="153"/>
        <v>-0.9</v>
      </c>
      <c r="M264" s="864">
        <f t="shared" si="153"/>
        <v>0.30000000000000004</v>
      </c>
      <c r="N264" s="801"/>
      <c r="O264" s="801"/>
      <c r="P264" s="801"/>
    </row>
    <row r="265" spans="1:16">
      <c r="A265" s="1315"/>
      <c r="B265" s="863">
        <v>5</v>
      </c>
      <c r="C265" s="864">
        <f>C52</f>
        <v>30</v>
      </c>
      <c r="D265" s="864">
        <f t="shared" ref="D265:F265" si="154">D52</f>
        <v>0.6</v>
      </c>
      <c r="E265" s="864">
        <f t="shared" si="154"/>
        <v>0.1</v>
      </c>
      <c r="F265" s="864">
        <f t="shared" si="154"/>
        <v>0.25</v>
      </c>
      <c r="G265" s="801"/>
      <c r="H265" s="1316"/>
      <c r="I265" s="863">
        <v>5</v>
      </c>
      <c r="J265" s="864">
        <f>I52</f>
        <v>60</v>
      </c>
      <c r="K265" s="864">
        <f t="shared" ref="K265:M265" si="155">J52</f>
        <v>-5.2</v>
      </c>
      <c r="L265" s="864">
        <f t="shared" si="155"/>
        <v>-4.2</v>
      </c>
      <c r="M265" s="864">
        <f t="shared" si="155"/>
        <v>0.5</v>
      </c>
      <c r="N265" s="801"/>
      <c r="O265" s="801"/>
      <c r="P265" s="801"/>
    </row>
    <row r="266" spans="1:16">
      <c r="A266" s="1315"/>
      <c r="B266" s="863">
        <v>6</v>
      </c>
      <c r="C266" s="864">
        <f>C63</f>
        <v>30</v>
      </c>
      <c r="D266" s="864">
        <f t="shared" ref="D266:F266" si="156">D63</f>
        <v>0.1</v>
      </c>
      <c r="E266" s="864">
        <f t="shared" si="156"/>
        <v>-0.5</v>
      </c>
      <c r="F266" s="864">
        <f t="shared" si="156"/>
        <v>0.3</v>
      </c>
      <c r="G266" s="801"/>
      <c r="H266" s="1316"/>
      <c r="I266" s="863">
        <v>6</v>
      </c>
      <c r="J266" s="864">
        <f>I63</f>
        <v>60</v>
      </c>
      <c r="K266" s="864">
        <f t="shared" ref="K266:M266" si="157">J63</f>
        <v>-6.4</v>
      </c>
      <c r="L266" s="864">
        <f t="shared" si="157"/>
        <v>-2</v>
      </c>
      <c r="M266" s="864">
        <f t="shared" si="157"/>
        <v>2.2000000000000002</v>
      </c>
      <c r="N266" s="801"/>
      <c r="O266" s="801"/>
      <c r="P266" s="801"/>
    </row>
    <row r="267" spans="1:16">
      <c r="A267" s="1315"/>
      <c r="B267" s="863">
        <v>7</v>
      </c>
      <c r="C267" s="864">
        <f>C74</f>
        <v>30</v>
      </c>
      <c r="D267" s="864">
        <f t="shared" ref="D267:F267" si="158">D74</f>
        <v>-0.6</v>
      </c>
      <c r="E267" s="864">
        <f t="shared" si="158"/>
        <v>-0.1</v>
      </c>
      <c r="F267" s="864">
        <f t="shared" si="158"/>
        <v>0.25</v>
      </c>
      <c r="G267" s="801"/>
      <c r="H267" s="1316"/>
      <c r="I267" s="863">
        <v>7</v>
      </c>
      <c r="J267" s="864">
        <f>I74</f>
        <v>60</v>
      </c>
      <c r="K267" s="864">
        <f t="shared" ref="K267:M267" si="159">J74</f>
        <v>0.7</v>
      </c>
      <c r="L267" s="864">
        <f t="shared" si="159"/>
        <v>1.5</v>
      </c>
      <c r="M267" s="864">
        <f t="shared" si="159"/>
        <v>0.4</v>
      </c>
      <c r="N267" s="801"/>
      <c r="O267" s="801"/>
      <c r="P267" s="801"/>
    </row>
    <row r="268" spans="1:16">
      <c r="A268" s="1315"/>
      <c r="B268" s="863">
        <v>8</v>
      </c>
      <c r="C268" s="864">
        <f>C85</f>
        <v>30</v>
      </c>
      <c r="D268" s="864">
        <f t="shared" ref="D268:F268" si="160">D85</f>
        <v>-0.4</v>
      </c>
      <c r="E268" s="864">
        <f t="shared" si="160"/>
        <v>-0.2</v>
      </c>
      <c r="F268" s="864">
        <f t="shared" si="160"/>
        <v>0.1</v>
      </c>
      <c r="G268" s="801"/>
      <c r="H268" s="1316"/>
      <c r="I268" s="863">
        <v>8</v>
      </c>
      <c r="J268" s="864">
        <f>I85</f>
        <v>60</v>
      </c>
      <c r="K268" s="864">
        <f t="shared" ref="K268:M268" si="161">J85</f>
        <v>-1.1000000000000001</v>
      </c>
      <c r="L268" s="864">
        <f t="shared" si="161"/>
        <v>1.7</v>
      </c>
      <c r="M268" s="864">
        <f t="shared" si="161"/>
        <v>1.4</v>
      </c>
      <c r="N268" s="801"/>
      <c r="O268" s="801"/>
      <c r="P268" s="801"/>
    </row>
    <row r="269" spans="1:16">
      <c r="A269" s="1315"/>
      <c r="B269" s="863">
        <v>9</v>
      </c>
      <c r="C269" s="864">
        <f>C96</f>
        <v>30</v>
      </c>
      <c r="D269" s="864">
        <f t="shared" ref="D269:F269" si="162">D96</f>
        <v>-0.5</v>
      </c>
      <c r="E269" s="864" t="str">
        <f t="shared" si="162"/>
        <v>-</v>
      </c>
      <c r="F269" s="864">
        <f t="shared" si="162"/>
        <v>0</v>
      </c>
      <c r="G269" s="801"/>
      <c r="H269" s="1316"/>
      <c r="I269" s="863">
        <v>9</v>
      </c>
      <c r="J269" s="864">
        <f>I96</f>
        <v>60</v>
      </c>
      <c r="K269" s="864">
        <f t="shared" ref="K269:M269" si="163">J96</f>
        <v>-0.8</v>
      </c>
      <c r="L269" s="864" t="str">
        <f t="shared" si="163"/>
        <v>-</v>
      </c>
      <c r="M269" s="864">
        <f t="shared" si="163"/>
        <v>0</v>
      </c>
      <c r="N269" s="801"/>
      <c r="O269" s="801"/>
      <c r="P269" s="801"/>
    </row>
    <row r="270" spans="1:16">
      <c r="A270" s="1315"/>
      <c r="B270" s="863">
        <v>10</v>
      </c>
      <c r="C270" s="864">
        <f>C107</f>
        <v>30</v>
      </c>
      <c r="D270" s="864">
        <f t="shared" ref="D270:F270" si="164">D107</f>
        <v>0.1</v>
      </c>
      <c r="E270" s="864">
        <f t="shared" si="164"/>
        <v>0.2</v>
      </c>
      <c r="F270" s="864">
        <f t="shared" si="164"/>
        <v>0.05</v>
      </c>
      <c r="G270" s="801"/>
      <c r="H270" s="1316"/>
      <c r="I270" s="863">
        <v>10</v>
      </c>
      <c r="J270" s="864">
        <f>I107</f>
        <v>60</v>
      </c>
      <c r="K270" s="864">
        <f t="shared" ref="K270:M270" si="165">J107</f>
        <v>-2.1</v>
      </c>
      <c r="L270" s="864">
        <f t="shared" si="165"/>
        <v>-5.6</v>
      </c>
      <c r="M270" s="864">
        <f t="shared" si="165"/>
        <v>1.7499999999999998</v>
      </c>
      <c r="N270" s="801"/>
      <c r="O270" s="801"/>
      <c r="P270" s="801"/>
    </row>
    <row r="271" spans="1:16">
      <c r="A271" s="1315"/>
      <c r="B271" s="863">
        <v>11</v>
      </c>
      <c r="C271" s="864">
        <f>C118</f>
        <v>30</v>
      </c>
      <c r="D271" s="864">
        <f t="shared" ref="D271:F271" si="166">D118</f>
        <v>0.5</v>
      </c>
      <c r="E271" s="864" t="str">
        <f t="shared" si="166"/>
        <v>-</v>
      </c>
      <c r="F271" s="864">
        <f t="shared" si="166"/>
        <v>0</v>
      </c>
      <c r="G271" s="801"/>
      <c r="H271" s="1316"/>
      <c r="I271" s="863">
        <v>11</v>
      </c>
      <c r="J271" s="864">
        <f>I118</f>
        <v>60</v>
      </c>
      <c r="K271" s="864">
        <f t="shared" ref="K271:M271" si="167">J118</f>
        <v>-4.8</v>
      </c>
      <c r="L271" s="864" t="str">
        <f t="shared" si="167"/>
        <v>-</v>
      </c>
      <c r="M271" s="864">
        <f t="shared" si="167"/>
        <v>0</v>
      </c>
      <c r="N271" s="801"/>
      <c r="O271" s="801"/>
      <c r="P271" s="801"/>
    </row>
    <row r="272" spans="1:16">
      <c r="A272" s="1315"/>
      <c r="B272" s="863">
        <v>12</v>
      </c>
      <c r="C272" s="864">
        <f>C129</f>
        <v>30</v>
      </c>
      <c r="D272" s="864">
        <f t="shared" ref="D272:F272" si="168">D129</f>
        <v>-0.2</v>
      </c>
      <c r="E272" s="864" t="str">
        <f t="shared" si="168"/>
        <v>-</v>
      </c>
      <c r="F272" s="864">
        <f t="shared" si="168"/>
        <v>0</v>
      </c>
      <c r="G272" s="801"/>
      <c r="H272" s="1316"/>
      <c r="I272" s="863">
        <v>12</v>
      </c>
      <c r="J272" s="864">
        <f>I129</f>
        <v>60</v>
      </c>
      <c r="K272" s="864">
        <f t="shared" ref="K272:M272" si="169">J129</f>
        <v>-0.5</v>
      </c>
      <c r="L272" s="864" t="str">
        <f t="shared" si="169"/>
        <v>-</v>
      </c>
      <c r="M272" s="864">
        <f t="shared" si="169"/>
        <v>0</v>
      </c>
      <c r="N272" s="801"/>
      <c r="O272" s="801"/>
      <c r="P272" s="801"/>
    </row>
    <row r="273" spans="1:16">
      <c r="A273" s="1315"/>
      <c r="B273" s="863">
        <v>13</v>
      </c>
      <c r="C273" s="864">
        <f>C140</f>
        <v>30</v>
      </c>
      <c r="D273" s="864">
        <f t="shared" ref="D273:F273" si="170">D140</f>
        <v>-0.3</v>
      </c>
      <c r="E273" s="864" t="str">
        <f t="shared" si="170"/>
        <v>-</v>
      </c>
      <c r="F273" s="864">
        <f t="shared" si="170"/>
        <v>0</v>
      </c>
      <c r="G273" s="801"/>
      <c r="H273" s="1316"/>
      <c r="I273" s="863">
        <v>13</v>
      </c>
      <c r="J273" s="864">
        <f>I140</f>
        <v>60</v>
      </c>
      <c r="K273" s="864">
        <f t="shared" ref="K273:M273" si="171">J140</f>
        <v>-0.6</v>
      </c>
      <c r="L273" s="864" t="str">
        <f t="shared" si="171"/>
        <v>-</v>
      </c>
      <c r="M273" s="864">
        <f t="shared" si="171"/>
        <v>0</v>
      </c>
      <c r="N273" s="801"/>
      <c r="O273" s="801"/>
      <c r="P273" s="801"/>
    </row>
    <row r="274" spans="1:16">
      <c r="A274" s="1315"/>
      <c r="B274" s="863">
        <v>14</v>
      </c>
      <c r="C274" s="864">
        <f>C151</f>
        <v>30</v>
      </c>
      <c r="D274" s="864">
        <f t="shared" ref="D274:F274" si="172">D151</f>
        <v>0.1</v>
      </c>
      <c r="E274" s="864" t="str">
        <f t="shared" si="172"/>
        <v>-</v>
      </c>
      <c r="F274" s="864">
        <f t="shared" si="172"/>
        <v>0</v>
      </c>
      <c r="G274" s="801"/>
      <c r="H274" s="1316"/>
      <c r="I274" s="863">
        <v>14</v>
      </c>
      <c r="J274" s="864">
        <f>I151</f>
        <v>60</v>
      </c>
      <c r="K274" s="864">
        <f t="shared" ref="K274:M274" si="173">J151</f>
        <v>-1.5</v>
      </c>
      <c r="L274" s="864" t="str">
        <f t="shared" si="173"/>
        <v>-</v>
      </c>
      <c r="M274" s="864">
        <f t="shared" si="173"/>
        <v>0</v>
      </c>
      <c r="N274" s="801"/>
      <c r="O274" s="801"/>
      <c r="P274" s="801"/>
    </row>
    <row r="275" spans="1:16">
      <c r="A275" s="1315"/>
      <c r="B275" s="863">
        <v>15</v>
      </c>
      <c r="C275" s="864">
        <f>C162</f>
        <v>30</v>
      </c>
      <c r="D275" s="864">
        <f t="shared" ref="D275:F275" si="174">D162</f>
        <v>-0.2</v>
      </c>
      <c r="E275" s="864" t="str">
        <f t="shared" si="174"/>
        <v>-</v>
      </c>
      <c r="F275" s="864">
        <f t="shared" si="174"/>
        <v>0</v>
      </c>
      <c r="G275" s="801"/>
      <c r="H275" s="1316"/>
      <c r="I275" s="863">
        <v>15</v>
      </c>
      <c r="J275" s="864">
        <f>I162</f>
        <v>60</v>
      </c>
      <c r="K275" s="864">
        <f t="shared" ref="K275:M275" si="175">J162</f>
        <v>0</v>
      </c>
      <c r="L275" s="864" t="str">
        <f t="shared" si="175"/>
        <v>-</v>
      </c>
      <c r="M275" s="864">
        <f t="shared" si="175"/>
        <v>0</v>
      </c>
      <c r="N275" s="801"/>
      <c r="O275" s="801"/>
      <c r="P275" s="801"/>
    </row>
    <row r="276" spans="1:16">
      <c r="A276" s="1315"/>
      <c r="B276" s="863">
        <v>16</v>
      </c>
      <c r="C276" s="864">
        <f>C173</f>
        <v>30</v>
      </c>
      <c r="D276" s="864">
        <f t="shared" ref="D276:F276" si="176">D173</f>
        <v>0.2</v>
      </c>
      <c r="E276" s="864" t="str">
        <f t="shared" si="176"/>
        <v>-</v>
      </c>
      <c r="F276" s="864">
        <f t="shared" si="176"/>
        <v>0</v>
      </c>
      <c r="G276" s="801"/>
      <c r="H276" s="1316"/>
      <c r="I276" s="863">
        <v>16</v>
      </c>
      <c r="J276" s="864">
        <f>I173</f>
        <v>60</v>
      </c>
      <c r="K276" s="864">
        <f t="shared" ref="K276:M276" si="177">J173</f>
        <v>-1.5</v>
      </c>
      <c r="L276" s="864" t="str">
        <f t="shared" si="177"/>
        <v>-</v>
      </c>
      <c r="M276" s="864">
        <f t="shared" si="177"/>
        <v>0</v>
      </c>
      <c r="N276" s="801"/>
      <c r="O276" s="801"/>
      <c r="P276" s="801"/>
    </row>
    <row r="277" spans="1:16">
      <c r="A277" s="1315"/>
      <c r="B277" s="863">
        <v>17</v>
      </c>
      <c r="C277" s="864">
        <f>C184</f>
        <v>30</v>
      </c>
      <c r="D277" s="864">
        <f t="shared" ref="D277:F277" si="178">D184</f>
        <v>-0.2</v>
      </c>
      <c r="E277" s="864" t="str">
        <f t="shared" si="178"/>
        <v>-</v>
      </c>
      <c r="F277" s="864">
        <f t="shared" si="178"/>
        <v>0</v>
      </c>
      <c r="G277" s="801"/>
      <c r="H277" s="1316"/>
      <c r="I277" s="863">
        <v>17</v>
      </c>
      <c r="J277" s="864">
        <f>I184</f>
        <v>60</v>
      </c>
      <c r="K277" s="864">
        <f t="shared" ref="K277:M277" si="179">J184</f>
        <v>-0.2</v>
      </c>
      <c r="L277" s="864" t="str">
        <f t="shared" si="179"/>
        <v>-</v>
      </c>
      <c r="M277" s="864">
        <f t="shared" si="179"/>
        <v>0</v>
      </c>
      <c r="N277" s="801"/>
      <c r="O277" s="801"/>
      <c r="P277" s="801"/>
    </row>
    <row r="278" spans="1:16">
      <c r="A278" s="1315"/>
      <c r="B278" s="863">
        <v>18</v>
      </c>
      <c r="C278" s="864">
        <f>C195</f>
        <v>30</v>
      </c>
      <c r="D278" s="864">
        <f t="shared" ref="D278:F278" si="180">D195</f>
        <v>-0.1</v>
      </c>
      <c r="E278" s="864" t="str">
        <f t="shared" si="180"/>
        <v>-</v>
      </c>
      <c r="F278" s="864">
        <f t="shared" si="180"/>
        <v>0</v>
      </c>
      <c r="G278" s="801"/>
      <c r="H278" s="1316"/>
      <c r="I278" s="863">
        <v>18</v>
      </c>
      <c r="J278" s="864">
        <f>I195</f>
        <v>60</v>
      </c>
      <c r="K278" s="864">
        <f t="shared" ref="K278:M278" si="181">J195</f>
        <v>0</v>
      </c>
      <c r="L278" s="864" t="str">
        <f t="shared" si="181"/>
        <v>-</v>
      </c>
      <c r="M278" s="864">
        <f t="shared" si="181"/>
        <v>0</v>
      </c>
      <c r="N278" s="801"/>
      <c r="O278" s="801"/>
      <c r="P278" s="801"/>
    </row>
    <row r="279" spans="1:16">
      <c r="A279" s="873"/>
      <c r="B279" s="874"/>
      <c r="C279" s="881"/>
      <c r="D279" s="881"/>
      <c r="E279" s="881"/>
      <c r="F279" s="882"/>
      <c r="G279" s="877"/>
      <c r="H279" s="873"/>
      <c r="I279" s="883"/>
      <c r="J279" s="881"/>
      <c r="K279" s="881"/>
      <c r="L279" s="881"/>
      <c r="M279" s="882"/>
      <c r="N279" s="801"/>
      <c r="O279" s="801"/>
      <c r="P279" s="801"/>
    </row>
    <row r="280" spans="1:16">
      <c r="A280" s="1315" t="s">
        <v>369</v>
      </c>
      <c r="B280" s="863">
        <v>1</v>
      </c>
      <c r="C280" s="864">
        <f>C9</f>
        <v>35</v>
      </c>
      <c r="D280" s="864">
        <f t="shared" ref="D280:F280" si="182">D9</f>
        <v>-0.1</v>
      </c>
      <c r="E280" s="864">
        <f t="shared" si="182"/>
        <v>-0.5</v>
      </c>
      <c r="F280" s="864">
        <f t="shared" si="182"/>
        <v>0.2</v>
      </c>
      <c r="G280" s="801"/>
      <c r="H280" s="1316" t="s">
        <v>369</v>
      </c>
      <c r="I280" s="863">
        <v>1</v>
      </c>
      <c r="J280" s="864">
        <f>I20</f>
        <v>70</v>
      </c>
      <c r="K280" s="864">
        <f t="shared" ref="K280:M280" si="183">J20</f>
        <v>-1.1000000000000001</v>
      </c>
      <c r="L280" s="864">
        <f t="shared" si="183"/>
        <v>-1</v>
      </c>
      <c r="M280" s="864">
        <f t="shared" si="183"/>
        <v>5.0000000000000044E-2</v>
      </c>
      <c r="N280" s="801"/>
      <c r="O280" s="801"/>
      <c r="P280" s="801"/>
    </row>
    <row r="281" spans="1:16">
      <c r="A281" s="1315"/>
      <c r="B281" s="863">
        <v>2</v>
      </c>
      <c r="C281" s="864">
        <f>C20</f>
        <v>35</v>
      </c>
      <c r="D281" s="864">
        <f t="shared" ref="D281:F281" si="184">D20</f>
        <v>-0.3</v>
      </c>
      <c r="E281" s="864">
        <f t="shared" si="184"/>
        <v>-1.6</v>
      </c>
      <c r="F281" s="864">
        <f t="shared" si="184"/>
        <v>0.65</v>
      </c>
      <c r="G281" s="801"/>
      <c r="H281" s="1316"/>
      <c r="I281" s="863">
        <v>2</v>
      </c>
      <c r="J281" s="864">
        <f>I20</f>
        <v>70</v>
      </c>
      <c r="K281" s="864">
        <f t="shared" ref="K281:M281" si="185">J20</f>
        <v>-1.1000000000000001</v>
      </c>
      <c r="L281" s="864">
        <f t="shared" si="185"/>
        <v>-1</v>
      </c>
      <c r="M281" s="864">
        <f t="shared" si="185"/>
        <v>5.0000000000000044E-2</v>
      </c>
      <c r="N281" s="801"/>
      <c r="O281" s="801"/>
      <c r="P281" s="801"/>
    </row>
    <row r="282" spans="1:16">
      <c r="A282" s="1315"/>
      <c r="B282" s="863">
        <v>3</v>
      </c>
      <c r="C282" s="864">
        <f>C31</f>
        <v>35</v>
      </c>
      <c r="D282" s="864">
        <f t="shared" ref="D282:F282" si="186">D31</f>
        <v>-0.5</v>
      </c>
      <c r="E282" s="864">
        <f t="shared" si="186"/>
        <v>-0.4</v>
      </c>
      <c r="F282" s="864">
        <f t="shared" si="186"/>
        <v>4.9999999999999989E-2</v>
      </c>
      <c r="G282" s="801"/>
      <c r="H282" s="1316"/>
      <c r="I282" s="863">
        <v>3</v>
      </c>
      <c r="J282" s="864">
        <f>I31</f>
        <v>70</v>
      </c>
      <c r="K282" s="864">
        <f t="shared" ref="K282:M282" si="187">J31</f>
        <v>-3.6</v>
      </c>
      <c r="L282" s="864">
        <f t="shared" si="187"/>
        <v>-1.6</v>
      </c>
      <c r="M282" s="864">
        <f t="shared" si="187"/>
        <v>1</v>
      </c>
      <c r="N282" s="801"/>
      <c r="O282" s="801"/>
      <c r="P282" s="801"/>
    </row>
    <row r="283" spans="1:16">
      <c r="A283" s="1315"/>
      <c r="B283" s="863">
        <v>4</v>
      </c>
      <c r="C283" s="864">
        <f>C42</f>
        <v>35</v>
      </c>
      <c r="D283" s="864">
        <f t="shared" ref="D283:F283" si="188">D42</f>
        <v>-0.6</v>
      </c>
      <c r="E283" s="864">
        <f t="shared" si="188"/>
        <v>-1.5</v>
      </c>
      <c r="F283" s="864">
        <f t="shared" si="188"/>
        <v>0.45</v>
      </c>
      <c r="G283" s="801"/>
      <c r="H283" s="1316"/>
      <c r="I283" s="863">
        <v>4</v>
      </c>
      <c r="J283" s="864">
        <f>I42</f>
        <v>70</v>
      </c>
      <c r="K283" s="864">
        <f t="shared" ref="K283:M283" si="189">J42</f>
        <v>0.7</v>
      </c>
      <c r="L283" s="864">
        <f t="shared" si="189"/>
        <v>-0.7</v>
      </c>
      <c r="M283" s="864">
        <f t="shared" si="189"/>
        <v>0.7</v>
      </c>
      <c r="N283" s="801"/>
      <c r="O283" s="801"/>
      <c r="P283" s="801"/>
    </row>
    <row r="284" spans="1:16">
      <c r="A284" s="1315"/>
      <c r="B284" s="863">
        <v>5</v>
      </c>
      <c r="C284" s="864">
        <f>C53</f>
        <v>35</v>
      </c>
      <c r="D284" s="864">
        <f t="shared" ref="D284:F284" si="190">D53</f>
        <v>0.7</v>
      </c>
      <c r="E284" s="864">
        <f t="shared" si="190"/>
        <v>0</v>
      </c>
      <c r="F284" s="864">
        <f t="shared" si="190"/>
        <v>0.35</v>
      </c>
      <c r="G284" s="801"/>
      <c r="H284" s="1316"/>
      <c r="I284" s="863">
        <v>5</v>
      </c>
      <c r="J284" s="864">
        <f>I53</f>
        <v>70</v>
      </c>
      <c r="K284" s="864">
        <f t="shared" ref="K284:M284" si="191">J53</f>
        <v>-4.0999999999999996</v>
      </c>
      <c r="L284" s="864">
        <f t="shared" si="191"/>
        <v>-2.1</v>
      </c>
      <c r="M284" s="864">
        <f t="shared" si="191"/>
        <v>0.99999999999999978</v>
      </c>
      <c r="N284" s="801"/>
      <c r="O284" s="801"/>
      <c r="P284" s="801"/>
    </row>
    <row r="285" spans="1:16">
      <c r="A285" s="1315"/>
      <c r="B285" s="863">
        <v>6</v>
      </c>
      <c r="C285" s="864">
        <f>C64</f>
        <v>35</v>
      </c>
      <c r="D285" s="864">
        <f t="shared" ref="D285:F285" si="192">D64</f>
        <v>0.1</v>
      </c>
      <c r="E285" s="864">
        <f t="shared" si="192"/>
        <v>-0.9</v>
      </c>
      <c r="F285" s="864">
        <f t="shared" si="192"/>
        <v>0.5</v>
      </c>
      <c r="G285" s="801"/>
      <c r="H285" s="1316"/>
      <c r="I285" s="863">
        <v>6</v>
      </c>
      <c r="J285" s="864">
        <f>I64</f>
        <v>70</v>
      </c>
      <c r="K285" s="864">
        <f t="shared" ref="K285:M285" si="193">J64</f>
        <v>-6.7</v>
      </c>
      <c r="L285" s="864">
        <f t="shared" si="193"/>
        <v>-2.1</v>
      </c>
      <c r="M285" s="864">
        <f t="shared" si="193"/>
        <v>2.2999999999999998</v>
      </c>
      <c r="N285" s="801"/>
      <c r="O285" s="801"/>
      <c r="P285" s="801"/>
    </row>
    <row r="286" spans="1:16">
      <c r="A286" s="1315"/>
      <c r="B286" s="863">
        <v>7</v>
      </c>
      <c r="C286" s="864">
        <f>C75</f>
        <v>35</v>
      </c>
      <c r="D286" s="864">
        <f t="shared" ref="D286:F286" si="194">D75</f>
        <v>-1.1000000000000001</v>
      </c>
      <c r="E286" s="864">
        <f t="shared" si="194"/>
        <v>-0.1</v>
      </c>
      <c r="F286" s="864">
        <f t="shared" si="194"/>
        <v>0.5</v>
      </c>
      <c r="G286" s="801"/>
      <c r="H286" s="1316"/>
      <c r="I286" s="863">
        <v>7</v>
      </c>
      <c r="J286" s="864">
        <f>I75</f>
        <v>70</v>
      </c>
      <c r="K286" s="864">
        <f t="shared" ref="K286:M286" si="195">J75</f>
        <v>0.9</v>
      </c>
      <c r="L286" s="864">
        <f t="shared" si="195"/>
        <v>2.8</v>
      </c>
      <c r="M286" s="864">
        <f t="shared" si="195"/>
        <v>0.95</v>
      </c>
      <c r="N286" s="801"/>
      <c r="O286" s="801"/>
      <c r="P286" s="801"/>
    </row>
    <row r="287" spans="1:16">
      <c r="A287" s="1315"/>
      <c r="B287" s="863">
        <v>8</v>
      </c>
      <c r="C287" s="864">
        <f>C86</f>
        <v>35</v>
      </c>
      <c r="D287" s="864">
        <f t="shared" ref="D287:F287" si="196">D86</f>
        <v>-0.5</v>
      </c>
      <c r="E287" s="864">
        <f t="shared" si="196"/>
        <v>-0.3</v>
      </c>
      <c r="F287" s="864">
        <f t="shared" si="196"/>
        <v>0.1</v>
      </c>
      <c r="G287" s="801"/>
      <c r="H287" s="1316"/>
      <c r="I287" s="863">
        <v>8</v>
      </c>
      <c r="J287" s="864">
        <f>I86</f>
        <v>70</v>
      </c>
      <c r="K287" s="864">
        <f t="shared" ref="K287:M287" si="197">J86</f>
        <v>-1.2</v>
      </c>
      <c r="L287" s="864">
        <f t="shared" si="197"/>
        <v>2.1</v>
      </c>
      <c r="M287" s="864">
        <f t="shared" si="197"/>
        <v>1.65</v>
      </c>
      <c r="N287" s="801"/>
      <c r="O287" s="801"/>
      <c r="P287" s="801"/>
    </row>
    <row r="288" spans="1:16">
      <c r="A288" s="1315"/>
      <c r="B288" s="863">
        <v>9</v>
      </c>
      <c r="C288" s="864">
        <f>C97</f>
        <v>35</v>
      </c>
      <c r="D288" s="864">
        <f t="shared" ref="D288:F288" si="198">D97</f>
        <v>-0.5</v>
      </c>
      <c r="E288" s="864" t="str">
        <f t="shared" si="198"/>
        <v>-</v>
      </c>
      <c r="F288" s="864">
        <f t="shared" si="198"/>
        <v>0</v>
      </c>
      <c r="G288" s="801"/>
      <c r="H288" s="1316"/>
      <c r="I288" s="863">
        <v>9</v>
      </c>
      <c r="J288" s="864">
        <f>I97</f>
        <v>70</v>
      </c>
      <c r="K288" s="864">
        <f t="shared" ref="K288:M288" si="199">J97</f>
        <v>-0.6</v>
      </c>
      <c r="L288" s="864" t="str">
        <f t="shared" si="199"/>
        <v>-</v>
      </c>
      <c r="M288" s="864">
        <f t="shared" si="199"/>
        <v>0</v>
      </c>
      <c r="N288" s="801"/>
      <c r="O288" s="801"/>
      <c r="P288" s="801"/>
    </row>
    <row r="289" spans="1:16">
      <c r="A289" s="1315"/>
      <c r="B289" s="863">
        <v>10</v>
      </c>
      <c r="C289" s="864">
        <f>C108</f>
        <v>35</v>
      </c>
      <c r="D289" s="864">
        <f t="shared" ref="D289:F289" si="200">D108</f>
        <v>0.2</v>
      </c>
      <c r="E289" s="864">
        <f t="shared" si="200"/>
        <v>0.8</v>
      </c>
      <c r="F289" s="864">
        <f t="shared" si="200"/>
        <v>0.30000000000000004</v>
      </c>
      <c r="G289" s="801"/>
      <c r="H289" s="1316"/>
      <c r="I289" s="863">
        <v>10</v>
      </c>
      <c r="J289" s="864">
        <f>I108</f>
        <v>70</v>
      </c>
      <c r="K289" s="864">
        <f t="shared" ref="K289:M289" si="201">J108</f>
        <v>-0.3</v>
      </c>
      <c r="L289" s="864">
        <f t="shared" si="201"/>
        <v>-5.0999999999999996</v>
      </c>
      <c r="M289" s="864">
        <f t="shared" si="201"/>
        <v>2.4</v>
      </c>
      <c r="N289" s="801"/>
      <c r="O289" s="801"/>
      <c r="P289" s="801"/>
    </row>
    <row r="290" spans="1:16">
      <c r="A290" s="1315"/>
      <c r="B290" s="863">
        <v>11</v>
      </c>
      <c r="C290" s="864">
        <f>C119</f>
        <v>35</v>
      </c>
      <c r="D290" s="864">
        <f t="shared" ref="D290:F290" si="202">D119</f>
        <v>0.5</v>
      </c>
      <c r="E290" s="864" t="str">
        <f t="shared" si="202"/>
        <v>-</v>
      </c>
      <c r="F290" s="864">
        <f t="shared" si="202"/>
        <v>0</v>
      </c>
      <c r="G290" s="801"/>
      <c r="H290" s="1316"/>
      <c r="I290" s="863">
        <v>11</v>
      </c>
      <c r="J290" s="864">
        <f>I119</f>
        <v>70</v>
      </c>
      <c r="K290" s="864">
        <f t="shared" ref="K290:M290" si="203">J119</f>
        <v>-3.4</v>
      </c>
      <c r="L290" s="864" t="str">
        <f t="shared" si="203"/>
        <v>-</v>
      </c>
      <c r="M290" s="864">
        <f t="shared" si="203"/>
        <v>0</v>
      </c>
      <c r="N290" s="801"/>
      <c r="O290" s="801"/>
      <c r="P290" s="801"/>
    </row>
    <row r="291" spans="1:16">
      <c r="A291" s="1315"/>
      <c r="B291" s="863">
        <v>12</v>
      </c>
      <c r="C291" s="864">
        <f>C130</f>
        <v>35</v>
      </c>
      <c r="D291" s="864">
        <f t="shared" ref="D291:F291" si="204">D130</f>
        <v>-0.1</v>
      </c>
      <c r="E291" s="864" t="str">
        <f t="shared" si="204"/>
        <v>-</v>
      </c>
      <c r="F291" s="864">
        <f t="shared" si="204"/>
        <v>0</v>
      </c>
      <c r="G291" s="801"/>
      <c r="H291" s="1316"/>
      <c r="I291" s="863">
        <v>12</v>
      </c>
      <c r="J291" s="864">
        <f>I130</f>
        <v>70</v>
      </c>
      <c r="K291" s="864">
        <f t="shared" ref="K291:M291" si="205">J130</f>
        <v>-0.8</v>
      </c>
      <c r="L291" s="864" t="str">
        <f t="shared" si="205"/>
        <v>-</v>
      </c>
      <c r="M291" s="864">
        <f t="shared" si="205"/>
        <v>0</v>
      </c>
      <c r="N291" s="801"/>
      <c r="O291" s="801"/>
      <c r="P291" s="801"/>
    </row>
    <row r="292" spans="1:16">
      <c r="A292" s="1315"/>
      <c r="B292" s="863">
        <v>13</v>
      </c>
      <c r="C292" s="864">
        <f>C141</f>
        <v>35</v>
      </c>
      <c r="D292" s="864">
        <f t="shared" ref="D292:F292" si="206">D141</f>
        <v>-0.6</v>
      </c>
      <c r="E292" s="864" t="str">
        <f t="shared" si="206"/>
        <v>-</v>
      </c>
      <c r="F292" s="864">
        <f t="shared" si="206"/>
        <v>0</v>
      </c>
      <c r="G292" s="801"/>
      <c r="H292" s="1316"/>
      <c r="I292" s="863">
        <v>13</v>
      </c>
      <c r="J292" s="864">
        <f>I141</f>
        <v>70</v>
      </c>
      <c r="K292" s="864">
        <f t="shared" ref="K292:M292" si="207">J141</f>
        <v>-0.8</v>
      </c>
      <c r="L292" s="864" t="str">
        <f t="shared" si="207"/>
        <v>-</v>
      </c>
      <c r="M292" s="864">
        <f t="shared" si="207"/>
        <v>0</v>
      </c>
      <c r="N292" s="801"/>
      <c r="O292" s="801"/>
      <c r="P292" s="801"/>
    </row>
    <row r="293" spans="1:16">
      <c r="A293" s="1315"/>
      <c r="B293" s="863">
        <v>14</v>
      </c>
      <c r="C293" s="864">
        <f>C152</f>
        <v>35</v>
      </c>
      <c r="D293" s="864">
        <f t="shared" ref="D293:F293" si="208">D152</f>
        <v>0.3</v>
      </c>
      <c r="E293" s="864" t="str">
        <f t="shared" si="208"/>
        <v>-</v>
      </c>
      <c r="F293" s="864">
        <f t="shared" si="208"/>
        <v>0</v>
      </c>
      <c r="G293" s="801"/>
      <c r="H293" s="1316"/>
      <c r="I293" s="863">
        <v>14</v>
      </c>
      <c r="J293" s="864">
        <f>I152</f>
        <v>70</v>
      </c>
      <c r="K293" s="864">
        <f t="shared" ref="K293:M293" si="209">J152</f>
        <v>-1.9</v>
      </c>
      <c r="L293" s="864" t="str">
        <f t="shared" si="209"/>
        <v>-</v>
      </c>
      <c r="M293" s="864">
        <f t="shared" si="209"/>
        <v>0</v>
      </c>
      <c r="N293" s="801"/>
      <c r="O293" s="801"/>
      <c r="P293" s="801"/>
    </row>
    <row r="294" spans="1:16">
      <c r="A294" s="1315"/>
      <c r="B294" s="863">
        <v>15</v>
      </c>
      <c r="C294" s="864">
        <f>C163</f>
        <v>35</v>
      </c>
      <c r="D294" s="864">
        <f t="shared" ref="D294:F294" si="210">D163</f>
        <v>-0.5</v>
      </c>
      <c r="E294" s="864" t="str">
        <f t="shared" si="210"/>
        <v>-</v>
      </c>
      <c r="F294" s="864">
        <f t="shared" si="210"/>
        <v>0</v>
      </c>
      <c r="G294" s="801"/>
      <c r="H294" s="1316"/>
      <c r="I294" s="863">
        <v>15</v>
      </c>
      <c r="J294" s="864">
        <f>I163</f>
        <v>70</v>
      </c>
      <c r="K294" s="864">
        <f t="shared" ref="K294:M294" si="211">J163</f>
        <v>-0.3</v>
      </c>
      <c r="L294" s="864" t="str">
        <f t="shared" si="211"/>
        <v>-</v>
      </c>
      <c r="M294" s="864">
        <f t="shared" si="211"/>
        <v>0</v>
      </c>
      <c r="N294" s="801"/>
      <c r="O294" s="801"/>
      <c r="P294" s="801"/>
    </row>
    <row r="295" spans="1:16">
      <c r="A295" s="1315"/>
      <c r="B295" s="863">
        <v>16</v>
      </c>
      <c r="C295" s="864">
        <f>C174</f>
        <v>35</v>
      </c>
      <c r="D295" s="864">
        <f t="shared" ref="D295:F295" si="212">D174</f>
        <v>0.1</v>
      </c>
      <c r="E295" s="864" t="str">
        <f t="shared" si="212"/>
        <v>-</v>
      </c>
      <c r="F295" s="864">
        <f t="shared" si="212"/>
        <v>0</v>
      </c>
      <c r="G295" s="801"/>
      <c r="H295" s="1316"/>
      <c r="I295" s="863">
        <v>16</v>
      </c>
      <c r="J295" s="864">
        <f>I174</f>
        <v>70</v>
      </c>
      <c r="K295" s="864">
        <f t="shared" ref="K295:M295" si="213">J174</f>
        <v>-1.8</v>
      </c>
      <c r="L295" s="864" t="str">
        <f t="shared" si="213"/>
        <v>-</v>
      </c>
      <c r="M295" s="864">
        <f t="shared" si="213"/>
        <v>0</v>
      </c>
      <c r="N295" s="801"/>
      <c r="O295" s="801"/>
      <c r="P295" s="801"/>
    </row>
    <row r="296" spans="1:16">
      <c r="A296" s="1315"/>
      <c r="B296" s="863">
        <v>17</v>
      </c>
      <c r="C296" s="864">
        <f>C185</f>
        <v>35</v>
      </c>
      <c r="D296" s="864">
        <f t="shared" ref="D296:F296" si="214">D185</f>
        <v>-0.3</v>
      </c>
      <c r="E296" s="864" t="str">
        <f t="shared" si="214"/>
        <v>-</v>
      </c>
      <c r="F296" s="864">
        <f t="shared" si="214"/>
        <v>0</v>
      </c>
      <c r="G296" s="801"/>
      <c r="H296" s="1316"/>
      <c r="I296" s="863">
        <v>17</v>
      </c>
      <c r="J296" s="864">
        <f>I185</f>
        <v>70</v>
      </c>
      <c r="K296" s="864">
        <f t="shared" ref="K296:M296" si="215">J185</f>
        <v>-0.3</v>
      </c>
      <c r="L296" s="864" t="str">
        <f t="shared" si="215"/>
        <v>-</v>
      </c>
      <c r="M296" s="864">
        <f t="shared" si="215"/>
        <v>0</v>
      </c>
      <c r="N296" s="801"/>
      <c r="O296" s="801"/>
      <c r="P296" s="801"/>
    </row>
    <row r="297" spans="1:16">
      <c r="A297" s="1315"/>
      <c r="B297" s="863">
        <v>18</v>
      </c>
      <c r="C297" s="864">
        <f>C196</f>
        <v>35</v>
      </c>
      <c r="D297" s="864">
        <f t="shared" ref="D297:F297" si="216">D196</f>
        <v>-0.2</v>
      </c>
      <c r="E297" s="864" t="str">
        <f t="shared" si="216"/>
        <v>-</v>
      </c>
      <c r="F297" s="864">
        <f t="shared" si="216"/>
        <v>0</v>
      </c>
      <c r="G297" s="801"/>
      <c r="H297" s="1316"/>
      <c r="I297" s="863">
        <v>18</v>
      </c>
      <c r="J297" s="864">
        <f>I196</f>
        <v>70</v>
      </c>
      <c r="K297" s="864">
        <f t="shared" ref="K297:M297" si="217">J196</f>
        <v>-0.1</v>
      </c>
      <c r="L297" s="864" t="str">
        <f t="shared" si="217"/>
        <v>-</v>
      </c>
      <c r="M297" s="864">
        <f t="shared" si="217"/>
        <v>0</v>
      </c>
      <c r="N297" s="801"/>
      <c r="O297" s="801"/>
      <c r="P297" s="801"/>
    </row>
    <row r="298" spans="1:16">
      <c r="A298" s="873"/>
      <c r="B298" s="874"/>
      <c r="C298" s="881"/>
      <c r="D298" s="881"/>
      <c r="E298" s="881"/>
      <c r="F298" s="882"/>
      <c r="G298" s="877"/>
      <c r="H298" s="873"/>
      <c r="I298" s="874"/>
      <c r="J298" s="881"/>
      <c r="K298" s="881"/>
      <c r="L298" s="881"/>
      <c r="M298" s="882"/>
      <c r="N298" s="801"/>
      <c r="O298" s="801"/>
      <c r="P298" s="801"/>
    </row>
    <row r="299" spans="1:16">
      <c r="A299" s="1315" t="s">
        <v>370</v>
      </c>
      <c r="B299" s="863">
        <v>1</v>
      </c>
      <c r="C299" s="864">
        <f>C10</f>
        <v>37</v>
      </c>
      <c r="D299" s="864">
        <f t="shared" ref="D299:F299" si="218">D10</f>
        <v>-0.2</v>
      </c>
      <c r="E299" s="864">
        <f t="shared" si="218"/>
        <v>-0.6</v>
      </c>
      <c r="F299" s="864">
        <f t="shared" si="218"/>
        <v>0.19999999999999998</v>
      </c>
      <c r="G299" s="801"/>
      <c r="H299" s="1316" t="s">
        <v>370</v>
      </c>
      <c r="I299" s="863">
        <v>1</v>
      </c>
      <c r="J299" s="864">
        <f>I10</f>
        <v>80</v>
      </c>
      <c r="K299" s="864">
        <f t="shared" ref="K299:M299" si="219">J10</f>
        <v>-1.6</v>
      </c>
      <c r="L299" s="864">
        <f t="shared" si="219"/>
        <v>0.7</v>
      </c>
      <c r="M299" s="864">
        <f t="shared" si="219"/>
        <v>1.1499999999999999</v>
      </c>
      <c r="N299" s="801"/>
      <c r="O299" s="801"/>
      <c r="P299" s="801"/>
    </row>
    <row r="300" spans="1:16">
      <c r="A300" s="1315"/>
      <c r="B300" s="863">
        <v>2</v>
      </c>
      <c r="C300" s="864">
        <f>C21</f>
        <v>37</v>
      </c>
      <c r="D300" s="864">
        <f t="shared" ref="D300:F300" si="220">D21</f>
        <v>-0.3</v>
      </c>
      <c r="E300" s="864">
        <f t="shared" si="220"/>
        <v>-1.8</v>
      </c>
      <c r="F300" s="864">
        <f t="shared" si="220"/>
        <v>0.75</v>
      </c>
      <c r="G300" s="801"/>
      <c r="H300" s="1316"/>
      <c r="I300" s="863">
        <v>2</v>
      </c>
      <c r="J300" s="864">
        <f>I21</f>
        <v>80</v>
      </c>
      <c r="K300" s="864">
        <f t="shared" ref="K300:M300" si="221">J21</f>
        <v>-0.7</v>
      </c>
      <c r="L300" s="864">
        <f t="shared" si="221"/>
        <v>-0.4</v>
      </c>
      <c r="M300" s="864">
        <f t="shared" si="221"/>
        <v>0.14999999999999997</v>
      </c>
      <c r="N300" s="801"/>
      <c r="O300" s="801"/>
      <c r="P300" s="801"/>
    </row>
    <row r="301" spans="1:16">
      <c r="A301" s="1315"/>
      <c r="B301" s="863">
        <v>3</v>
      </c>
      <c r="C301" s="864">
        <f>C32</f>
        <v>37</v>
      </c>
      <c r="D301" s="864">
        <f t="shared" ref="D301:F301" si="222">D32</f>
        <v>-0.6</v>
      </c>
      <c r="E301" s="864">
        <f t="shared" si="222"/>
        <v>-0.5</v>
      </c>
      <c r="F301" s="864">
        <f t="shared" si="222"/>
        <v>4.9999999999999989E-2</v>
      </c>
      <c r="G301" s="801"/>
      <c r="H301" s="1316"/>
      <c r="I301" s="863">
        <v>3</v>
      </c>
      <c r="J301" s="864">
        <f>I32</f>
        <v>80</v>
      </c>
      <c r="K301" s="864">
        <f t="shared" ref="K301:M301" si="223">J32</f>
        <v>-2.9</v>
      </c>
      <c r="L301" s="864">
        <f t="shared" si="223"/>
        <v>-0.6</v>
      </c>
      <c r="M301" s="864">
        <f t="shared" si="223"/>
        <v>1.1499999999999999</v>
      </c>
      <c r="N301" s="801"/>
      <c r="O301" s="801"/>
      <c r="P301" s="801"/>
    </row>
    <row r="302" spans="1:16">
      <c r="A302" s="1315"/>
      <c r="B302" s="863">
        <v>4</v>
      </c>
      <c r="C302" s="864">
        <f>C43</f>
        <v>37</v>
      </c>
      <c r="D302" s="864">
        <f t="shared" ref="D302:F302" si="224">D43</f>
        <v>-0.6</v>
      </c>
      <c r="E302" s="864">
        <f t="shared" si="224"/>
        <v>-1.8</v>
      </c>
      <c r="F302" s="864">
        <f t="shared" si="224"/>
        <v>0.60000000000000009</v>
      </c>
      <c r="G302" s="801"/>
      <c r="H302" s="1316"/>
      <c r="I302" s="863">
        <v>4</v>
      </c>
      <c r="J302" s="864">
        <f>I43</f>
        <v>80</v>
      </c>
      <c r="K302" s="864">
        <f t="shared" ref="K302:M302" si="225">J43</f>
        <v>1.9</v>
      </c>
      <c r="L302" s="864">
        <f t="shared" si="225"/>
        <v>-0.4</v>
      </c>
      <c r="M302" s="864">
        <f t="shared" si="225"/>
        <v>1.1499999999999999</v>
      </c>
      <c r="N302" s="801"/>
      <c r="O302" s="801"/>
      <c r="P302" s="801"/>
    </row>
    <row r="303" spans="1:16">
      <c r="A303" s="1315"/>
      <c r="B303" s="863">
        <v>5</v>
      </c>
      <c r="C303" s="864">
        <f>C54</f>
        <v>37</v>
      </c>
      <c r="D303" s="864">
        <f t="shared" ref="D303:F303" si="226">D54</f>
        <v>0.7</v>
      </c>
      <c r="E303" s="864">
        <f t="shared" si="226"/>
        <v>0</v>
      </c>
      <c r="F303" s="864">
        <f t="shared" si="226"/>
        <v>0.35</v>
      </c>
      <c r="G303" s="801"/>
      <c r="H303" s="1316"/>
      <c r="I303" s="863">
        <v>5</v>
      </c>
      <c r="J303" s="864">
        <f>I54</f>
        <v>80</v>
      </c>
      <c r="K303" s="864">
        <f t="shared" ref="K303:M303" si="227">J54</f>
        <v>-3</v>
      </c>
      <c r="L303" s="864">
        <f t="shared" si="227"/>
        <v>0.2</v>
      </c>
      <c r="M303" s="864">
        <f t="shared" si="227"/>
        <v>1.6</v>
      </c>
      <c r="N303" s="801"/>
      <c r="O303" s="801"/>
      <c r="P303" s="801"/>
    </row>
    <row r="304" spans="1:16">
      <c r="A304" s="1315"/>
      <c r="B304" s="863">
        <v>6</v>
      </c>
      <c r="C304" s="864">
        <f>C65</f>
        <v>37</v>
      </c>
      <c r="D304" s="864">
        <f t="shared" ref="D304:F304" si="228">D65</f>
        <v>0.1</v>
      </c>
      <c r="E304" s="864">
        <f t="shared" si="228"/>
        <v>-1.1000000000000001</v>
      </c>
      <c r="F304" s="864">
        <f t="shared" si="228"/>
        <v>0.60000000000000009</v>
      </c>
      <c r="G304" s="801"/>
      <c r="H304" s="1316"/>
      <c r="I304" s="863">
        <v>6</v>
      </c>
      <c r="J304" s="864">
        <f>I65</f>
        <v>80</v>
      </c>
      <c r="K304" s="864">
        <f t="shared" ref="K304:M304" si="229">J65</f>
        <v>-6.3</v>
      </c>
      <c r="L304" s="864">
        <f t="shared" si="229"/>
        <v>-2.6</v>
      </c>
      <c r="M304" s="864">
        <f t="shared" si="229"/>
        <v>1.8499999999999999</v>
      </c>
      <c r="N304" s="801"/>
      <c r="O304" s="801"/>
      <c r="P304" s="801"/>
    </row>
    <row r="305" spans="1:16">
      <c r="A305" s="1315"/>
      <c r="B305" s="863">
        <v>7</v>
      </c>
      <c r="C305" s="864">
        <f>C76</f>
        <v>37</v>
      </c>
      <c r="D305" s="864">
        <f t="shared" ref="D305:F305" si="230">D76</f>
        <v>-1.4</v>
      </c>
      <c r="E305" s="864">
        <f t="shared" si="230"/>
        <v>-0.1</v>
      </c>
      <c r="F305" s="864">
        <f t="shared" si="230"/>
        <v>0.64999999999999991</v>
      </c>
      <c r="G305" s="801"/>
      <c r="H305" s="1316"/>
      <c r="I305" s="863">
        <v>7</v>
      </c>
      <c r="J305" s="864">
        <f>I76</f>
        <v>80</v>
      </c>
      <c r="K305" s="864">
        <f t="shared" ref="K305:M305" si="231">J76</f>
        <v>1.2</v>
      </c>
      <c r="L305" s="864">
        <f t="shared" si="231"/>
        <v>4.4000000000000004</v>
      </c>
      <c r="M305" s="864">
        <f t="shared" si="231"/>
        <v>1.6</v>
      </c>
      <c r="N305" s="801"/>
      <c r="O305" s="801"/>
      <c r="P305" s="801"/>
    </row>
    <row r="306" spans="1:16">
      <c r="A306" s="1315"/>
      <c r="B306" s="863">
        <v>8</v>
      </c>
      <c r="C306" s="864">
        <f>C87</f>
        <v>37</v>
      </c>
      <c r="D306" s="864">
        <f t="shared" ref="D306:F306" si="232">D87</f>
        <v>-0.5</v>
      </c>
      <c r="E306" s="864">
        <f t="shared" si="232"/>
        <v>-0.3</v>
      </c>
      <c r="F306" s="864">
        <f t="shared" si="232"/>
        <v>0.1</v>
      </c>
      <c r="G306" s="801"/>
      <c r="H306" s="1316"/>
      <c r="I306" s="863">
        <v>8</v>
      </c>
      <c r="J306" s="864">
        <f>I87</f>
        <v>80</v>
      </c>
      <c r="K306" s="864">
        <f t="shared" ref="K306:M306" si="233">J87</f>
        <v>-1.2</v>
      </c>
      <c r="L306" s="864">
        <f t="shared" si="233"/>
        <v>2.6</v>
      </c>
      <c r="M306" s="864">
        <f t="shared" si="233"/>
        <v>1.9</v>
      </c>
      <c r="N306" s="801"/>
      <c r="O306" s="801"/>
      <c r="P306" s="801"/>
    </row>
    <row r="307" spans="1:16">
      <c r="A307" s="1315"/>
      <c r="B307" s="863">
        <v>9</v>
      </c>
      <c r="C307" s="864">
        <f>C98</f>
        <v>37</v>
      </c>
      <c r="D307" s="864">
        <f t="shared" ref="D307:F307" si="234">D98</f>
        <v>-0.5</v>
      </c>
      <c r="E307" s="864" t="str">
        <f t="shared" si="234"/>
        <v>-</v>
      </c>
      <c r="F307" s="864">
        <f t="shared" si="234"/>
        <v>0</v>
      </c>
      <c r="G307" s="801"/>
      <c r="H307" s="1316"/>
      <c r="I307" s="863">
        <v>9</v>
      </c>
      <c r="J307" s="864">
        <f>I98</f>
        <v>80</v>
      </c>
      <c r="K307" s="864">
        <f t="shared" ref="K307:M307" si="235">J98</f>
        <v>-0.5</v>
      </c>
      <c r="L307" s="864" t="str">
        <f t="shared" si="235"/>
        <v>-</v>
      </c>
      <c r="M307" s="864">
        <f t="shared" si="235"/>
        <v>0</v>
      </c>
      <c r="N307" s="801"/>
      <c r="O307" s="801"/>
      <c r="P307" s="801"/>
    </row>
    <row r="308" spans="1:16">
      <c r="A308" s="1315"/>
      <c r="B308" s="863">
        <v>10</v>
      </c>
      <c r="C308" s="864">
        <f>C109</f>
        <v>37</v>
      </c>
      <c r="D308" s="864">
        <f t="shared" ref="D308:F308" si="236">D109</f>
        <v>0.2</v>
      </c>
      <c r="E308" s="864">
        <f t="shared" si="236"/>
        <v>0.4</v>
      </c>
      <c r="F308" s="864">
        <f t="shared" si="236"/>
        <v>0.1</v>
      </c>
      <c r="G308" s="801"/>
      <c r="H308" s="1316"/>
      <c r="I308" s="863">
        <v>10</v>
      </c>
      <c r="J308" s="864">
        <f>I109</f>
        <v>80</v>
      </c>
      <c r="K308" s="864">
        <f t="shared" ref="K308:M308" si="237">J109</f>
        <v>2.2000000000000002</v>
      </c>
      <c r="L308" s="864">
        <f t="shared" si="237"/>
        <v>-4.7</v>
      </c>
      <c r="M308" s="864">
        <f t="shared" si="237"/>
        <v>3.45</v>
      </c>
      <c r="N308" s="801"/>
      <c r="O308" s="801"/>
      <c r="P308" s="801"/>
    </row>
    <row r="309" spans="1:16">
      <c r="A309" s="1315"/>
      <c r="B309" s="863">
        <v>11</v>
      </c>
      <c r="C309" s="864">
        <f>C120</f>
        <v>37</v>
      </c>
      <c r="D309" s="864">
        <f t="shared" ref="D309:F309" si="238">D120</f>
        <v>0.5</v>
      </c>
      <c r="E309" s="864" t="str">
        <f t="shared" si="238"/>
        <v>-</v>
      </c>
      <c r="F309" s="864">
        <f t="shared" si="238"/>
        <v>0</v>
      </c>
      <c r="G309" s="801"/>
      <c r="H309" s="1316"/>
      <c r="I309" s="863">
        <v>11</v>
      </c>
      <c r="J309" s="864">
        <f>I120</f>
        <v>80</v>
      </c>
      <c r="K309" s="864">
        <f t="shared" ref="K309:M309" si="239">J120</f>
        <v>-1.4</v>
      </c>
      <c r="L309" s="864" t="str">
        <f t="shared" si="239"/>
        <v>-</v>
      </c>
      <c r="M309" s="864">
        <f t="shared" si="239"/>
        <v>0</v>
      </c>
      <c r="N309" s="801"/>
      <c r="O309" s="801"/>
      <c r="P309" s="801"/>
    </row>
    <row r="310" spans="1:16">
      <c r="A310" s="1315"/>
      <c r="B310" s="863">
        <v>12</v>
      </c>
      <c r="C310" s="864">
        <f>C131</f>
        <v>37</v>
      </c>
      <c r="D310" s="864">
        <f t="shared" ref="D310:F310" si="240">D131</f>
        <v>-0.1</v>
      </c>
      <c r="E310" s="864" t="str">
        <f t="shared" si="240"/>
        <v>-</v>
      </c>
      <c r="F310" s="864">
        <f t="shared" si="240"/>
        <v>0</v>
      </c>
      <c r="G310" s="801"/>
      <c r="H310" s="1316"/>
      <c r="I310" s="863">
        <v>12</v>
      </c>
      <c r="J310" s="864">
        <f>I131</f>
        <v>80</v>
      </c>
      <c r="K310" s="864">
        <f t="shared" ref="K310:M310" si="241">J131</f>
        <v>-1.3</v>
      </c>
      <c r="L310" s="864" t="str">
        <f t="shared" si="241"/>
        <v>-</v>
      </c>
      <c r="M310" s="864">
        <f t="shared" si="241"/>
        <v>0</v>
      </c>
      <c r="N310" s="801"/>
      <c r="O310" s="801"/>
      <c r="P310" s="801"/>
    </row>
    <row r="311" spans="1:16">
      <c r="A311" s="1315"/>
      <c r="B311" s="863">
        <v>13</v>
      </c>
      <c r="C311" s="864">
        <f>C142</f>
        <v>37</v>
      </c>
      <c r="D311" s="864">
        <f t="shared" ref="D311:F311" si="242">D142</f>
        <v>-0.8</v>
      </c>
      <c r="E311" s="864" t="str">
        <f t="shared" si="242"/>
        <v>-</v>
      </c>
      <c r="F311" s="864">
        <f t="shared" si="242"/>
        <v>0</v>
      </c>
      <c r="G311" s="801"/>
      <c r="H311" s="1316"/>
      <c r="I311" s="863">
        <v>13</v>
      </c>
      <c r="J311" s="864">
        <f>I142</f>
        <v>80</v>
      </c>
      <c r="K311" s="864">
        <f t="shared" ref="K311:M311" si="243">J142</f>
        <v>-0.9</v>
      </c>
      <c r="L311" s="864" t="str">
        <f t="shared" si="243"/>
        <v>-</v>
      </c>
      <c r="M311" s="864">
        <f t="shared" si="243"/>
        <v>0</v>
      </c>
      <c r="N311" s="801"/>
      <c r="O311" s="801"/>
      <c r="P311" s="801"/>
    </row>
    <row r="312" spans="1:16">
      <c r="A312" s="1315"/>
      <c r="B312" s="863">
        <v>14</v>
      </c>
      <c r="C312" s="864">
        <f>C153</f>
        <v>37</v>
      </c>
      <c r="D312" s="864">
        <f t="shared" ref="D312:F312" si="244">D153</f>
        <v>0.4</v>
      </c>
      <c r="E312" s="864" t="str">
        <f t="shared" si="244"/>
        <v>-</v>
      </c>
      <c r="F312" s="864">
        <f t="shared" si="244"/>
        <v>0</v>
      </c>
      <c r="G312" s="801"/>
      <c r="H312" s="1316"/>
      <c r="I312" s="863">
        <v>14</v>
      </c>
      <c r="J312" s="864">
        <f>I153</f>
        <v>80</v>
      </c>
      <c r="K312" s="864">
        <f t="shared" ref="K312:M312" si="245">J153</f>
        <v>-2.5</v>
      </c>
      <c r="L312" s="864" t="str">
        <f t="shared" si="245"/>
        <v>-</v>
      </c>
      <c r="M312" s="864">
        <f t="shared" si="245"/>
        <v>0</v>
      </c>
      <c r="N312" s="801"/>
      <c r="O312" s="801"/>
      <c r="P312" s="801"/>
    </row>
    <row r="313" spans="1:16">
      <c r="A313" s="1315"/>
      <c r="B313" s="863">
        <v>15</v>
      </c>
      <c r="C313" s="864">
        <f>C164</f>
        <v>37</v>
      </c>
      <c r="D313" s="864">
        <f t="shared" ref="D313:F313" si="246">D164</f>
        <v>-0.6</v>
      </c>
      <c r="E313" s="864" t="str">
        <f t="shared" si="246"/>
        <v>-</v>
      </c>
      <c r="F313" s="864">
        <f t="shared" si="246"/>
        <v>0</v>
      </c>
      <c r="G313" s="801"/>
      <c r="H313" s="1316"/>
      <c r="I313" s="863">
        <v>15</v>
      </c>
      <c r="J313" s="864">
        <f>I164</f>
        <v>80</v>
      </c>
      <c r="K313" s="864">
        <f t="shared" ref="K313:M313" si="247">J164</f>
        <v>-0.8</v>
      </c>
      <c r="L313" s="864" t="str">
        <f t="shared" si="247"/>
        <v>-</v>
      </c>
      <c r="M313" s="864">
        <f t="shared" si="247"/>
        <v>0</v>
      </c>
      <c r="N313" s="801"/>
      <c r="O313" s="801"/>
      <c r="P313" s="801"/>
    </row>
    <row r="314" spans="1:16">
      <c r="A314" s="1315"/>
      <c r="B314" s="863">
        <v>16</v>
      </c>
      <c r="C314" s="864">
        <f>C175</f>
        <v>37</v>
      </c>
      <c r="D314" s="864">
        <f t="shared" ref="D314:F314" si="248">D175</f>
        <v>9.9999999999999995E-7</v>
      </c>
      <c r="E314" s="864" t="str">
        <f t="shared" si="248"/>
        <v>-</v>
      </c>
      <c r="F314" s="864">
        <f t="shared" si="248"/>
        <v>0</v>
      </c>
      <c r="G314" s="801"/>
      <c r="H314" s="1316"/>
      <c r="I314" s="863">
        <v>16</v>
      </c>
      <c r="J314" s="864">
        <f>I175</f>
        <v>80</v>
      </c>
      <c r="K314" s="864">
        <f t="shared" ref="K314:M314" si="249">J175</f>
        <v>-2.2999999999999998</v>
      </c>
      <c r="L314" s="864" t="str">
        <f t="shared" si="249"/>
        <v>-</v>
      </c>
      <c r="M314" s="864">
        <f t="shared" si="249"/>
        <v>0</v>
      </c>
      <c r="N314" s="801"/>
      <c r="O314" s="801"/>
      <c r="P314" s="801"/>
    </row>
    <row r="315" spans="1:16">
      <c r="A315" s="1315"/>
      <c r="B315" s="863">
        <v>17</v>
      </c>
      <c r="C315" s="864">
        <f>C186</f>
        <v>37</v>
      </c>
      <c r="D315" s="864">
        <f t="shared" ref="D315:F315" si="250">D186</f>
        <v>-0.3</v>
      </c>
      <c r="E315" s="864" t="str">
        <f t="shared" si="250"/>
        <v>-</v>
      </c>
      <c r="F315" s="864">
        <f t="shared" si="250"/>
        <v>0</v>
      </c>
      <c r="G315" s="801"/>
      <c r="H315" s="1316"/>
      <c r="I315" s="863">
        <v>17</v>
      </c>
      <c r="J315" s="864">
        <f>I186</f>
        <v>80</v>
      </c>
      <c r="K315" s="864">
        <f t="shared" ref="K315:M315" si="251">J186</f>
        <v>-0.5</v>
      </c>
      <c r="L315" s="864" t="str">
        <f t="shared" si="251"/>
        <v>-</v>
      </c>
      <c r="M315" s="864">
        <f t="shared" si="251"/>
        <v>0</v>
      </c>
      <c r="N315" s="864"/>
      <c r="O315" s="801"/>
      <c r="P315" s="801"/>
    </row>
    <row r="316" spans="1:16">
      <c r="A316" s="1315"/>
      <c r="B316" s="863">
        <v>18</v>
      </c>
      <c r="C316" s="864">
        <f>C197</f>
        <v>37</v>
      </c>
      <c r="D316" s="864">
        <f t="shared" ref="D316:F316" si="252">D197</f>
        <v>-0.3</v>
      </c>
      <c r="E316" s="864" t="str">
        <f t="shared" si="252"/>
        <v>-</v>
      </c>
      <c r="F316" s="864">
        <f t="shared" si="252"/>
        <v>0</v>
      </c>
      <c r="G316" s="801"/>
      <c r="H316" s="1316"/>
      <c r="I316" s="863">
        <v>18</v>
      </c>
      <c r="J316" s="864">
        <f>I197</f>
        <v>80</v>
      </c>
      <c r="K316" s="864">
        <f t="shared" ref="K316:M316" si="253">J197</f>
        <v>-0.5</v>
      </c>
      <c r="L316" s="864" t="str">
        <f t="shared" si="253"/>
        <v>-</v>
      </c>
      <c r="M316" s="864">
        <f t="shared" si="253"/>
        <v>0</v>
      </c>
      <c r="N316" s="801"/>
      <c r="O316" s="801"/>
      <c r="P316" s="801"/>
    </row>
    <row r="317" spans="1:16">
      <c r="A317" s="873"/>
      <c r="B317" s="874"/>
      <c r="C317" s="881"/>
      <c r="D317" s="881"/>
      <c r="E317" s="881"/>
      <c r="F317" s="882"/>
      <c r="G317" s="877"/>
      <c r="H317" s="884"/>
      <c r="I317" s="874"/>
      <c r="J317" s="881"/>
      <c r="K317" s="881"/>
      <c r="L317" s="881"/>
      <c r="M317" s="882"/>
      <c r="N317" s="801"/>
      <c r="O317" s="801"/>
      <c r="P317" s="801"/>
    </row>
    <row r="318" spans="1:16">
      <c r="A318" s="1315" t="s">
        <v>371</v>
      </c>
      <c r="B318" s="863">
        <v>1</v>
      </c>
      <c r="C318" s="864">
        <f>C11</f>
        <v>40</v>
      </c>
      <c r="D318" s="864">
        <f t="shared" ref="D318:F318" si="254">D11</f>
        <v>-0.3</v>
      </c>
      <c r="E318" s="864">
        <f t="shared" si="254"/>
        <v>-0.8</v>
      </c>
      <c r="F318" s="864">
        <f t="shared" si="254"/>
        <v>0.25</v>
      </c>
      <c r="G318" s="801"/>
      <c r="H318" s="1316" t="s">
        <v>371</v>
      </c>
      <c r="I318" s="863">
        <v>1</v>
      </c>
      <c r="J318" s="864">
        <f>I11</f>
        <v>90</v>
      </c>
      <c r="K318" s="864">
        <f t="shared" ref="K318:M318" si="255">J11</f>
        <v>0.3</v>
      </c>
      <c r="L318" s="864">
        <f t="shared" si="255"/>
        <v>4.5</v>
      </c>
      <c r="M318" s="864">
        <f t="shared" si="255"/>
        <v>2.1</v>
      </c>
      <c r="N318" s="801"/>
      <c r="O318" s="801"/>
      <c r="P318" s="801"/>
    </row>
    <row r="319" spans="1:16">
      <c r="A319" s="1315"/>
      <c r="B319" s="863">
        <v>2</v>
      </c>
      <c r="C319" s="864">
        <f>C22</f>
        <v>40</v>
      </c>
      <c r="D319" s="864">
        <f t="shared" ref="D319:F319" si="256">D22</f>
        <v>-0.3</v>
      </c>
      <c r="E319" s="864">
        <f t="shared" si="256"/>
        <v>-2.1</v>
      </c>
      <c r="F319" s="864">
        <f t="shared" si="256"/>
        <v>0.9</v>
      </c>
      <c r="G319" s="801"/>
      <c r="H319" s="1316"/>
      <c r="I319" s="863">
        <v>2</v>
      </c>
      <c r="J319" s="864">
        <f>I22</f>
        <v>90</v>
      </c>
      <c r="K319" s="864">
        <f t="shared" ref="K319:M319" si="257">J22</f>
        <v>-0.3</v>
      </c>
      <c r="L319" s="864">
        <f t="shared" si="257"/>
        <v>0.6</v>
      </c>
      <c r="M319" s="864">
        <f t="shared" si="257"/>
        <v>0.44999999999999996</v>
      </c>
      <c r="N319" s="801"/>
      <c r="O319" s="801"/>
      <c r="P319" s="801"/>
    </row>
    <row r="320" spans="1:16">
      <c r="A320" s="1315"/>
      <c r="B320" s="863">
        <v>3</v>
      </c>
      <c r="C320" s="864">
        <f>C33</f>
        <v>40</v>
      </c>
      <c r="D320" s="864">
        <f t="shared" ref="D320:F320" si="258">D33</f>
        <v>-0.7</v>
      </c>
      <c r="E320" s="864">
        <f t="shared" si="258"/>
        <v>-0.5</v>
      </c>
      <c r="F320" s="864">
        <f t="shared" si="258"/>
        <v>9.9999999999999978E-2</v>
      </c>
      <c r="G320" s="801"/>
      <c r="H320" s="1316"/>
      <c r="I320" s="863">
        <v>3</v>
      </c>
      <c r="J320" s="864">
        <f>I33</f>
        <v>90</v>
      </c>
      <c r="K320" s="864">
        <f t="shared" ref="K320:M320" si="259">J33</f>
        <v>-2</v>
      </c>
      <c r="L320" s="864">
        <f t="shared" si="259"/>
        <v>0.9</v>
      </c>
      <c r="M320" s="864">
        <f t="shared" si="259"/>
        <v>1.45</v>
      </c>
      <c r="N320" s="801"/>
      <c r="O320" s="801"/>
      <c r="P320" s="801"/>
    </row>
    <row r="321" spans="1:16">
      <c r="A321" s="1315"/>
      <c r="B321" s="863">
        <v>4</v>
      </c>
      <c r="C321" s="864">
        <f>C44</f>
        <v>40</v>
      </c>
      <c r="D321" s="864">
        <f t="shared" ref="D321:F321" si="260">D44</f>
        <v>-0.6</v>
      </c>
      <c r="E321" s="864">
        <f t="shared" si="260"/>
        <v>-2.1</v>
      </c>
      <c r="F321" s="864">
        <f t="shared" si="260"/>
        <v>0.75</v>
      </c>
      <c r="G321" s="801"/>
      <c r="H321" s="1316"/>
      <c r="I321" s="863">
        <v>4</v>
      </c>
      <c r="J321" s="864">
        <f>I44</f>
        <v>90</v>
      </c>
      <c r="K321" s="864">
        <f t="shared" ref="K321:M321" si="261">J44</f>
        <v>3.3</v>
      </c>
      <c r="L321" s="864">
        <f t="shared" si="261"/>
        <v>0.2</v>
      </c>
      <c r="M321" s="864">
        <f t="shared" si="261"/>
        <v>1.5499999999999998</v>
      </c>
      <c r="N321" s="801"/>
      <c r="O321" s="801"/>
      <c r="P321" s="801"/>
    </row>
    <row r="322" spans="1:16">
      <c r="A322" s="1315"/>
      <c r="B322" s="863">
        <v>5</v>
      </c>
      <c r="C322" s="864">
        <f>C55</f>
        <v>40</v>
      </c>
      <c r="D322" s="864">
        <f t="shared" ref="D322:F322" si="262">D55</f>
        <v>0.7</v>
      </c>
      <c r="E322" s="864">
        <f t="shared" si="262"/>
        <v>-0.1</v>
      </c>
      <c r="F322" s="864">
        <f t="shared" si="262"/>
        <v>0.39999999999999997</v>
      </c>
      <c r="G322" s="801"/>
      <c r="H322" s="1316"/>
      <c r="I322" s="863">
        <v>5</v>
      </c>
      <c r="J322" s="864">
        <f>I55</f>
        <v>90</v>
      </c>
      <c r="K322" s="864">
        <f t="shared" ref="K322:M322" si="263">J55</f>
        <v>-1.8</v>
      </c>
      <c r="L322" s="864">
        <f t="shared" si="263"/>
        <v>2.7</v>
      </c>
      <c r="M322" s="864">
        <f t="shared" si="263"/>
        <v>2.25</v>
      </c>
      <c r="N322" s="801"/>
      <c r="O322" s="801"/>
      <c r="P322" s="801"/>
    </row>
    <row r="323" spans="1:16">
      <c r="A323" s="1315"/>
      <c r="B323" s="863">
        <v>6</v>
      </c>
      <c r="C323" s="864">
        <f>C66</f>
        <v>40</v>
      </c>
      <c r="D323" s="864">
        <f t="shared" ref="D323:F323" si="264">D66</f>
        <v>0.1</v>
      </c>
      <c r="E323" s="864">
        <f t="shared" si="264"/>
        <v>-1.4</v>
      </c>
      <c r="F323" s="864">
        <f t="shared" si="264"/>
        <v>0.75</v>
      </c>
      <c r="G323" s="801"/>
      <c r="H323" s="1316"/>
      <c r="I323" s="863">
        <v>6</v>
      </c>
      <c r="J323" s="864">
        <f>I66</f>
        <v>90</v>
      </c>
      <c r="K323" s="864">
        <f t="shared" ref="K323:M323" si="265">J66</f>
        <v>-5.2</v>
      </c>
      <c r="L323" s="864">
        <f t="shared" si="265"/>
        <v>-2.6</v>
      </c>
      <c r="M323" s="864">
        <f t="shared" si="265"/>
        <v>1.3</v>
      </c>
      <c r="N323" s="801"/>
      <c r="O323" s="801"/>
      <c r="P323" s="801"/>
    </row>
    <row r="324" spans="1:16">
      <c r="A324" s="1315"/>
      <c r="B324" s="863">
        <v>7</v>
      </c>
      <c r="C324" s="864">
        <f>C77</f>
        <v>40</v>
      </c>
      <c r="D324" s="864">
        <f t="shared" ref="D324:F324" si="266">D77</f>
        <v>-1.7</v>
      </c>
      <c r="E324" s="864">
        <f t="shared" si="266"/>
        <v>-0.1</v>
      </c>
      <c r="F324" s="864">
        <f t="shared" si="266"/>
        <v>0.79999999999999993</v>
      </c>
      <c r="G324" s="801"/>
      <c r="H324" s="1316"/>
      <c r="I324" s="863">
        <v>7</v>
      </c>
      <c r="J324" s="864">
        <f>I77</f>
        <v>90</v>
      </c>
      <c r="K324" s="864">
        <f t="shared" ref="K324:M324" si="267">J77</f>
        <v>1.8</v>
      </c>
      <c r="L324" s="864">
        <f t="shared" si="267"/>
        <v>4.4000000000000004</v>
      </c>
      <c r="M324" s="864">
        <f t="shared" si="267"/>
        <v>1.3000000000000003</v>
      </c>
      <c r="N324" s="801"/>
      <c r="O324" s="801"/>
      <c r="P324" s="801"/>
    </row>
    <row r="325" spans="1:16">
      <c r="A325" s="1315"/>
      <c r="B325" s="863">
        <v>8</v>
      </c>
      <c r="C325" s="864">
        <f>C88</f>
        <v>40</v>
      </c>
      <c r="D325" s="864">
        <f t="shared" ref="D325:F325" si="268">D88</f>
        <v>-0.4</v>
      </c>
      <c r="E325" s="864">
        <f t="shared" si="268"/>
        <v>-0.4</v>
      </c>
      <c r="F325" s="864">
        <f t="shared" si="268"/>
        <v>0</v>
      </c>
      <c r="G325" s="801"/>
      <c r="H325" s="1316"/>
      <c r="I325" s="863">
        <v>8</v>
      </c>
      <c r="J325" s="864">
        <f>I88</f>
        <v>90</v>
      </c>
      <c r="K325" s="864">
        <f t="shared" ref="K325:M325" si="269">J88</f>
        <v>-1.3</v>
      </c>
      <c r="L325" s="864">
        <f t="shared" si="269"/>
        <v>2.6</v>
      </c>
      <c r="M325" s="864">
        <f t="shared" si="269"/>
        <v>1.9500000000000002</v>
      </c>
      <c r="N325" s="801"/>
      <c r="O325" s="801"/>
      <c r="P325" s="801"/>
    </row>
    <row r="326" spans="1:16">
      <c r="A326" s="1315"/>
      <c r="B326" s="863">
        <v>9</v>
      </c>
      <c r="C326" s="864">
        <f>C99</f>
        <v>40</v>
      </c>
      <c r="D326" s="864">
        <f t="shared" ref="D326:F326" si="270">D99</f>
        <v>-0.4</v>
      </c>
      <c r="E326" s="864" t="str">
        <f t="shared" si="270"/>
        <v>-</v>
      </c>
      <c r="F326" s="864">
        <f t="shared" si="270"/>
        <v>0</v>
      </c>
      <c r="G326" s="801"/>
      <c r="H326" s="1316"/>
      <c r="I326" s="863">
        <v>9</v>
      </c>
      <c r="J326" s="864">
        <f>I99</f>
        <v>90</v>
      </c>
      <c r="K326" s="864">
        <f t="shared" ref="K326:M326" si="271">J99</f>
        <v>-0.2</v>
      </c>
      <c r="L326" s="864" t="str">
        <f t="shared" si="271"/>
        <v>-</v>
      </c>
      <c r="M326" s="864">
        <f t="shared" si="271"/>
        <v>0</v>
      </c>
      <c r="N326" s="801"/>
      <c r="O326" s="801"/>
      <c r="P326" s="801"/>
    </row>
    <row r="327" spans="1:16">
      <c r="A327" s="1315"/>
      <c r="B327" s="863">
        <v>10</v>
      </c>
      <c r="C327" s="864">
        <f>C110</f>
        <v>40</v>
      </c>
      <c r="D327" s="864">
        <f t="shared" ref="D327:F327" si="272">D110</f>
        <v>0.2</v>
      </c>
      <c r="E327" s="864">
        <f t="shared" si="272"/>
        <v>0</v>
      </c>
      <c r="F327" s="864">
        <f t="shared" si="272"/>
        <v>0.1</v>
      </c>
      <c r="G327" s="801"/>
      <c r="H327" s="1316"/>
      <c r="I327" s="863">
        <v>10</v>
      </c>
      <c r="J327" s="864">
        <f>I110</f>
        <v>90</v>
      </c>
      <c r="K327" s="864">
        <f t="shared" ref="K327:M327" si="273">J110</f>
        <v>5.4</v>
      </c>
      <c r="L327" s="864">
        <f t="shared" si="273"/>
        <v>0</v>
      </c>
      <c r="M327" s="864">
        <f t="shared" si="273"/>
        <v>2.7</v>
      </c>
      <c r="N327" s="801"/>
      <c r="O327" s="801"/>
      <c r="P327" s="801"/>
    </row>
    <row r="328" spans="1:16">
      <c r="A328" s="1315"/>
      <c r="B328" s="863">
        <v>11</v>
      </c>
      <c r="C328" s="864">
        <f>C121</f>
        <v>40</v>
      </c>
      <c r="D328" s="864">
        <f t="shared" ref="D328:F328" si="274">D121</f>
        <v>0.5</v>
      </c>
      <c r="E328" s="864" t="str">
        <f t="shared" si="274"/>
        <v>-</v>
      </c>
      <c r="F328" s="864">
        <f t="shared" si="274"/>
        <v>0</v>
      </c>
      <c r="G328" s="801"/>
      <c r="H328" s="1316"/>
      <c r="I328" s="863">
        <v>11</v>
      </c>
      <c r="J328" s="864">
        <f>I121</f>
        <v>90</v>
      </c>
      <c r="K328" s="864">
        <f t="shared" ref="K328:M328" si="275">J121</f>
        <v>1.3</v>
      </c>
      <c r="L328" s="864" t="str">
        <f t="shared" si="275"/>
        <v>-</v>
      </c>
      <c r="M328" s="864">
        <f t="shared" si="275"/>
        <v>0</v>
      </c>
      <c r="N328" s="801"/>
      <c r="O328" s="801"/>
      <c r="P328" s="801"/>
    </row>
    <row r="329" spans="1:16">
      <c r="A329" s="1315"/>
      <c r="B329" s="863">
        <v>12</v>
      </c>
      <c r="C329" s="864">
        <f>C132</f>
        <v>40</v>
      </c>
      <c r="D329" s="864">
        <f t="shared" ref="D329:F329" si="276">D132</f>
        <v>9.9999999999999995E-7</v>
      </c>
      <c r="E329" s="864" t="str">
        <f t="shared" si="276"/>
        <v>-</v>
      </c>
      <c r="F329" s="864">
        <f t="shared" si="276"/>
        <v>0</v>
      </c>
      <c r="G329" s="801"/>
      <c r="H329" s="1316"/>
      <c r="I329" s="863">
        <v>12</v>
      </c>
      <c r="J329" s="864">
        <f>I132</f>
        <v>90</v>
      </c>
      <c r="K329" s="864">
        <f t="shared" ref="K329:M329" si="277">J132</f>
        <v>-2</v>
      </c>
      <c r="L329" s="864" t="str">
        <f t="shared" si="277"/>
        <v>-</v>
      </c>
      <c r="M329" s="864">
        <f t="shared" si="277"/>
        <v>0</v>
      </c>
      <c r="N329" s="801"/>
      <c r="O329" s="801"/>
      <c r="P329" s="801"/>
    </row>
    <row r="330" spans="1:16">
      <c r="A330" s="1315"/>
      <c r="B330" s="863">
        <v>13</v>
      </c>
      <c r="C330" s="864">
        <f>C143</f>
        <v>40</v>
      </c>
      <c r="D330" s="864">
        <f t="shared" ref="D330:F330" si="278">D143</f>
        <v>-1.1000000000000001</v>
      </c>
      <c r="E330" s="864" t="str">
        <f t="shared" si="278"/>
        <v>-</v>
      </c>
      <c r="F330" s="864">
        <f t="shared" si="278"/>
        <v>0</v>
      </c>
      <c r="G330" s="801"/>
      <c r="H330" s="1316"/>
      <c r="I330" s="863">
        <v>13</v>
      </c>
      <c r="J330" s="864">
        <f>I143</f>
        <v>90</v>
      </c>
      <c r="K330" s="864">
        <f t="shared" ref="K330:M330" si="279">J143</f>
        <v>-0.8</v>
      </c>
      <c r="L330" s="864" t="str">
        <f t="shared" si="279"/>
        <v>-</v>
      </c>
      <c r="M330" s="864">
        <f t="shared" si="279"/>
        <v>0</v>
      </c>
      <c r="N330" s="801"/>
      <c r="O330" s="801"/>
      <c r="P330" s="801"/>
    </row>
    <row r="331" spans="1:16">
      <c r="A331" s="1315"/>
      <c r="B331" s="863">
        <v>14</v>
      </c>
      <c r="C331" s="864">
        <f>C154</f>
        <v>40</v>
      </c>
      <c r="D331" s="864">
        <f t="shared" ref="D331:F331" si="280">D154</f>
        <v>0.5</v>
      </c>
      <c r="E331" s="864" t="str">
        <f t="shared" si="280"/>
        <v>-</v>
      </c>
      <c r="F331" s="864">
        <f t="shared" si="280"/>
        <v>0</v>
      </c>
      <c r="G331" s="801"/>
      <c r="H331" s="1316"/>
      <c r="I331" s="863">
        <v>14</v>
      </c>
      <c r="J331" s="864">
        <f>I154</f>
        <v>90</v>
      </c>
      <c r="K331" s="864">
        <f t="shared" ref="K331:M331" si="281">J154</f>
        <v>-3.2</v>
      </c>
      <c r="L331" s="864" t="str">
        <f t="shared" si="281"/>
        <v>-</v>
      </c>
      <c r="M331" s="864">
        <f t="shared" si="281"/>
        <v>0</v>
      </c>
      <c r="N331" s="801"/>
      <c r="O331" s="801"/>
      <c r="P331" s="801"/>
    </row>
    <row r="332" spans="1:16">
      <c r="A332" s="1315"/>
      <c r="B332" s="863">
        <v>15</v>
      </c>
      <c r="C332" s="864">
        <f>C165</f>
        <v>40</v>
      </c>
      <c r="D332" s="864">
        <f t="shared" ref="D332:F332" si="282">D165</f>
        <v>-0.8</v>
      </c>
      <c r="E332" s="864" t="str">
        <f t="shared" si="282"/>
        <v>-</v>
      </c>
      <c r="F332" s="864">
        <f t="shared" si="282"/>
        <v>0</v>
      </c>
      <c r="G332" s="801"/>
      <c r="H332" s="1316"/>
      <c r="I332" s="863">
        <v>15</v>
      </c>
      <c r="J332" s="864">
        <f>I165</f>
        <v>90</v>
      </c>
      <c r="K332" s="864">
        <f t="shared" ref="K332:M332" si="283">J165</f>
        <v>-1.4</v>
      </c>
      <c r="L332" s="864" t="str">
        <f t="shared" si="283"/>
        <v>-</v>
      </c>
      <c r="M332" s="864">
        <f t="shared" si="283"/>
        <v>0</v>
      </c>
      <c r="N332" s="801"/>
      <c r="O332" s="801"/>
      <c r="P332" s="801"/>
    </row>
    <row r="333" spans="1:16">
      <c r="A333" s="1315"/>
      <c r="B333" s="863">
        <v>16</v>
      </c>
      <c r="C333" s="864">
        <f>C176</f>
        <v>40</v>
      </c>
      <c r="D333" s="864">
        <f t="shared" ref="D333:F333" si="284">D176</f>
        <v>9.9999999999999995E-7</v>
      </c>
      <c r="E333" s="864" t="str">
        <f t="shared" si="284"/>
        <v>-</v>
      </c>
      <c r="F333" s="864">
        <f t="shared" si="284"/>
        <v>0</v>
      </c>
      <c r="G333" s="801"/>
      <c r="H333" s="1316"/>
      <c r="I333" s="863">
        <v>16</v>
      </c>
      <c r="J333" s="864">
        <f>I176</f>
        <v>90</v>
      </c>
      <c r="K333" s="864">
        <f t="shared" ref="K333:M333" si="285">J176</f>
        <v>-3</v>
      </c>
      <c r="L333" s="864" t="str">
        <f t="shared" si="285"/>
        <v>-</v>
      </c>
      <c r="M333" s="864">
        <f t="shared" si="285"/>
        <v>0</v>
      </c>
      <c r="N333" s="801"/>
      <c r="O333" s="801"/>
      <c r="P333" s="801"/>
    </row>
    <row r="334" spans="1:16">
      <c r="A334" s="1315"/>
      <c r="B334" s="863">
        <v>17</v>
      </c>
      <c r="C334" s="864">
        <f>C187</f>
        <v>40</v>
      </c>
      <c r="D334" s="864">
        <f t="shared" ref="D334:F334" si="286">D187</f>
        <v>-0.4</v>
      </c>
      <c r="E334" s="864" t="str">
        <f t="shared" si="286"/>
        <v>-</v>
      </c>
      <c r="F334" s="864">
        <f t="shared" si="286"/>
        <v>0</v>
      </c>
      <c r="G334" s="801"/>
      <c r="H334" s="1316"/>
      <c r="I334" s="863">
        <v>17</v>
      </c>
      <c r="J334" s="864">
        <f>I187</f>
        <v>90</v>
      </c>
      <c r="K334" s="864">
        <f t="shared" ref="K334:M334" si="287">J187</f>
        <v>-0.8</v>
      </c>
      <c r="L334" s="864" t="str">
        <f t="shared" si="287"/>
        <v>-</v>
      </c>
      <c r="M334" s="864">
        <f t="shared" si="287"/>
        <v>0</v>
      </c>
      <c r="N334" s="801"/>
      <c r="O334" s="801"/>
      <c r="P334" s="801"/>
    </row>
    <row r="335" spans="1:16">
      <c r="A335" s="1315"/>
      <c r="B335" s="863">
        <v>18</v>
      </c>
      <c r="C335" s="864">
        <f>C198</f>
        <v>40</v>
      </c>
      <c r="D335" s="864">
        <f t="shared" ref="D335:F335" si="288">D198</f>
        <v>-0.4</v>
      </c>
      <c r="E335" s="864" t="str">
        <f t="shared" si="288"/>
        <v>-</v>
      </c>
      <c r="F335" s="864">
        <f t="shared" si="288"/>
        <v>0</v>
      </c>
      <c r="G335" s="801"/>
      <c r="H335" s="1316"/>
      <c r="I335" s="863">
        <v>18</v>
      </c>
      <c r="J335" s="864">
        <f>I198</f>
        <v>90</v>
      </c>
      <c r="K335" s="864">
        <f t="shared" ref="K335:M335" si="289">J198</f>
        <v>-0.9</v>
      </c>
      <c r="L335" s="864" t="str">
        <f t="shared" si="289"/>
        <v>-</v>
      </c>
      <c r="M335" s="864">
        <f t="shared" si="289"/>
        <v>0</v>
      </c>
      <c r="N335" s="801"/>
      <c r="O335" s="801"/>
      <c r="P335" s="801"/>
    </row>
    <row r="336" spans="1:16" ht="13.8" thickBot="1">
      <c r="A336" s="885"/>
      <c r="B336" s="886"/>
      <c r="C336" s="877"/>
      <c r="D336" s="877"/>
      <c r="E336" s="877"/>
      <c r="F336" s="877"/>
      <c r="G336" s="877"/>
      <c r="H336" s="801"/>
      <c r="I336" s="887"/>
      <c r="J336" s="886"/>
      <c r="K336" s="877"/>
      <c r="L336" s="877"/>
      <c r="M336" s="877"/>
      <c r="N336" s="877"/>
      <c r="O336" s="877"/>
      <c r="P336" s="801"/>
    </row>
    <row r="337" spans="1:16" ht="29.25" customHeight="1">
      <c r="A337" s="888">
        <f>A375</f>
        <v>3</v>
      </c>
      <c r="B337" s="1331" t="str">
        <f>A356</f>
        <v>Thermohygrolight, Merek : KIMO, Model : KH-210-AO, SN : 14082463</v>
      </c>
      <c r="C337" s="1331"/>
      <c r="D337" s="1332"/>
      <c r="E337" s="889"/>
      <c r="F337" s="888">
        <f>A337</f>
        <v>3</v>
      </c>
      <c r="G337" s="1331" t="str">
        <f>B337</f>
        <v>Thermohygrolight, Merek : KIMO, Model : KH-210-AO, SN : 14082463</v>
      </c>
      <c r="H337" s="1331"/>
      <c r="I337" s="1332"/>
      <c r="J337" s="889"/>
      <c r="K337" s="888">
        <f>A337</f>
        <v>3</v>
      </c>
      <c r="L337" s="1349" t="str">
        <f>G337</f>
        <v>Thermohygrolight, Merek : KIMO, Model : KH-210-AO, SN : 14082463</v>
      </c>
      <c r="M337" s="1350"/>
      <c r="N337" s="1350"/>
      <c r="O337" s="1351"/>
      <c r="P337" s="801"/>
    </row>
    <row r="338" spans="1:16" ht="13.8">
      <c r="A338" s="890" t="s">
        <v>343</v>
      </c>
      <c r="B338" s="1352" t="s">
        <v>185</v>
      </c>
      <c r="C338" s="1352"/>
      <c r="D338" s="1353" t="s">
        <v>182</v>
      </c>
      <c r="E338" s="1354" t="s">
        <v>183</v>
      </c>
      <c r="F338" s="891" t="s">
        <v>344</v>
      </c>
      <c r="G338" s="1352" t="s">
        <v>185</v>
      </c>
      <c r="H338" s="1352"/>
      <c r="I338" s="1356" t="s">
        <v>182</v>
      </c>
      <c r="J338" s="1354" t="s">
        <v>183</v>
      </c>
      <c r="K338" s="1357"/>
      <c r="L338" s="1337" t="s">
        <v>299</v>
      </c>
      <c r="M338" s="1337" t="s">
        <v>98</v>
      </c>
      <c r="N338" s="1337" t="s">
        <v>99</v>
      </c>
      <c r="O338" s="1338" t="s">
        <v>183</v>
      </c>
      <c r="P338" s="801"/>
    </row>
    <row r="339" spans="1:16" ht="14.4">
      <c r="A339" s="892" t="s">
        <v>364</v>
      </c>
      <c r="B339" s="893">
        <f>VLOOKUP(B337,A357:K374,9,FALSE)</f>
        <v>2018</v>
      </c>
      <c r="C339" s="893">
        <f>VLOOKUP(B337,A357:K374,10,FALSE)</f>
        <v>2017</v>
      </c>
      <c r="D339" s="1353"/>
      <c r="E339" s="1355"/>
      <c r="F339" s="894" t="s">
        <v>93</v>
      </c>
      <c r="G339" s="893">
        <f>B339</f>
        <v>2018</v>
      </c>
      <c r="H339" s="893">
        <f>C339</f>
        <v>2017</v>
      </c>
      <c r="I339" s="1356"/>
      <c r="J339" s="1355"/>
      <c r="K339" s="1358"/>
      <c r="L339" s="1337"/>
      <c r="M339" s="1337"/>
      <c r="N339" s="1337"/>
      <c r="O339" s="1338"/>
      <c r="P339" s="801"/>
    </row>
    <row r="340" spans="1:16">
      <c r="A340" s="895">
        <f>VLOOKUP($A$337,$B$204:$F$221,2,FALSE)</f>
        <v>15</v>
      </c>
      <c r="B340" s="896">
        <f>VLOOKUP($A$337,$B$204:$F$221,3,FALSE)</f>
        <v>0</v>
      </c>
      <c r="C340" s="896">
        <f>VLOOKUP($A$337,$B$204:$F$221,4,FALSE)</f>
        <v>0.2</v>
      </c>
      <c r="D340" s="897">
        <f>VLOOKUP($A$337,$B$204:$F$221,5,FALSE)</f>
        <v>0.1</v>
      </c>
      <c r="F340" s="898">
        <f>VLOOKUP($F$337,$I$204:$M$221,2,FALSE)</f>
        <v>30</v>
      </c>
      <c r="G340" s="896">
        <f>VLOOKUP($F$337,$I$204:$M$221,3,FALSE)</f>
        <v>-5.7</v>
      </c>
      <c r="H340" s="896">
        <f>VLOOKUP($F$337,$I$204:$M$221,4,FALSE)</f>
        <v>-1.1000000000000001</v>
      </c>
      <c r="I340" s="899">
        <f>VLOOKUP($F$337,$I$204:$M$221,5,FALSE)</f>
        <v>2.2999999999999998</v>
      </c>
      <c r="J340" s="877"/>
      <c r="K340" s="1359"/>
      <c r="L340" s="1337"/>
      <c r="M340" s="1337"/>
      <c r="N340" s="1337"/>
      <c r="O340" s="1338"/>
      <c r="P340" s="801"/>
    </row>
    <row r="341" spans="1:16">
      <c r="A341" s="895">
        <f>VLOOKUP($A$337,$B$223:$F$240,2,FALSE)</f>
        <v>20</v>
      </c>
      <c r="B341" s="896">
        <f>VLOOKUP($A$337,$B$223:$F$240,3,FALSE)</f>
        <v>0</v>
      </c>
      <c r="C341" s="896">
        <f>VLOOKUP($A$337,$B$223:$F$240,4,FALSE)</f>
        <v>0</v>
      </c>
      <c r="D341" s="899">
        <f>VLOOKUP($A$337,$B$223:$F$240,5,FALSE)</f>
        <v>0</v>
      </c>
      <c r="E341" s="900"/>
      <c r="F341" s="895">
        <f>VLOOKUP($F$337,$I$223:$M$240,2,FALSE)</f>
        <v>40</v>
      </c>
      <c r="G341" s="896">
        <f>VLOOKUP($F$337,$I$223:$M$240,3,FALSE)</f>
        <v>-5.3</v>
      </c>
      <c r="H341" s="896">
        <f>VLOOKUP($F$337,$I$223:$M$240,4,FALSE)</f>
        <v>-1.9</v>
      </c>
      <c r="I341" s="899">
        <f>VLOOKUP($F$337,$I$223:$M$240,5,FALSE)</f>
        <v>1.7</v>
      </c>
      <c r="J341" s="877"/>
      <c r="K341" s="901" t="s">
        <v>343</v>
      </c>
      <c r="L341" s="902" t="str">
        <f>TEXT(ID!G14,"0.0")</f>
        <v>24.0</v>
      </c>
      <c r="M341" s="903" t="str">
        <f>TEXT(L341+E350,"0.0")</f>
        <v>23.8</v>
      </c>
      <c r="N341" s="903">
        <f>STDEV(ID!E14:F14)</f>
        <v>0.84852813742385902</v>
      </c>
      <c r="O341" s="900">
        <f>IF($A$337=$O$203,P203,IF($A$337=$O$204,P204,IF(A337=O205,P205,IF(A337=O206,P206,IF(A337=O207,P207,IF(A337=O208,P208,IF(A337=O209,P209,IF(A337=O210,P210,IF(A337=O211,P211,IF(A337=O212,P212,IF(A337=O213,P213,IF(A337=O214,P214,IF(A337=O215,P215,IF(A337=O216,P216,IF(A337=O217,P217,IF(A337=O218,P218,IF(A337=O219,P219,IF(A337=O220,P220))))))))))))))))))</f>
        <v>0.3</v>
      </c>
      <c r="P341" s="904"/>
    </row>
    <row r="342" spans="1:16" ht="13.8" thickBot="1">
      <c r="A342" s="895">
        <f>VLOOKUP($A$337,$B$242:$F$259,2,FALSE)</f>
        <v>25</v>
      </c>
      <c r="B342" s="896">
        <f>VLOOKUP($A$337,$B$242:$F$259,3,FALSE)</f>
        <v>-0.1</v>
      </c>
      <c r="C342" s="896">
        <f>VLOOKUP($A$337,$B$242:$F$259,4,FALSE)</f>
        <v>-0.2</v>
      </c>
      <c r="D342" s="899">
        <f>VLOOKUP($A$337,$B$242:$F$259,5,FALSE)</f>
        <v>0.05</v>
      </c>
      <c r="E342" s="877"/>
      <c r="F342" s="895">
        <f>VLOOKUP($F$337,$I$242:$M$259,2,FALSE)</f>
        <v>50</v>
      </c>
      <c r="G342" s="896">
        <f>VLOOKUP($F$337,$I$242:$M$259,3,FALSE)</f>
        <v>-4.9000000000000004</v>
      </c>
      <c r="H342" s="896">
        <f>VLOOKUP($F$337,$I$242:$M$259,4,FALSE)</f>
        <v>-2.2999999999999998</v>
      </c>
      <c r="I342" s="899">
        <f>VLOOKUP($F$337,$I$242:$M$259,5,FALSE)</f>
        <v>1.3000000000000003</v>
      </c>
      <c r="J342" s="877"/>
      <c r="K342" s="905" t="s">
        <v>93</v>
      </c>
      <c r="L342" s="902" t="str">
        <f>TEXT(ID!G15,"0.0")</f>
        <v>53.1</v>
      </c>
      <c r="M342" s="906" t="str">
        <f>TEXT(L342+J350,"0.0")</f>
        <v>48.6</v>
      </c>
      <c r="N342" s="903">
        <f>STDEV(ID!E15:F15)</f>
        <v>4.0305086527633183</v>
      </c>
      <c r="O342" s="900">
        <f>IF($A$337=$O$203,Q203,IF($A$337=$O$204,Q204,IF(A337=O205,Q205,IF(A337=O206,Q206,IF(A337=O207,Q207,IF(A337=O208,Q208,IF(A337=O209,Q209,IF(A337=O210,Q210,IF(A337=O211,Q211,IF(A337=O212,Q212,IF(A337=O213,Q213,IF(A337=O214,Q214,IF(A337=O215,Q215,IF(A337=O216,Q216,IF(A337=O217,Q217,IF(A337=O218,Q218,IF(A337=O219,Q219,IF(A337=O220,Q220))))))))))))))))))</f>
        <v>3.1</v>
      </c>
      <c r="P342" s="904"/>
    </row>
    <row r="343" spans="1:16">
      <c r="A343" s="895">
        <f>VLOOKUP($A$337,$B$261:$F$278,2,FALSE)</f>
        <v>30</v>
      </c>
      <c r="B343" s="896">
        <f>VLOOKUP($A$337,$B$261:$F$278,3,FALSE)</f>
        <v>-0.3</v>
      </c>
      <c r="C343" s="896">
        <f>VLOOKUP($A$337,$B$261:$F$278,4,FALSE)</f>
        <v>-0.3</v>
      </c>
      <c r="D343" s="899">
        <f>VLOOKUP($A$337,$B$261:$F$278,5,FALSE)</f>
        <v>0</v>
      </c>
      <c r="E343" s="877"/>
      <c r="F343" s="895">
        <f>VLOOKUP($F$337,$I$261:$M$278,2,FALSE)</f>
        <v>60</v>
      </c>
      <c r="G343" s="896">
        <f>VLOOKUP($F$337,$I$261:$M$278,3,FALSE)</f>
        <v>-4.3</v>
      </c>
      <c r="H343" s="896">
        <f>VLOOKUP($F$337,$I$261:$M$278,4,FALSE)</f>
        <v>-2.2000000000000002</v>
      </c>
      <c r="I343" s="899">
        <f>VLOOKUP($F$337,$I$261:$M$278,5,FALSE)</f>
        <v>1.0499999999999998</v>
      </c>
      <c r="J343" s="877"/>
      <c r="K343" s="877"/>
      <c r="L343" s="907"/>
      <c r="M343" s="908"/>
      <c r="N343" s="907"/>
      <c r="O343" s="909"/>
      <c r="P343" s="904"/>
    </row>
    <row r="344" spans="1:16" ht="13.8" thickBot="1">
      <c r="A344" s="895">
        <f>VLOOKUP($A$337,$B$280:$F$297,2,FALSE)</f>
        <v>35</v>
      </c>
      <c r="B344" s="896">
        <f>VLOOKUP($A$337,$B$280:$F$297,3,FALSE)</f>
        <v>-0.5</v>
      </c>
      <c r="C344" s="896">
        <f>VLOOKUP($A$337,$B$280:$F$297,4,FALSE)</f>
        <v>-0.4</v>
      </c>
      <c r="D344" s="899">
        <f>VLOOKUP($A$337,$B$280:$F$297,5,FALSE)</f>
        <v>4.9999999999999989E-2</v>
      </c>
      <c r="E344" s="877"/>
      <c r="F344" s="895">
        <f>VLOOKUP($F$337,$I$280:$M$297,2,FALSE)</f>
        <v>70</v>
      </c>
      <c r="G344" s="896">
        <f>VLOOKUP($F$337,$I$280:$M$297,3,FALSE)</f>
        <v>-3.6</v>
      </c>
      <c r="H344" s="896">
        <f>VLOOKUP($F$337,$I$280:$M$297,4,FALSE)</f>
        <v>-1.6</v>
      </c>
      <c r="I344" s="899">
        <f>VLOOKUP($F$337,$I$280:$M$297,5,FALSE)</f>
        <v>1</v>
      </c>
      <c r="J344" s="877"/>
      <c r="K344" s="877"/>
      <c r="O344" s="910"/>
      <c r="P344" s="904"/>
    </row>
    <row r="345" spans="1:16" ht="14.4" thickBot="1">
      <c r="A345" s="895">
        <f>VLOOKUP($A$337,$B$299:$F$316,2,FALSE)</f>
        <v>37</v>
      </c>
      <c r="B345" s="896">
        <f>VLOOKUP($A$337,$B$299:$F$316,3,FALSE)</f>
        <v>-0.6</v>
      </c>
      <c r="C345" s="896">
        <f>VLOOKUP($A$337,$B$299:$F$316,4,FALSE)</f>
        <v>-0.5</v>
      </c>
      <c r="D345" s="899">
        <f>VLOOKUP($A$337,$B$299:$F$316,5,FALSE)</f>
        <v>4.9999999999999989E-2</v>
      </c>
      <c r="E345" s="877"/>
      <c r="F345" s="895">
        <f>VLOOKUP($F$337,$I$299:$M$316,2,FALSE)</f>
        <v>80</v>
      </c>
      <c r="G345" s="896">
        <f>VLOOKUP($F$337,$I$299:$M$316,3,FALSE)</f>
        <v>-2.9</v>
      </c>
      <c r="H345" s="896">
        <f>VLOOKUP($F$337,$I$299:$M$316,4,FALSE)</f>
        <v>-0.6</v>
      </c>
      <c r="I345" s="899">
        <f>VLOOKUP($F$337,$I$299:$M$316,5,FALSE)</f>
        <v>1.1499999999999999</v>
      </c>
      <c r="J345" s="877"/>
      <c r="K345" s="1339" t="s">
        <v>372</v>
      </c>
      <c r="L345" s="803" t="str">
        <f>TEXT(M341,"0.0")</f>
        <v>23.8</v>
      </c>
      <c r="M345" s="911"/>
      <c r="O345" s="912"/>
      <c r="P345" s="913"/>
    </row>
    <row r="346" spans="1:16" ht="14.4" thickBot="1">
      <c r="A346" s="914">
        <f>VLOOKUP($A$337,$B$318:$F$335,2,FALSE)</f>
        <v>40</v>
      </c>
      <c r="B346" s="915">
        <f>VLOOKUP($A$337,$B$318:$F$335,3,FALSE)</f>
        <v>-0.7</v>
      </c>
      <c r="C346" s="915">
        <f>VLOOKUP($A$337,$B$318:$F$335,4,FALSE)</f>
        <v>-0.5</v>
      </c>
      <c r="D346" s="916">
        <f>VLOOKUP($A$337,$B$318:$F$335,5,FALSE)</f>
        <v>9.9999999999999978E-2</v>
      </c>
      <c r="E346" s="877"/>
      <c r="F346" s="914">
        <f>VLOOKUP($F$337,$I$318:$M$335,2,FALSE)</f>
        <v>90</v>
      </c>
      <c r="G346" s="915">
        <f>VLOOKUP($F$337,$I$318:$M$335,3,FALSE)</f>
        <v>-2</v>
      </c>
      <c r="H346" s="915">
        <f>VLOOKUP($F$337,$I$318:$M$335,4,FALSE)</f>
        <v>0.9</v>
      </c>
      <c r="I346" s="916">
        <f>VLOOKUP($F$337,$I$318:$M$335,5,FALSE)</f>
        <v>1.45</v>
      </c>
      <c r="J346" s="877"/>
      <c r="K346" s="1340"/>
      <c r="L346" s="803" t="str">
        <f>TEXT(M342,"0.0")</f>
        <v>48.6</v>
      </c>
      <c r="M346" s="815"/>
      <c r="O346" s="912"/>
      <c r="P346" s="904"/>
    </row>
    <row r="347" spans="1:16" ht="16.2" thickBot="1">
      <c r="A347" s="917"/>
      <c r="B347" s="877"/>
      <c r="C347" s="877"/>
      <c r="D347" s="877"/>
      <c r="E347" s="877"/>
      <c r="F347" s="877"/>
      <c r="G347" s="877"/>
      <c r="H347" s="877"/>
      <c r="I347" s="877"/>
      <c r="J347" s="877"/>
      <c r="K347" s="877"/>
      <c r="O347" s="912"/>
      <c r="P347" s="918"/>
    </row>
    <row r="348" spans="1:16" ht="14.4" thickBot="1">
      <c r="A348" s="1341" t="s">
        <v>373</v>
      </c>
      <c r="B348" s="1342"/>
      <c r="C348" s="1342"/>
      <c r="D348" s="1343"/>
      <c r="E348" s="478"/>
      <c r="F348" s="1341" t="s">
        <v>374</v>
      </c>
      <c r="G348" s="1342"/>
      <c r="H348" s="1342"/>
      <c r="I348" s="1343"/>
      <c r="J348" s="877"/>
      <c r="K348" s="877"/>
      <c r="L348" s="877"/>
      <c r="M348" s="919"/>
      <c r="N348" s="920"/>
      <c r="O348" s="912"/>
      <c r="P348" s="921"/>
    </row>
    <row r="349" spans="1:16" ht="13.8">
      <c r="A349" s="922"/>
      <c r="B349" s="923"/>
      <c r="C349" s="923"/>
      <c r="D349" s="924"/>
      <c r="E349" s="925"/>
      <c r="F349" s="926"/>
      <c r="G349" s="923"/>
      <c r="H349" s="923"/>
      <c r="I349" s="924"/>
      <c r="J349" s="877"/>
      <c r="K349" s="877"/>
      <c r="L349" s="877"/>
      <c r="M349" s="877"/>
      <c r="N349" s="877"/>
      <c r="O349" s="927"/>
      <c r="P349" s="928"/>
    </row>
    <row r="350" spans="1:16" ht="14.4">
      <c r="A350" s="929" t="str">
        <f>L341</f>
        <v>24.0</v>
      </c>
      <c r="B350" s="930"/>
      <c r="C350" s="930"/>
      <c r="D350" s="931"/>
      <c r="E350" s="932">
        <f>(FORECAST(A350,B340:B346,A340:A346))</f>
        <v>-0.16603773584905668</v>
      </c>
      <c r="F350" s="933" t="str">
        <f>L342</f>
        <v>53.1</v>
      </c>
      <c r="G350" s="930"/>
      <c r="H350" s="934"/>
      <c r="I350" s="931"/>
      <c r="J350" s="935">
        <f>(FORECAST(F350,G340:G346,F340:F346))</f>
        <v>-4.5238571428571426</v>
      </c>
      <c r="K350" s="877"/>
      <c r="L350" s="877"/>
      <c r="M350" s="877"/>
      <c r="N350" s="877"/>
      <c r="O350" s="927"/>
      <c r="P350" s="936"/>
    </row>
    <row r="351" spans="1:16" ht="13.8" thickBot="1">
      <c r="A351" s="937"/>
      <c r="B351" s="938"/>
      <c r="C351" s="939"/>
      <c r="D351" s="940"/>
      <c r="E351" s="941"/>
      <c r="F351" s="937"/>
      <c r="G351" s="938"/>
      <c r="H351" s="939"/>
      <c r="I351" s="940"/>
      <c r="J351" s="942"/>
      <c r="K351" s="942"/>
      <c r="L351" s="942"/>
      <c r="M351" s="942"/>
      <c r="N351" s="942"/>
      <c r="O351" s="943"/>
      <c r="P351" s="944"/>
    </row>
    <row r="355" spans="1:15" ht="13.8" thickBot="1"/>
    <row r="356" spans="1:15" s="945" customFormat="1" ht="13.8" thickBot="1">
      <c r="A356" s="1344" t="str">
        <f>ID!B67</f>
        <v>Thermohygrolight, Merek : KIMO, Model : KH-210-AO, SN : 14082463</v>
      </c>
      <c r="B356" s="1345"/>
      <c r="C356" s="1345"/>
      <c r="D356" s="1345"/>
      <c r="E356" s="1345"/>
      <c r="F356" s="1345"/>
      <c r="G356" s="1345"/>
      <c r="H356" s="1345"/>
      <c r="I356" s="1346"/>
      <c r="J356" s="1346"/>
      <c r="K356" s="1347"/>
      <c r="M356" s="1348" t="s">
        <v>375</v>
      </c>
      <c r="N356" s="1348"/>
      <c r="O356" s="1348"/>
    </row>
    <row r="357" spans="1:15" s="945" customFormat="1" ht="15.6">
      <c r="A357" s="946" t="s">
        <v>376</v>
      </c>
      <c r="B357" s="947"/>
      <c r="C357" s="947"/>
      <c r="D357" s="948"/>
      <c r="E357" s="948"/>
      <c r="F357" s="948"/>
      <c r="G357" s="949"/>
      <c r="H357" s="950"/>
      <c r="I357" s="951">
        <f>D4</f>
        <v>2020</v>
      </c>
      <c r="J357" s="952">
        <f>E4</f>
        <v>2017</v>
      </c>
      <c r="K357" s="953">
        <v>1</v>
      </c>
      <c r="M357" s="954" t="str">
        <f>TEXT(M341,"0.0")</f>
        <v>23.8</v>
      </c>
      <c r="N357" s="954" t="str">
        <f>TEXT(O341,"0.0")</f>
        <v>0.3</v>
      </c>
      <c r="O357" s="955" t="s">
        <v>377</v>
      </c>
    </row>
    <row r="358" spans="1:15" s="945" customFormat="1" ht="15.6">
      <c r="A358" s="946" t="s">
        <v>378</v>
      </c>
      <c r="B358" s="947"/>
      <c r="C358" s="947"/>
      <c r="D358" s="948"/>
      <c r="E358" s="948"/>
      <c r="F358" s="948"/>
      <c r="G358" s="949"/>
      <c r="H358" s="950"/>
      <c r="I358" s="956">
        <f>D15</f>
        <v>2018</v>
      </c>
      <c r="J358" s="957">
        <f>E15</f>
        <v>2017</v>
      </c>
      <c r="K358" s="953">
        <v>2</v>
      </c>
      <c r="M358" s="954" t="str">
        <f>TEXT(M342,"0.0")</f>
        <v>48.6</v>
      </c>
      <c r="N358" s="954" t="str">
        <f>TEXT(O342,"0.0")</f>
        <v>3.1</v>
      </c>
      <c r="O358" s="955" t="s">
        <v>379</v>
      </c>
    </row>
    <row r="359" spans="1:15" s="945" customFormat="1" ht="15.6">
      <c r="A359" s="946" t="s">
        <v>380</v>
      </c>
      <c r="B359" s="947"/>
      <c r="C359" s="947"/>
      <c r="D359" s="948"/>
      <c r="E359" s="948"/>
      <c r="F359" s="948"/>
      <c r="G359" s="949"/>
      <c r="H359" s="950"/>
      <c r="I359" s="956">
        <f>D26</f>
        <v>2018</v>
      </c>
      <c r="J359" s="957">
        <f>E26</f>
        <v>2017</v>
      </c>
      <c r="K359" s="953">
        <v>3</v>
      </c>
      <c r="M359" s="958" t="s">
        <v>241</v>
      </c>
      <c r="N359" s="959" t="s">
        <v>242</v>
      </c>
      <c r="O359" s="959" t="s">
        <v>468</v>
      </c>
    </row>
    <row r="360" spans="1:15" s="945" customFormat="1">
      <c r="A360" s="946" t="s">
        <v>381</v>
      </c>
      <c r="B360" s="947"/>
      <c r="C360" s="947"/>
      <c r="D360" s="948"/>
      <c r="E360" s="948"/>
      <c r="F360" s="948"/>
      <c r="G360" s="949"/>
      <c r="H360" s="950"/>
      <c r="I360" s="956">
        <f>D37</f>
        <v>2017</v>
      </c>
      <c r="J360" s="957">
        <f>E37</f>
        <v>2015</v>
      </c>
      <c r="K360" s="953">
        <v>4</v>
      </c>
    </row>
    <row r="361" spans="1:15" s="945" customFormat="1">
      <c r="A361" s="946" t="s">
        <v>382</v>
      </c>
      <c r="B361" s="947"/>
      <c r="C361" s="947"/>
      <c r="D361" s="948"/>
      <c r="E361" s="948"/>
      <c r="F361" s="948"/>
      <c r="G361" s="949"/>
      <c r="H361" s="950"/>
      <c r="I361" s="956">
        <f>D48</f>
        <v>2020</v>
      </c>
      <c r="J361" s="957">
        <f>E48</f>
        <v>2017</v>
      </c>
      <c r="K361" s="953">
        <v>5</v>
      </c>
    </row>
    <row r="362" spans="1:15" s="945" customFormat="1">
      <c r="A362" s="946" t="s">
        <v>383</v>
      </c>
      <c r="B362" s="947"/>
      <c r="C362" s="947"/>
      <c r="D362" s="948"/>
      <c r="E362" s="948"/>
      <c r="F362" s="948"/>
      <c r="G362" s="949"/>
      <c r="H362" s="950"/>
      <c r="I362" s="956">
        <f>D59</f>
        <v>2019</v>
      </c>
      <c r="J362" s="957">
        <f>E59</f>
        <v>2018</v>
      </c>
      <c r="K362" s="953">
        <v>6</v>
      </c>
    </row>
    <row r="363" spans="1:15" s="945" customFormat="1">
      <c r="A363" s="946" t="s">
        <v>384</v>
      </c>
      <c r="B363" s="947"/>
      <c r="C363" s="947"/>
      <c r="D363" s="948"/>
      <c r="E363" s="948"/>
      <c r="F363" s="948"/>
      <c r="G363" s="949"/>
      <c r="H363" s="950"/>
      <c r="I363" s="956">
        <f>D70</f>
        <v>2018</v>
      </c>
      <c r="J363" s="957">
        <f>E70</f>
        <v>2017</v>
      </c>
      <c r="K363" s="953">
        <v>7</v>
      </c>
    </row>
    <row r="364" spans="1:15" s="945" customFormat="1">
      <c r="A364" s="946" t="s">
        <v>385</v>
      </c>
      <c r="B364" s="947"/>
      <c r="C364" s="947"/>
      <c r="D364" s="948"/>
      <c r="E364" s="948"/>
      <c r="F364" s="948"/>
      <c r="G364" s="949"/>
      <c r="H364" s="950"/>
      <c r="I364" s="956">
        <f>D81</f>
        <v>2019</v>
      </c>
      <c r="J364" s="957">
        <f>E81</f>
        <v>2017</v>
      </c>
      <c r="K364" s="953">
        <v>8</v>
      </c>
      <c r="M364" s="945" t="str">
        <f>M359&amp;M357&amp;N359&amp;N357&amp;O359&amp;O357</f>
        <v>( 23.8 ± 0.3 ) °C</v>
      </c>
    </row>
    <row r="365" spans="1:15" s="945" customFormat="1">
      <c r="A365" s="946" t="s">
        <v>386</v>
      </c>
      <c r="B365" s="947"/>
      <c r="C365" s="947"/>
      <c r="D365" s="948"/>
      <c r="E365" s="948"/>
      <c r="F365" s="948"/>
      <c r="G365" s="949"/>
      <c r="H365" s="950"/>
      <c r="I365" s="956">
        <f>D92</f>
        <v>2019</v>
      </c>
      <c r="J365" s="957" t="str">
        <f>E92</f>
        <v>-</v>
      </c>
      <c r="K365" s="953">
        <v>9</v>
      </c>
      <c r="M365" s="945" t="str">
        <f>M359&amp;M358&amp;N359&amp;N358&amp;O359&amp;O358</f>
        <v>( 48.6 ± 3.1 ) %RH</v>
      </c>
    </row>
    <row r="366" spans="1:15" s="945" customFormat="1">
      <c r="A366" s="946" t="s">
        <v>387</v>
      </c>
      <c r="B366" s="947"/>
      <c r="C366" s="947"/>
      <c r="D366" s="948"/>
      <c r="E366" s="948"/>
      <c r="F366" s="948"/>
      <c r="G366" s="949"/>
      <c r="H366" s="950"/>
      <c r="I366" s="956">
        <f>D103</f>
        <v>2019</v>
      </c>
      <c r="J366" s="957">
        <f>E103</f>
        <v>2016</v>
      </c>
      <c r="K366" s="953">
        <v>10</v>
      </c>
    </row>
    <row r="367" spans="1:15" s="945" customFormat="1">
      <c r="A367" s="946" t="s">
        <v>388</v>
      </c>
      <c r="B367" s="947"/>
      <c r="C367" s="947"/>
      <c r="D367" s="948"/>
      <c r="E367" s="948"/>
      <c r="F367" s="948"/>
      <c r="G367" s="949"/>
      <c r="H367" s="950"/>
      <c r="I367" s="956">
        <f>D114</f>
        <v>2020</v>
      </c>
      <c r="J367" s="957" t="str">
        <f>E114</f>
        <v>-</v>
      </c>
      <c r="K367" s="953">
        <v>11</v>
      </c>
    </row>
    <row r="368" spans="1:15" s="945" customFormat="1">
      <c r="A368" s="946" t="s">
        <v>389</v>
      </c>
      <c r="B368" s="947"/>
      <c r="C368" s="947"/>
      <c r="D368" s="948"/>
      <c r="E368" s="948"/>
      <c r="F368" s="948"/>
      <c r="G368" s="949"/>
      <c r="H368" s="950"/>
      <c r="I368" s="960">
        <f>D125</f>
        <v>2020</v>
      </c>
      <c r="J368" s="960" t="str">
        <f>E125</f>
        <v>-</v>
      </c>
      <c r="K368" s="953">
        <v>12</v>
      </c>
    </row>
    <row r="369" spans="1:11" s="945" customFormat="1">
      <c r="A369" s="946" t="s">
        <v>390</v>
      </c>
      <c r="B369" s="947"/>
      <c r="C369" s="947"/>
      <c r="D369" s="948"/>
      <c r="E369" s="948"/>
      <c r="F369" s="948"/>
      <c r="G369" s="949"/>
      <c r="H369" s="950"/>
      <c r="I369" s="960">
        <f>D136</f>
        <v>2020</v>
      </c>
      <c r="J369" s="960" t="str">
        <f>E136</f>
        <v>-</v>
      </c>
      <c r="K369" s="953">
        <v>13</v>
      </c>
    </row>
    <row r="370" spans="1:11" s="945" customFormat="1">
      <c r="A370" s="946" t="s">
        <v>391</v>
      </c>
      <c r="B370" s="947"/>
      <c r="C370" s="947"/>
      <c r="D370" s="948"/>
      <c r="E370" s="948"/>
      <c r="F370" s="948"/>
      <c r="G370" s="949"/>
      <c r="H370" s="950"/>
      <c r="I370" s="960">
        <f>D147</f>
        <v>2020</v>
      </c>
      <c r="J370" s="960" t="str">
        <f>E147</f>
        <v>-</v>
      </c>
      <c r="K370" s="953">
        <v>14</v>
      </c>
    </row>
    <row r="371" spans="1:11" s="945" customFormat="1">
      <c r="A371" s="946" t="s">
        <v>392</v>
      </c>
      <c r="B371" s="947"/>
      <c r="C371" s="947"/>
      <c r="D371" s="948"/>
      <c r="E371" s="948"/>
      <c r="F371" s="948"/>
      <c r="G371" s="949"/>
      <c r="H371" s="950"/>
      <c r="I371" s="960">
        <f>D158</f>
        <v>2020</v>
      </c>
      <c r="J371" s="960" t="str">
        <f>E158</f>
        <v>-</v>
      </c>
      <c r="K371" s="953">
        <v>15</v>
      </c>
    </row>
    <row r="372" spans="1:11" s="945" customFormat="1">
      <c r="A372" s="946" t="s">
        <v>393</v>
      </c>
      <c r="B372" s="947"/>
      <c r="C372" s="947"/>
      <c r="D372" s="948"/>
      <c r="E372" s="948"/>
      <c r="F372" s="948"/>
      <c r="G372" s="949"/>
      <c r="H372" s="950"/>
      <c r="I372" s="960">
        <f>D169</f>
        <v>2020</v>
      </c>
      <c r="J372" s="960" t="str">
        <f>E169</f>
        <v>-</v>
      </c>
      <c r="K372" s="953">
        <v>16</v>
      </c>
    </row>
    <row r="373" spans="1:11" s="945" customFormat="1">
      <c r="A373" s="946" t="s">
        <v>394</v>
      </c>
      <c r="B373" s="947"/>
      <c r="C373" s="947"/>
      <c r="D373" s="948"/>
      <c r="E373" s="948"/>
      <c r="F373" s="948"/>
      <c r="G373" s="949"/>
      <c r="H373" s="950"/>
      <c r="I373" s="960">
        <f>D180</f>
        <v>2020</v>
      </c>
      <c r="J373" s="960" t="str">
        <f>E180</f>
        <v>-</v>
      </c>
      <c r="K373" s="953">
        <v>17</v>
      </c>
    </row>
    <row r="374" spans="1:11" s="945" customFormat="1" ht="13.8" thickBot="1">
      <c r="A374" s="946" t="s">
        <v>395</v>
      </c>
      <c r="B374" s="947"/>
      <c r="C374" s="947"/>
      <c r="D374" s="948"/>
      <c r="E374" s="948"/>
      <c r="F374" s="948"/>
      <c r="G374" s="949"/>
      <c r="H374" s="950"/>
      <c r="I374" s="961">
        <f>D191</f>
        <v>2017</v>
      </c>
      <c r="J374" s="962" t="str">
        <f>E191</f>
        <v>-</v>
      </c>
      <c r="K374" s="953">
        <v>18</v>
      </c>
    </row>
    <row r="375" spans="1:11" s="945" customFormat="1" ht="13.8" thickBot="1">
      <c r="A375" s="1333">
        <f>VLOOKUP(A356,A357:K374,11,(FALSE))</f>
        <v>3</v>
      </c>
      <c r="B375" s="1334"/>
      <c r="C375" s="1334"/>
      <c r="D375" s="1334"/>
      <c r="E375" s="1334"/>
      <c r="F375" s="1334"/>
      <c r="G375" s="1334"/>
      <c r="H375" s="1334"/>
      <c r="I375" s="1335"/>
      <c r="J375" s="1335"/>
      <c r="K375" s="1336"/>
    </row>
  </sheetData>
  <mergeCells count="265">
    <mergeCell ref="A375:K375"/>
    <mergeCell ref="N338:N340"/>
    <mergeCell ref="O338:O340"/>
    <mergeCell ref="K345:K346"/>
    <mergeCell ref="A348:D348"/>
    <mergeCell ref="F348:I348"/>
    <mergeCell ref="A356:K356"/>
    <mergeCell ref="M356:O356"/>
    <mergeCell ref="L337:O337"/>
    <mergeCell ref="B338:C338"/>
    <mergeCell ref="D338:D339"/>
    <mergeCell ref="E338:E339"/>
    <mergeCell ref="G338:H338"/>
    <mergeCell ref="I338:I339"/>
    <mergeCell ref="J338:J339"/>
    <mergeCell ref="K338:K340"/>
    <mergeCell ref="L338:L340"/>
    <mergeCell ref="M338:M340"/>
    <mergeCell ref="A299:A316"/>
    <mergeCell ref="H299:H316"/>
    <mergeCell ref="A318:A335"/>
    <mergeCell ref="H318:H335"/>
    <mergeCell ref="B337:D337"/>
    <mergeCell ref="G337:I337"/>
    <mergeCell ref="A242:A259"/>
    <mergeCell ref="H242:H259"/>
    <mergeCell ref="A261:A278"/>
    <mergeCell ref="H261:H278"/>
    <mergeCell ref="A280:A297"/>
    <mergeCell ref="H280:H297"/>
    <mergeCell ref="A223:A240"/>
    <mergeCell ref="H223:H240"/>
    <mergeCell ref="O223:P223"/>
    <mergeCell ref="O224:P224"/>
    <mergeCell ref="J201:M201"/>
    <mergeCell ref="O201:P201"/>
    <mergeCell ref="D202:E202"/>
    <mergeCell ref="F202:F203"/>
    <mergeCell ref="K202:L202"/>
    <mergeCell ref="M202:M203"/>
    <mergeCell ref="O202:P202"/>
    <mergeCell ref="A201:A203"/>
    <mergeCell ref="B201:B203"/>
    <mergeCell ref="C201:F201"/>
    <mergeCell ref="H201:H203"/>
    <mergeCell ref="I201:I203"/>
    <mergeCell ref="A189:A198"/>
    <mergeCell ref="B189:F189"/>
    <mergeCell ref="H189:L189"/>
    <mergeCell ref="A204:A221"/>
    <mergeCell ref="H204:H221"/>
    <mergeCell ref="B190:C190"/>
    <mergeCell ref="D190:E190"/>
    <mergeCell ref="F190:F191"/>
    <mergeCell ref="H190:I190"/>
    <mergeCell ref="J190:K190"/>
    <mergeCell ref="L190:L191"/>
    <mergeCell ref="B191:C191"/>
    <mergeCell ref="H191:I191"/>
    <mergeCell ref="N178:O178"/>
    <mergeCell ref="B179:C179"/>
    <mergeCell ref="D179:E179"/>
    <mergeCell ref="F179:F180"/>
    <mergeCell ref="H179:I179"/>
    <mergeCell ref="J179:K179"/>
    <mergeCell ref="L179:L180"/>
    <mergeCell ref="B180:C180"/>
    <mergeCell ref="H180:I180"/>
    <mergeCell ref="A178:A187"/>
    <mergeCell ref="B178:F178"/>
    <mergeCell ref="H178:L178"/>
    <mergeCell ref="B158:C158"/>
    <mergeCell ref="H158:I158"/>
    <mergeCell ref="A167:A176"/>
    <mergeCell ref="B167:F167"/>
    <mergeCell ref="H167:L167"/>
    <mergeCell ref="N189:O189"/>
    <mergeCell ref="N167:O167"/>
    <mergeCell ref="B168:C168"/>
    <mergeCell ref="D168:E168"/>
    <mergeCell ref="F168:F169"/>
    <mergeCell ref="H168:I168"/>
    <mergeCell ref="A156:A165"/>
    <mergeCell ref="B156:F156"/>
    <mergeCell ref="H156:L156"/>
    <mergeCell ref="N156:O156"/>
    <mergeCell ref="B157:C157"/>
    <mergeCell ref="D157:E157"/>
    <mergeCell ref="F157:F158"/>
    <mergeCell ref="H157:I157"/>
    <mergeCell ref="J157:K157"/>
    <mergeCell ref="L157:L158"/>
    <mergeCell ref="J168:K168"/>
    <mergeCell ref="L168:L169"/>
    <mergeCell ref="B169:C169"/>
    <mergeCell ref="H169:I169"/>
    <mergeCell ref="A145:A154"/>
    <mergeCell ref="B145:F145"/>
    <mergeCell ref="H145:L145"/>
    <mergeCell ref="B125:C125"/>
    <mergeCell ref="H125:I125"/>
    <mergeCell ref="A134:A143"/>
    <mergeCell ref="B134:F134"/>
    <mergeCell ref="H134:L134"/>
    <mergeCell ref="N145:O145"/>
    <mergeCell ref="B146:C146"/>
    <mergeCell ref="D146:E146"/>
    <mergeCell ref="F146:F147"/>
    <mergeCell ref="H146:I146"/>
    <mergeCell ref="J146:K146"/>
    <mergeCell ref="L146:L147"/>
    <mergeCell ref="B147:C147"/>
    <mergeCell ref="H147:I147"/>
    <mergeCell ref="N134:O134"/>
    <mergeCell ref="B135:C135"/>
    <mergeCell ref="D135:E135"/>
    <mergeCell ref="F135:F136"/>
    <mergeCell ref="H135:I135"/>
    <mergeCell ref="A123:A132"/>
    <mergeCell ref="B123:F123"/>
    <mergeCell ref="H123:L123"/>
    <mergeCell ref="N123:O123"/>
    <mergeCell ref="B124:C124"/>
    <mergeCell ref="D124:E124"/>
    <mergeCell ref="F124:F125"/>
    <mergeCell ref="H124:I124"/>
    <mergeCell ref="J124:K124"/>
    <mergeCell ref="L124:L125"/>
    <mergeCell ref="J135:K135"/>
    <mergeCell ref="L135:L136"/>
    <mergeCell ref="B136:C136"/>
    <mergeCell ref="H136:I136"/>
    <mergeCell ref="A112:A121"/>
    <mergeCell ref="B112:F112"/>
    <mergeCell ref="H112:L112"/>
    <mergeCell ref="B92:C92"/>
    <mergeCell ref="H92:I92"/>
    <mergeCell ref="A101:A110"/>
    <mergeCell ref="B101:F101"/>
    <mergeCell ref="H101:L101"/>
    <mergeCell ref="N112:O112"/>
    <mergeCell ref="B113:C113"/>
    <mergeCell ref="D113:E113"/>
    <mergeCell ref="F113:F114"/>
    <mergeCell ref="H113:I113"/>
    <mergeCell ref="J113:K113"/>
    <mergeCell ref="L113:L114"/>
    <mergeCell ref="B114:C114"/>
    <mergeCell ref="H114:I114"/>
    <mergeCell ref="N101:O101"/>
    <mergeCell ref="B102:C102"/>
    <mergeCell ref="D102:E102"/>
    <mergeCell ref="F102:F103"/>
    <mergeCell ref="H102:I102"/>
    <mergeCell ref="A90:A99"/>
    <mergeCell ref="B90:F90"/>
    <mergeCell ref="H90:L90"/>
    <mergeCell ref="N90:O90"/>
    <mergeCell ref="B91:C91"/>
    <mergeCell ref="D91:E91"/>
    <mergeCell ref="F91:F92"/>
    <mergeCell ref="H91:I91"/>
    <mergeCell ref="J91:K91"/>
    <mergeCell ref="L91:L92"/>
    <mergeCell ref="J102:K102"/>
    <mergeCell ref="L102:L103"/>
    <mergeCell ref="B103:C103"/>
    <mergeCell ref="H103:I103"/>
    <mergeCell ref="A79:A88"/>
    <mergeCell ref="B79:F79"/>
    <mergeCell ref="H79:L79"/>
    <mergeCell ref="B59:C59"/>
    <mergeCell ref="H59:I59"/>
    <mergeCell ref="A68:A77"/>
    <mergeCell ref="B68:F68"/>
    <mergeCell ref="H68:L68"/>
    <mergeCell ref="N79:O79"/>
    <mergeCell ref="B80:C80"/>
    <mergeCell ref="D80:E80"/>
    <mergeCell ref="F80:F81"/>
    <mergeCell ref="H80:I80"/>
    <mergeCell ref="J80:K80"/>
    <mergeCell ref="L80:L81"/>
    <mergeCell ref="B81:C81"/>
    <mergeCell ref="H81:I81"/>
    <mergeCell ref="N68:O68"/>
    <mergeCell ref="B69:C69"/>
    <mergeCell ref="D69:E69"/>
    <mergeCell ref="F69:F70"/>
    <mergeCell ref="H69:I69"/>
    <mergeCell ref="A57:A66"/>
    <mergeCell ref="B57:F57"/>
    <mergeCell ref="H57:L57"/>
    <mergeCell ref="N57:O57"/>
    <mergeCell ref="B58:C58"/>
    <mergeCell ref="D58:E58"/>
    <mergeCell ref="F58:F59"/>
    <mergeCell ref="H58:I58"/>
    <mergeCell ref="J58:K58"/>
    <mergeCell ref="L58:L59"/>
    <mergeCell ref="J69:K69"/>
    <mergeCell ref="L69:L70"/>
    <mergeCell ref="B70:C70"/>
    <mergeCell ref="H70:I70"/>
    <mergeCell ref="A46:A55"/>
    <mergeCell ref="B46:F46"/>
    <mergeCell ref="H46:L46"/>
    <mergeCell ref="B26:C26"/>
    <mergeCell ref="H26:I26"/>
    <mergeCell ref="A35:A44"/>
    <mergeCell ref="B35:F35"/>
    <mergeCell ref="H35:L35"/>
    <mergeCell ref="N46:O46"/>
    <mergeCell ref="B47:C47"/>
    <mergeCell ref="D47:E47"/>
    <mergeCell ref="F47:F48"/>
    <mergeCell ref="H47:I47"/>
    <mergeCell ref="J47:K47"/>
    <mergeCell ref="L47:L48"/>
    <mergeCell ref="B48:C48"/>
    <mergeCell ref="H48:I48"/>
    <mergeCell ref="H15:I15"/>
    <mergeCell ref="N35:O35"/>
    <mergeCell ref="B36:C36"/>
    <mergeCell ref="D36:E36"/>
    <mergeCell ref="F36:F37"/>
    <mergeCell ref="H36:I36"/>
    <mergeCell ref="A24:A33"/>
    <mergeCell ref="B24:F24"/>
    <mergeCell ref="H24:L24"/>
    <mergeCell ref="N24:O24"/>
    <mergeCell ref="B25:C25"/>
    <mergeCell ref="D25:E25"/>
    <mergeCell ref="F25:F26"/>
    <mergeCell ref="H25:I25"/>
    <mergeCell ref="J25:K25"/>
    <mergeCell ref="L25:L26"/>
    <mergeCell ref="J36:K36"/>
    <mergeCell ref="L36:L37"/>
    <mergeCell ref="B37:C37"/>
    <mergeCell ref="H37:I37"/>
    <mergeCell ref="L3:L4"/>
    <mergeCell ref="B4:C4"/>
    <mergeCell ref="H4:I4"/>
    <mergeCell ref="A13:A22"/>
    <mergeCell ref="B13:F13"/>
    <mergeCell ref="H13:L13"/>
    <mergeCell ref="A1:O1"/>
    <mergeCell ref="A2:A11"/>
    <mergeCell ref="B2:F2"/>
    <mergeCell ref="H2:L2"/>
    <mergeCell ref="N2:O2"/>
    <mergeCell ref="B3:C3"/>
    <mergeCell ref="D3:E3"/>
    <mergeCell ref="F3:F4"/>
    <mergeCell ref="H3:I3"/>
    <mergeCell ref="J3:K3"/>
    <mergeCell ref="N13:O13"/>
    <mergeCell ref="B14:C14"/>
    <mergeCell ref="D14:E14"/>
    <mergeCell ref="F14:F15"/>
    <mergeCell ref="H14:I14"/>
    <mergeCell ref="J14:K14"/>
    <mergeCell ref="L14:L15"/>
    <mergeCell ref="B15:C1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7527F-6E25-4F7E-860A-17E15BEDA3D7}">
  <dimension ref="A1:AJ233"/>
  <sheetViews>
    <sheetView topLeftCell="K154" zoomScale="82" zoomScaleNormal="82" workbookViewId="0">
      <selection activeCell="AH167" sqref="AH167"/>
    </sheetView>
  </sheetViews>
  <sheetFormatPr defaultColWidth="9.21875" defaultRowHeight="13.2"/>
  <cols>
    <col min="1" max="2" width="5.77734375" style="343" customWidth="1"/>
    <col min="3" max="3" width="17.44140625" style="343" customWidth="1"/>
    <col min="4" max="5" width="10.77734375" style="343" customWidth="1"/>
    <col min="6" max="6" width="9.77734375" style="343" customWidth="1"/>
    <col min="7" max="7" width="10.33203125" style="343" bestFit="1" customWidth="1"/>
    <col min="8" max="9" width="9.21875" style="343"/>
    <col min="10" max="10" width="6.21875" style="343" customWidth="1"/>
    <col min="11" max="11" width="17.5546875" style="343" customWidth="1"/>
    <col min="12" max="13" width="10.5546875" style="343" customWidth="1"/>
    <col min="14" max="14" width="9.44140625" style="343" customWidth="1"/>
    <col min="15" max="15" width="11.21875" style="343" customWidth="1"/>
    <col min="16" max="17" width="10.21875" style="343" customWidth="1"/>
    <col min="18" max="18" width="6.44140625" style="343" customWidth="1"/>
    <col min="19" max="19" width="18.21875" style="343" customWidth="1"/>
    <col min="20" max="21" width="9.21875" style="343"/>
    <col min="22" max="22" width="10" style="343" customWidth="1"/>
    <col min="23" max="25" width="9.21875" style="343"/>
    <col min="26" max="26" width="16.77734375" style="343" customWidth="1"/>
    <col min="27" max="16384" width="9.21875" style="343"/>
  </cols>
  <sheetData>
    <row r="1" spans="2:25" ht="13.8" thickBot="1"/>
    <row r="2" spans="2:25" ht="13.8" thickBot="1">
      <c r="B2" s="1373">
        <v>1</v>
      </c>
      <c r="C2" s="686" t="s">
        <v>324</v>
      </c>
      <c r="D2" s="686"/>
      <c r="E2" s="686"/>
      <c r="F2" s="686"/>
      <c r="G2" s="686"/>
      <c r="H2" s="687"/>
      <c r="I2" s="688"/>
      <c r="J2" s="1373">
        <v>2</v>
      </c>
      <c r="K2" s="686" t="s">
        <v>325</v>
      </c>
      <c r="L2" s="686"/>
      <c r="M2" s="686"/>
      <c r="N2" s="686"/>
      <c r="O2" s="686"/>
      <c r="P2" s="687"/>
      <c r="Q2" s="688"/>
      <c r="R2" s="1373">
        <v>3</v>
      </c>
      <c r="S2" s="689" t="s">
        <v>326</v>
      </c>
      <c r="T2" s="689"/>
      <c r="U2" s="689"/>
      <c r="V2" s="689"/>
      <c r="W2" s="689"/>
      <c r="X2" s="690"/>
    </row>
    <row r="3" spans="2:25" ht="14.4">
      <c r="B3" s="1374"/>
      <c r="C3" s="1376" t="s">
        <v>194</v>
      </c>
      <c r="D3" s="1377"/>
      <c r="E3" s="1377"/>
      <c r="F3" s="1377"/>
      <c r="G3" s="1378" t="s">
        <v>182</v>
      </c>
      <c r="H3" s="1379" t="s">
        <v>183</v>
      </c>
      <c r="I3" s="691"/>
      <c r="J3" s="1374"/>
      <c r="K3" s="1376" t="s">
        <v>194</v>
      </c>
      <c r="L3" s="1377"/>
      <c r="M3" s="1377"/>
      <c r="N3" s="1377"/>
      <c r="O3" s="1381" t="s">
        <v>182</v>
      </c>
      <c r="P3" s="1383" t="s">
        <v>183</v>
      </c>
      <c r="Q3" s="691"/>
      <c r="R3" s="1374"/>
      <c r="S3" s="1360" t="s">
        <v>194</v>
      </c>
      <c r="T3" s="1361"/>
      <c r="U3" s="1361"/>
      <c r="V3" s="1362"/>
      <c r="W3" s="1363" t="s">
        <v>182</v>
      </c>
      <c r="X3" s="1366" t="s">
        <v>183</v>
      </c>
    </row>
    <row r="4" spans="2:25">
      <c r="B4" s="1374"/>
      <c r="C4" s="692" t="s">
        <v>195</v>
      </c>
      <c r="D4" s="1369" t="s">
        <v>185</v>
      </c>
      <c r="E4" s="1369"/>
      <c r="F4" s="1369"/>
      <c r="G4" s="1369"/>
      <c r="H4" s="1380"/>
      <c r="I4" s="691"/>
      <c r="J4" s="1374"/>
      <c r="K4" s="692" t="s">
        <v>195</v>
      </c>
      <c r="L4" s="1369" t="s">
        <v>185</v>
      </c>
      <c r="M4" s="1369"/>
      <c r="N4" s="1369"/>
      <c r="O4" s="1371"/>
      <c r="P4" s="1384"/>
      <c r="Q4" s="691"/>
      <c r="R4" s="1374"/>
      <c r="S4" s="692" t="s">
        <v>195</v>
      </c>
      <c r="T4" s="1370" t="s">
        <v>185</v>
      </c>
      <c r="U4" s="1371"/>
      <c r="V4" s="1372"/>
      <c r="W4" s="1364"/>
      <c r="X4" s="1367"/>
    </row>
    <row r="5" spans="2:25" ht="14.4">
      <c r="B5" s="1374"/>
      <c r="C5" s="693" t="s">
        <v>21</v>
      </c>
      <c r="D5" s="694">
        <v>2016</v>
      </c>
      <c r="E5" s="694">
        <v>2016</v>
      </c>
      <c r="F5" s="694">
        <v>2018</v>
      </c>
      <c r="G5" s="1369"/>
      <c r="H5" s="1380"/>
      <c r="I5" s="691"/>
      <c r="J5" s="1374"/>
      <c r="K5" s="693" t="s">
        <v>21</v>
      </c>
      <c r="L5" s="694">
        <v>2016</v>
      </c>
      <c r="M5" s="694">
        <v>2016</v>
      </c>
      <c r="N5" s="694">
        <v>2018</v>
      </c>
      <c r="O5" s="1382"/>
      <c r="P5" s="1385"/>
      <c r="Q5" s="691"/>
      <c r="R5" s="1374"/>
      <c r="S5" s="693" t="s">
        <v>21</v>
      </c>
      <c r="T5" s="694">
        <v>2016</v>
      </c>
      <c r="U5" s="694">
        <v>2016</v>
      </c>
      <c r="V5" s="694">
        <v>2021</v>
      </c>
      <c r="W5" s="1365"/>
      <c r="X5" s="1368"/>
    </row>
    <row r="6" spans="2:25">
      <c r="B6" s="1374"/>
      <c r="C6" s="695">
        <v>0</v>
      </c>
      <c r="D6" s="695">
        <v>0</v>
      </c>
      <c r="E6" s="695"/>
      <c r="F6" s="696">
        <v>1.0000000000000001E-5</v>
      </c>
      <c r="G6" s="697">
        <f t="shared" ref="G6:G13" si="0">IF(0.5*(MAX(D6:F6)-MIN(D6:F6))=0,0.00001,0.5*(MAX(D6:F6)-MIN(D6:F6)))</f>
        <v>5.0000000000000004E-6</v>
      </c>
      <c r="H6" s="698">
        <v>0.1</v>
      </c>
      <c r="I6" s="699"/>
      <c r="J6" s="1374"/>
      <c r="K6" s="695">
        <v>0</v>
      </c>
      <c r="L6" s="695" t="s">
        <v>196</v>
      </c>
      <c r="M6" s="695" t="s">
        <v>196</v>
      </c>
      <c r="N6" s="696">
        <v>1.0000000000000001E-5</v>
      </c>
      <c r="O6" s="697">
        <f t="shared" ref="O6:O13" si="1">IF(0.5*(MAX(L6:N6)-MIN(L6:N6))=0,0.00001,0.5*(MAX(L6:N6)-MIN(L6:N6)))</f>
        <v>1.0000000000000001E-5</v>
      </c>
      <c r="P6" s="698">
        <v>0.1</v>
      </c>
      <c r="Q6" s="699"/>
      <c r="R6" s="1374"/>
      <c r="S6" s="695">
        <v>0</v>
      </c>
      <c r="T6" s="695" t="s">
        <v>196</v>
      </c>
      <c r="U6" s="695" t="s">
        <v>196</v>
      </c>
      <c r="V6" s="696">
        <v>1.0000000000000001E-5</v>
      </c>
      <c r="W6" s="697">
        <f>IF(0.5*(MAX(T6:V6)-MIN(T6:V6))=0,0.00001,0.5*(MAX(T6:V6)-MIN(T6:V6)))</f>
        <v>1.0000000000000001E-5</v>
      </c>
      <c r="X6" s="698">
        <f>S6*$Y$6</f>
        <v>0</v>
      </c>
      <c r="Y6" s="343">
        <f>0.29/100</f>
        <v>2.8999999999999998E-3</v>
      </c>
    </row>
    <row r="7" spans="2:25">
      <c r="B7" s="1374"/>
      <c r="C7" s="695">
        <v>5</v>
      </c>
      <c r="D7" s="695">
        <v>-0.2</v>
      </c>
      <c r="E7" s="695"/>
      <c r="F7" s="696">
        <v>1.0000000000000001E-5</v>
      </c>
      <c r="G7" s="697">
        <f t="shared" si="0"/>
        <v>0.10000500000000001</v>
      </c>
      <c r="H7" s="698">
        <v>0.1</v>
      </c>
      <c r="I7" s="699"/>
      <c r="J7" s="1374"/>
      <c r="K7" s="695">
        <v>5</v>
      </c>
      <c r="L7" s="695" t="s">
        <v>196</v>
      </c>
      <c r="M7" s="695" t="s">
        <v>196</v>
      </c>
      <c r="N7" s="696">
        <v>1.0000000000000001E-5</v>
      </c>
      <c r="O7" s="697">
        <f t="shared" si="1"/>
        <v>1.0000000000000001E-5</v>
      </c>
      <c r="P7" s="698">
        <v>0.1</v>
      </c>
      <c r="Q7" s="699"/>
      <c r="R7" s="1374"/>
      <c r="S7" s="695">
        <v>1</v>
      </c>
      <c r="T7" s="695" t="s">
        <v>196</v>
      </c>
      <c r="U7" s="695" t="s">
        <v>196</v>
      </c>
      <c r="V7" s="696">
        <v>1.0000000000000001E-5</v>
      </c>
      <c r="W7" s="697">
        <f t="shared" ref="W7:W13" si="2">IF(0.5*(MAX(T7:V7)-MIN(T7:V7))=0,0.00001,0.5*(MAX(T7:V7)-MIN(T7:V7)))</f>
        <v>1.0000000000000001E-5</v>
      </c>
      <c r="X7" s="698">
        <f t="shared" ref="X7:X13" si="3">S7*$Y$6</f>
        <v>2.8999999999999998E-3</v>
      </c>
    </row>
    <row r="8" spans="2:25">
      <c r="B8" s="1374"/>
      <c r="C8" s="695">
        <v>10</v>
      </c>
      <c r="D8" s="695">
        <v>-0.2</v>
      </c>
      <c r="E8" s="695"/>
      <c r="F8" s="696">
        <v>1.0000000000000001E-5</v>
      </c>
      <c r="G8" s="697">
        <f t="shared" si="0"/>
        <v>0.10000500000000001</v>
      </c>
      <c r="H8" s="698">
        <v>0.2</v>
      </c>
      <c r="I8" s="699"/>
      <c r="J8" s="1374"/>
      <c r="K8" s="695">
        <v>10</v>
      </c>
      <c r="L8" s="695" t="s">
        <v>196</v>
      </c>
      <c r="M8" s="695" t="s">
        <v>196</v>
      </c>
      <c r="N8" s="696">
        <v>1.0000000000000001E-5</v>
      </c>
      <c r="O8" s="697">
        <f t="shared" si="1"/>
        <v>1.0000000000000001E-5</v>
      </c>
      <c r="P8" s="698">
        <v>0.2</v>
      </c>
      <c r="Q8" s="699"/>
      <c r="R8" s="1374"/>
      <c r="S8" s="695">
        <v>10</v>
      </c>
      <c r="T8" s="695" t="s">
        <v>196</v>
      </c>
      <c r="U8" s="695" t="s">
        <v>196</v>
      </c>
      <c r="V8" s="696">
        <v>1.0000000000000001E-5</v>
      </c>
      <c r="W8" s="697">
        <f t="shared" si="2"/>
        <v>1.0000000000000001E-5</v>
      </c>
      <c r="X8" s="698">
        <f t="shared" si="3"/>
        <v>2.8999999999999998E-2</v>
      </c>
    </row>
    <row r="9" spans="2:25">
      <c r="B9" s="1374"/>
      <c r="C9" s="695">
        <v>15</v>
      </c>
      <c r="D9" s="695">
        <v>-0.2</v>
      </c>
      <c r="E9" s="695"/>
      <c r="F9" s="696">
        <v>1.0000000000000001E-5</v>
      </c>
      <c r="G9" s="697">
        <f t="shared" si="0"/>
        <v>0.10000500000000001</v>
      </c>
      <c r="H9" s="698">
        <v>0.2</v>
      </c>
      <c r="I9" s="699"/>
      <c r="J9" s="1374"/>
      <c r="K9" s="695">
        <v>15</v>
      </c>
      <c r="L9" s="695" t="s">
        <v>196</v>
      </c>
      <c r="M9" s="695" t="s">
        <v>196</v>
      </c>
      <c r="N9" s="696">
        <v>1.0000000000000001E-5</v>
      </c>
      <c r="O9" s="697">
        <f t="shared" si="1"/>
        <v>1.0000000000000001E-5</v>
      </c>
      <c r="P9" s="698">
        <v>0.2</v>
      </c>
      <c r="Q9" s="699"/>
      <c r="R9" s="1374"/>
      <c r="S9" s="695">
        <v>15</v>
      </c>
      <c r="T9" s="695" t="s">
        <v>196</v>
      </c>
      <c r="U9" s="695" t="s">
        <v>196</v>
      </c>
      <c r="V9" s="696">
        <v>1.0000000000000001E-5</v>
      </c>
      <c r="W9" s="697">
        <f t="shared" si="2"/>
        <v>1.0000000000000001E-5</v>
      </c>
      <c r="X9" s="698">
        <f t="shared" si="3"/>
        <v>4.3499999999999997E-2</v>
      </c>
    </row>
    <row r="10" spans="2:25">
      <c r="B10" s="1374"/>
      <c r="C10" s="695">
        <v>20</v>
      </c>
      <c r="D10" s="695">
        <v>0</v>
      </c>
      <c r="E10" s="695"/>
      <c r="F10" s="696">
        <v>1.0000000000000001E-5</v>
      </c>
      <c r="G10" s="697">
        <f t="shared" si="0"/>
        <v>5.0000000000000004E-6</v>
      </c>
      <c r="H10" s="698">
        <v>0.3</v>
      </c>
      <c r="I10" s="699"/>
      <c r="J10" s="1374"/>
      <c r="K10" s="695">
        <v>20</v>
      </c>
      <c r="L10" s="695" t="s">
        <v>196</v>
      </c>
      <c r="M10" s="695" t="s">
        <v>196</v>
      </c>
      <c r="N10" s="696">
        <v>1.0000000000000001E-5</v>
      </c>
      <c r="O10" s="697">
        <f t="shared" si="1"/>
        <v>1.0000000000000001E-5</v>
      </c>
      <c r="P10" s="698">
        <v>0.3</v>
      </c>
      <c r="Q10" s="699"/>
      <c r="R10" s="1374"/>
      <c r="S10" s="695">
        <v>20</v>
      </c>
      <c r="T10" s="695" t="s">
        <v>196</v>
      </c>
      <c r="U10" s="695" t="s">
        <v>196</v>
      </c>
      <c r="V10" s="696">
        <v>1.0000000000000001E-5</v>
      </c>
      <c r="W10" s="697">
        <f t="shared" si="2"/>
        <v>1.0000000000000001E-5</v>
      </c>
      <c r="X10" s="698">
        <f t="shared" si="3"/>
        <v>5.7999999999999996E-2</v>
      </c>
    </row>
    <row r="11" spans="2:25">
      <c r="B11" s="1374"/>
      <c r="C11" s="695">
        <v>30</v>
      </c>
      <c r="D11" s="695">
        <v>0</v>
      </c>
      <c r="E11" s="695"/>
      <c r="F11" s="696">
        <v>1.0000000000000001E-5</v>
      </c>
      <c r="G11" s="697">
        <f t="shared" si="0"/>
        <v>5.0000000000000004E-6</v>
      </c>
      <c r="H11" s="698">
        <v>0</v>
      </c>
      <c r="I11" s="699"/>
      <c r="J11" s="1374"/>
      <c r="K11" s="695">
        <v>30</v>
      </c>
      <c r="L11" s="695" t="s">
        <v>196</v>
      </c>
      <c r="M11" s="695" t="s">
        <v>196</v>
      </c>
      <c r="N11" s="696">
        <v>1.0000000000000001E-5</v>
      </c>
      <c r="O11" s="697">
        <f t="shared" si="1"/>
        <v>1.0000000000000001E-5</v>
      </c>
      <c r="P11" s="698">
        <v>0</v>
      </c>
      <c r="Q11" s="699"/>
      <c r="R11" s="1374"/>
      <c r="S11" s="695">
        <v>30</v>
      </c>
      <c r="T11" s="695" t="s">
        <v>196</v>
      </c>
      <c r="U11" s="695" t="s">
        <v>196</v>
      </c>
      <c r="V11" s="696">
        <v>1.0000000000000001E-5</v>
      </c>
      <c r="W11" s="697">
        <f t="shared" si="2"/>
        <v>1.0000000000000001E-5</v>
      </c>
      <c r="X11" s="698">
        <f t="shared" si="3"/>
        <v>8.6999999999999994E-2</v>
      </c>
    </row>
    <row r="12" spans="2:25">
      <c r="B12" s="1374"/>
      <c r="C12" s="695">
        <v>50</v>
      </c>
      <c r="D12" s="695">
        <v>0</v>
      </c>
      <c r="E12" s="695"/>
      <c r="F12" s="696">
        <v>1.0000000000000001E-5</v>
      </c>
      <c r="G12" s="697">
        <f t="shared" si="0"/>
        <v>5.0000000000000004E-6</v>
      </c>
      <c r="H12" s="698">
        <v>1</v>
      </c>
      <c r="I12" s="699"/>
      <c r="J12" s="1374"/>
      <c r="K12" s="695">
        <v>50</v>
      </c>
      <c r="L12" s="695" t="s">
        <v>196</v>
      </c>
      <c r="M12" s="695" t="s">
        <v>196</v>
      </c>
      <c r="N12" s="696">
        <v>1.0000000000000001E-5</v>
      </c>
      <c r="O12" s="697">
        <f t="shared" si="1"/>
        <v>1.0000000000000001E-5</v>
      </c>
      <c r="P12" s="698">
        <v>1</v>
      </c>
      <c r="Q12" s="699"/>
      <c r="R12" s="1374"/>
      <c r="S12" s="695">
        <v>50</v>
      </c>
      <c r="T12" s="695" t="s">
        <v>196</v>
      </c>
      <c r="U12" s="695" t="s">
        <v>196</v>
      </c>
      <c r="V12" s="696">
        <v>1.0000000000000001E-5</v>
      </c>
      <c r="W12" s="697">
        <f t="shared" si="2"/>
        <v>1.0000000000000001E-5</v>
      </c>
      <c r="X12" s="698">
        <f t="shared" si="3"/>
        <v>0.14499999999999999</v>
      </c>
    </row>
    <row r="13" spans="2:25" ht="13.8" thickBot="1">
      <c r="B13" s="1374"/>
      <c r="C13" s="695">
        <v>100</v>
      </c>
      <c r="D13" s="695">
        <v>0</v>
      </c>
      <c r="E13" s="695"/>
      <c r="F13" s="696">
        <v>1.0000000000000001E-5</v>
      </c>
      <c r="G13" s="697">
        <f t="shared" si="0"/>
        <v>5.0000000000000004E-6</v>
      </c>
      <c r="H13" s="698">
        <v>1</v>
      </c>
      <c r="I13" s="699"/>
      <c r="J13" s="1374"/>
      <c r="K13" s="695">
        <v>100</v>
      </c>
      <c r="L13" s="695" t="s">
        <v>196</v>
      </c>
      <c r="M13" s="695" t="s">
        <v>196</v>
      </c>
      <c r="N13" s="696">
        <v>1.0000000000000001E-5</v>
      </c>
      <c r="O13" s="697">
        <f t="shared" si="1"/>
        <v>1.0000000000000001E-5</v>
      </c>
      <c r="P13" s="698">
        <v>1</v>
      </c>
      <c r="Q13" s="699"/>
      <c r="R13" s="1374"/>
      <c r="S13" s="695">
        <v>100</v>
      </c>
      <c r="T13" s="695" t="s">
        <v>196</v>
      </c>
      <c r="U13" s="695" t="s">
        <v>196</v>
      </c>
      <c r="V13" s="696">
        <v>1.0000000000000001E-5</v>
      </c>
      <c r="W13" s="697">
        <f t="shared" si="2"/>
        <v>1.0000000000000001E-5</v>
      </c>
      <c r="X13" s="698">
        <f t="shared" si="3"/>
        <v>0.28999999999999998</v>
      </c>
    </row>
    <row r="14" spans="2:25" ht="14.4">
      <c r="B14" s="1374"/>
      <c r="C14" s="1376" t="s">
        <v>197</v>
      </c>
      <c r="D14" s="1377"/>
      <c r="E14" s="1377"/>
      <c r="F14" s="1377"/>
      <c r="G14" s="1378" t="s">
        <v>182</v>
      </c>
      <c r="H14" s="1379" t="s">
        <v>183</v>
      </c>
      <c r="I14" s="691"/>
      <c r="J14" s="1374"/>
      <c r="K14" s="1376" t="s">
        <v>197</v>
      </c>
      <c r="L14" s="1377"/>
      <c r="M14" s="1377"/>
      <c r="N14" s="1377"/>
      <c r="O14" s="1381" t="s">
        <v>182</v>
      </c>
      <c r="P14" s="1383" t="s">
        <v>183</v>
      </c>
      <c r="Q14" s="691"/>
      <c r="R14" s="1374"/>
      <c r="S14" s="1376" t="s">
        <v>197</v>
      </c>
      <c r="T14" s="1377"/>
      <c r="U14" s="1377"/>
      <c r="V14" s="1377"/>
      <c r="W14" s="1378" t="s">
        <v>182</v>
      </c>
      <c r="X14" s="1379" t="s">
        <v>183</v>
      </c>
    </row>
    <row r="15" spans="2:25">
      <c r="B15" s="1374"/>
      <c r="C15" s="692" t="s">
        <v>198</v>
      </c>
      <c r="D15" s="1369" t="s">
        <v>185</v>
      </c>
      <c r="E15" s="1369"/>
      <c r="F15" s="1369"/>
      <c r="G15" s="1369"/>
      <c r="H15" s="1380"/>
      <c r="I15" s="691"/>
      <c r="J15" s="1374"/>
      <c r="K15" s="692" t="s">
        <v>198</v>
      </c>
      <c r="L15" s="1369" t="s">
        <v>185</v>
      </c>
      <c r="M15" s="1369"/>
      <c r="N15" s="1369"/>
      <c r="O15" s="1371"/>
      <c r="P15" s="1384"/>
      <c r="Q15" s="691"/>
      <c r="R15" s="1374"/>
      <c r="S15" s="692" t="s">
        <v>198</v>
      </c>
      <c r="T15" s="1369" t="s">
        <v>185</v>
      </c>
      <c r="U15" s="1369"/>
      <c r="V15" s="1369"/>
      <c r="W15" s="1369"/>
      <c r="X15" s="1380"/>
    </row>
    <row r="16" spans="2:25" ht="14.4">
      <c r="B16" s="1374"/>
      <c r="C16" s="693" t="s">
        <v>199</v>
      </c>
      <c r="D16" s="694">
        <f>D5</f>
        <v>2016</v>
      </c>
      <c r="E16" s="694">
        <f t="shared" ref="E16:F16" si="4">E5</f>
        <v>2016</v>
      </c>
      <c r="F16" s="694">
        <f t="shared" si="4"/>
        <v>2018</v>
      </c>
      <c r="G16" s="1369"/>
      <c r="H16" s="1380"/>
      <c r="I16" s="691"/>
      <c r="J16" s="1374"/>
      <c r="K16" s="693" t="s">
        <v>199</v>
      </c>
      <c r="L16" s="694">
        <f>L5</f>
        <v>2016</v>
      </c>
      <c r="M16" s="694">
        <f t="shared" ref="M16:N16" si="5">M5</f>
        <v>2016</v>
      </c>
      <c r="N16" s="694">
        <f t="shared" si="5"/>
        <v>2018</v>
      </c>
      <c r="O16" s="1382"/>
      <c r="P16" s="1385"/>
      <c r="Q16" s="691"/>
      <c r="R16" s="1374"/>
      <c r="S16" s="693" t="s">
        <v>199</v>
      </c>
      <c r="T16" s="694">
        <f>T5</f>
        <v>2016</v>
      </c>
      <c r="U16" s="694">
        <f t="shared" ref="U16:V16" si="6">U5</f>
        <v>2016</v>
      </c>
      <c r="V16" s="694">
        <f t="shared" si="6"/>
        <v>2021</v>
      </c>
      <c r="W16" s="1369"/>
      <c r="X16" s="1380"/>
    </row>
    <row r="17" spans="2:25">
      <c r="B17" s="1374"/>
      <c r="C17" s="695">
        <v>0</v>
      </c>
      <c r="D17" s="695">
        <v>0</v>
      </c>
      <c r="E17" s="695"/>
      <c r="F17" s="697">
        <v>0</v>
      </c>
      <c r="G17" s="697">
        <f t="shared" ref="G17:G23" si="7">IF(0.5*(MAX(D17:F17)-MIN(D17:F17))=0,0.00001,0.5*(MAX(D17:F17)-MIN(D17:F17)))</f>
        <v>1.0000000000000001E-5</v>
      </c>
      <c r="H17" s="698">
        <v>0</v>
      </c>
      <c r="I17" s="699"/>
      <c r="J17" s="1374"/>
      <c r="K17" s="695">
        <v>0</v>
      </c>
      <c r="L17" s="695" t="s">
        <v>196</v>
      </c>
      <c r="M17" s="695" t="s">
        <v>196</v>
      </c>
      <c r="N17" s="697">
        <v>0</v>
      </c>
      <c r="O17" s="697">
        <f t="shared" ref="O17:O23" si="8">IF(0.5*(MAX(L17:N17)-MIN(L17:N17))=0,0.00001,0.5*(MAX(L17:N17)-MIN(L17:N17)))</f>
        <v>1.0000000000000001E-5</v>
      </c>
      <c r="P17" s="698">
        <v>0</v>
      </c>
      <c r="Q17" s="699"/>
      <c r="R17" s="1374"/>
      <c r="S17" s="695">
        <v>0</v>
      </c>
      <c r="T17" s="695" t="s">
        <v>196</v>
      </c>
      <c r="U17" s="695" t="s">
        <v>196</v>
      </c>
      <c r="V17" s="697">
        <v>0</v>
      </c>
      <c r="W17" s="697">
        <f t="shared" ref="W17:W23" si="9">IF(0.5*(MAX(T17:V17)-MIN(T17:V17))=0,0.00001,0.5*(MAX(T17:V17)-MIN(T17:V17)))</f>
        <v>1.0000000000000001E-5</v>
      </c>
      <c r="X17" s="698">
        <f>S17*$Y$17</f>
        <v>0</v>
      </c>
      <c r="Y17" s="343">
        <f>0.23/100</f>
        <v>2.3E-3</v>
      </c>
    </row>
    <row r="18" spans="2:25">
      <c r="B18" s="1374"/>
      <c r="C18" s="695">
        <v>50</v>
      </c>
      <c r="D18" s="695">
        <v>0.1</v>
      </c>
      <c r="E18" s="695"/>
      <c r="F18" s="697">
        <v>0</v>
      </c>
      <c r="G18" s="697">
        <f t="shared" si="7"/>
        <v>0.05</v>
      </c>
      <c r="H18" s="698">
        <v>0.6</v>
      </c>
      <c r="I18" s="699"/>
      <c r="J18" s="1374"/>
      <c r="K18" s="695">
        <v>50</v>
      </c>
      <c r="L18" s="695" t="s">
        <v>196</v>
      </c>
      <c r="M18" s="695" t="s">
        <v>196</v>
      </c>
      <c r="N18" s="697">
        <v>0</v>
      </c>
      <c r="O18" s="697">
        <f t="shared" si="8"/>
        <v>1.0000000000000001E-5</v>
      </c>
      <c r="P18" s="698">
        <v>0.6</v>
      </c>
      <c r="Q18" s="699"/>
      <c r="R18" s="1374"/>
      <c r="S18" s="695">
        <v>50</v>
      </c>
      <c r="T18" s="695" t="s">
        <v>196</v>
      </c>
      <c r="U18" s="695" t="s">
        <v>196</v>
      </c>
      <c r="V18" s="697">
        <v>0</v>
      </c>
      <c r="W18" s="697">
        <f t="shared" si="9"/>
        <v>1.0000000000000001E-5</v>
      </c>
      <c r="X18" s="698">
        <f t="shared" ref="X18:X22" si="10">S18*$Y$17</f>
        <v>0.11499999999999999</v>
      </c>
    </row>
    <row r="19" spans="2:25">
      <c r="B19" s="1374"/>
      <c r="C19" s="695">
        <v>100</v>
      </c>
      <c r="D19" s="695">
        <v>0.2</v>
      </c>
      <c r="E19" s="695"/>
      <c r="F19" s="697">
        <v>0.2</v>
      </c>
      <c r="G19" s="697">
        <f t="shared" si="7"/>
        <v>1.0000000000000001E-5</v>
      </c>
      <c r="H19" s="698">
        <v>1.2</v>
      </c>
      <c r="I19" s="699"/>
      <c r="J19" s="1374"/>
      <c r="K19" s="695">
        <v>100</v>
      </c>
      <c r="L19" s="695" t="s">
        <v>196</v>
      </c>
      <c r="M19" s="695" t="s">
        <v>196</v>
      </c>
      <c r="N19" s="697">
        <v>0.2</v>
      </c>
      <c r="O19" s="697">
        <f t="shared" si="8"/>
        <v>1.0000000000000001E-5</v>
      </c>
      <c r="P19" s="698">
        <v>1.2</v>
      </c>
      <c r="Q19" s="699"/>
      <c r="R19" s="1374"/>
      <c r="S19" s="695">
        <v>100</v>
      </c>
      <c r="T19" s="695" t="s">
        <v>196</v>
      </c>
      <c r="U19" s="695" t="s">
        <v>196</v>
      </c>
      <c r="V19" s="697">
        <v>0.4</v>
      </c>
      <c r="W19" s="697">
        <f t="shared" si="9"/>
        <v>1.0000000000000001E-5</v>
      </c>
      <c r="X19" s="698">
        <f t="shared" si="10"/>
        <v>0.22999999999999998</v>
      </c>
    </row>
    <row r="20" spans="2:25">
      <c r="B20" s="1374"/>
      <c r="C20" s="695">
        <v>200</v>
      </c>
      <c r="D20" s="695">
        <v>0.3</v>
      </c>
      <c r="E20" s="695"/>
      <c r="F20" s="697">
        <v>-1.2</v>
      </c>
      <c r="G20" s="697">
        <f t="shared" si="7"/>
        <v>0.75</v>
      </c>
      <c r="H20" s="698">
        <v>2.4</v>
      </c>
      <c r="I20" s="699"/>
      <c r="J20" s="1374"/>
      <c r="K20" s="695">
        <v>200</v>
      </c>
      <c r="L20" s="695" t="s">
        <v>196</v>
      </c>
      <c r="M20" s="695" t="s">
        <v>196</v>
      </c>
      <c r="N20" s="697">
        <v>-1.2</v>
      </c>
      <c r="O20" s="697">
        <f t="shared" si="8"/>
        <v>1.0000000000000001E-5</v>
      </c>
      <c r="P20" s="698">
        <v>2.4</v>
      </c>
      <c r="Q20" s="699"/>
      <c r="R20" s="1374"/>
      <c r="S20" s="695">
        <v>200</v>
      </c>
      <c r="T20" s="695" t="s">
        <v>196</v>
      </c>
      <c r="U20" s="695" t="s">
        <v>196</v>
      </c>
      <c r="V20" s="697">
        <v>1.2</v>
      </c>
      <c r="W20" s="697">
        <f t="shared" si="9"/>
        <v>1.0000000000000001E-5</v>
      </c>
      <c r="X20" s="698">
        <f t="shared" si="10"/>
        <v>0.45999999999999996</v>
      </c>
    </row>
    <row r="21" spans="2:25">
      <c r="B21" s="1374"/>
      <c r="C21" s="695">
        <v>500</v>
      </c>
      <c r="D21" s="695">
        <v>0</v>
      </c>
      <c r="E21" s="695"/>
      <c r="F21" s="697">
        <v>-1</v>
      </c>
      <c r="G21" s="697">
        <f t="shared" si="7"/>
        <v>0.5</v>
      </c>
      <c r="H21" s="698">
        <v>6</v>
      </c>
      <c r="I21" s="699"/>
      <c r="J21" s="1374"/>
      <c r="K21" s="695">
        <v>500</v>
      </c>
      <c r="L21" s="695" t="s">
        <v>196</v>
      </c>
      <c r="M21" s="695" t="s">
        <v>196</v>
      </c>
      <c r="N21" s="697">
        <v>-1</v>
      </c>
      <c r="O21" s="697">
        <f t="shared" si="8"/>
        <v>1.0000000000000001E-5</v>
      </c>
      <c r="P21" s="698">
        <v>6</v>
      </c>
      <c r="Q21" s="699"/>
      <c r="R21" s="1374"/>
      <c r="S21" s="695">
        <v>500</v>
      </c>
      <c r="T21" s="695" t="s">
        <v>196</v>
      </c>
      <c r="U21" s="695" t="s">
        <v>196</v>
      </c>
      <c r="V21" s="697">
        <v>4</v>
      </c>
      <c r="W21" s="697">
        <f t="shared" si="9"/>
        <v>1.0000000000000001E-5</v>
      </c>
      <c r="X21" s="698">
        <f t="shared" si="10"/>
        <v>1.1499999999999999</v>
      </c>
    </row>
    <row r="22" spans="2:25">
      <c r="B22" s="1374"/>
      <c r="C22" s="695">
        <v>1000</v>
      </c>
      <c r="D22" s="695">
        <v>0</v>
      </c>
      <c r="E22" s="695"/>
      <c r="F22" s="697">
        <v>1</v>
      </c>
      <c r="G22" s="697">
        <f t="shared" si="7"/>
        <v>0.5</v>
      </c>
      <c r="H22" s="698">
        <v>12</v>
      </c>
      <c r="I22" s="699"/>
      <c r="J22" s="1374"/>
      <c r="K22" s="695">
        <v>1000</v>
      </c>
      <c r="L22" s="695" t="s">
        <v>196</v>
      </c>
      <c r="M22" s="695" t="s">
        <v>196</v>
      </c>
      <c r="N22" s="697">
        <v>1</v>
      </c>
      <c r="O22" s="697">
        <f t="shared" si="8"/>
        <v>1.0000000000000001E-5</v>
      </c>
      <c r="P22" s="698">
        <v>12</v>
      </c>
      <c r="Q22" s="699"/>
      <c r="R22" s="1374"/>
      <c r="S22" s="695">
        <v>1000</v>
      </c>
      <c r="T22" s="695" t="s">
        <v>196</v>
      </c>
      <c r="U22" s="695" t="s">
        <v>196</v>
      </c>
      <c r="V22" s="697">
        <v>10</v>
      </c>
      <c r="W22" s="697">
        <f t="shared" si="9"/>
        <v>1.0000000000000001E-5</v>
      </c>
      <c r="X22" s="698">
        <f t="shared" si="10"/>
        <v>2.2999999999999998</v>
      </c>
    </row>
    <row r="23" spans="2:25" ht="13.8" thickBot="1">
      <c r="B23" s="1374"/>
      <c r="C23" s="695">
        <v>1200</v>
      </c>
      <c r="D23" s="695">
        <v>0</v>
      </c>
      <c r="E23" s="695"/>
      <c r="F23" s="697">
        <v>2</v>
      </c>
      <c r="G23" s="697">
        <f t="shared" si="7"/>
        <v>1</v>
      </c>
      <c r="H23" s="698">
        <v>14</v>
      </c>
      <c r="I23" s="699"/>
      <c r="J23" s="1374"/>
      <c r="K23" s="695">
        <v>1200</v>
      </c>
      <c r="L23" s="695" t="s">
        <v>196</v>
      </c>
      <c r="M23" s="695" t="s">
        <v>196</v>
      </c>
      <c r="N23" s="697">
        <v>2</v>
      </c>
      <c r="O23" s="697">
        <f t="shared" si="8"/>
        <v>1.0000000000000001E-5</v>
      </c>
      <c r="P23" s="698">
        <v>14</v>
      </c>
      <c r="Q23" s="699"/>
      <c r="R23" s="1374"/>
      <c r="S23" s="695">
        <v>1200</v>
      </c>
      <c r="T23" s="695" t="s">
        <v>196</v>
      </c>
      <c r="U23" s="695" t="s">
        <v>196</v>
      </c>
      <c r="V23" s="697">
        <v>10</v>
      </c>
      <c r="W23" s="697">
        <f t="shared" si="9"/>
        <v>1.0000000000000001E-5</v>
      </c>
      <c r="X23" s="698">
        <f>S23*$Y$17</f>
        <v>2.76</v>
      </c>
    </row>
    <row r="24" spans="2:25" ht="14.4">
      <c r="B24" s="1374"/>
      <c r="C24" s="1376" t="s">
        <v>200</v>
      </c>
      <c r="D24" s="1377"/>
      <c r="E24" s="1377"/>
      <c r="F24" s="1377"/>
      <c r="G24" s="1378" t="s">
        <v>182</v>
      </c>
      <c r="H24" s="1379" t="s">
        <v>183</v>
      </c>
      <c r="I24" s="691"/>
      <c r="J24" s="1374"/>
      <c r="K24" s="1376" t="s">
        <v>200</v>
      </c>
      <c r="L24" s="1377"/>
      <c r="M24" s="1377"/>
      <c r="N24" s="1377"/>
      <c r="O24" s="1381" t="s">
        <v>182</v>
      </c>
      <c r="P24" s="1383" t="s">
        <v>183</v>
      </c>
      <c r="Q24" s="691"/>
      <c r="R24" s="1374"/>
      <c r="S24" s="1376" t="s">
        <v>200</v>
      </c>
      <c r="T24" s="1377"/>
      <c r="U24" s="1377"/>
      <c r="V24" s="1377"/>
      <c r="W24" s="1378" t="s">
        <v>182</v>
      </c>
      <c r="X24" s="1379" t="s">
        <v>183</v>
      </c>
    </row>
    <row r="25" spans="2:25">
      <c r="B25" s="1374"/>
      <c r="C25" s="692" t="s">
        <v>201</v>
      </c>
      <c r="D25" s="1369" t="s">
        <v>185</v>
      </c>
      <c r="E25" s="1369"/>
      <c r="F25" s="1369"/>
      <c r="G25" s="1369"/>
      <c r="H25" s="1380"/>
      <c r="I25" s="691"/>
      <c r="J25" s="1374"/>
      <c r="K25" s="692" t="s">
        <v>201</v>
      </c>
      <c r="L25" s="1369" t="s">
        <v>185</v>
      </c>
      <c r="M25" s="1369"/>
      <c r="N25" s="1369"/>
      <c r="O25" s="1371"/>
      <c r="P25" s="1384"/>
      <c r="Q25" s="691"/>
      <c r="R25" s="1374"/>
      <c r="S25" s="692" t="s">
        <v>201</v>
      </c>
      <c r="T25" s="1369" t="s">
        <v>185</v>
      </c>
      <c r="U25" s="1369"/>
      <c r="V25" s="1369"/>
      <c r="W25" s="1369"/>
      <c r="X25" s="1380"/>
    </row>
    <row r="26" spans="2:25" ht="14.4">
      <c r="B26" s="1374"/>
      <c r="C26" s="693" t="s">
        <v>170</v>
      </c>
      <c r="D26" s="694">
        <f>D16</f>
        <v>2016</v>
      </c>
      <c r="E26" s="694">
        <f t="shared" ref="E26:F26" si="11">E16</f>
        <v>2016</v>
      </c>
      <c r="F26" s="694">
        <f t="shared" si="11"/>
        <v>2018</v>
      </c>
      <c r="G26" s="1369"/>
      <c r="H26" s="1380"/>
      <c r="I26" s="691"/>
      <c r="J26" s="1374"/>
      <c r="K26" s="693" t="s">
        <v>170</v>
      </c>
      <c r="L26" s="694">
        <f>L16</f>
        <v>2016</v>
      </c>
      <c r="M26" s="694">
        <f t="shared" ref="M26:N26" si="12">M16</f>
        <v>2016</v>
      </c>
      <c r="N26" s="694">
        <f t="shared" si="12"/>
        <v>2018</v>
      </c>
      <c r="O26" s="1382"/>
      <c r="P26" s="1385"/>
      <c r="Q26" s="691"/>
      <c r="R26" s="1374"/>
      <c r="S26" s="693" t="s">
        <v>170</v>
      </c>
      <c r="T26" s="694">
        <f>T16</f>
        <v>2016</v>
      </c>
      <c r="U26" s="694">
        <f t="shared" ref="U26:V26" si="13">U16</f>
        <v>2016</v>
      </c>
      <c r="V26" s="694">
        <f t="shared" si="13"/>
        <v>2021</v>
      </c>
      <c r="W26" s="1369"/>
      <c r="X26" s="1380"/>
    </row>
    <row r="27" spans="2:25">
      <c r="B27" s="1374"/>
      <c r="C27" s="695">
        <v>0</v>
      </c>
      <c r="D27" s="700">
        <v>0</v>
      </c>
      <c r="E27" s="700"/>
      <c r="F27" s="696">
        <v>1.0000000000000001E-5</v>
      </c>
      <c r="G27" s="697">
        <f t="shared" ref="G27:G35" si="14">IF(0.5*(MAX(D27:F27)-MIN(D27:F27))=0,0.00001,0.5*(MAX(D27:F27)-MIN(D27:F27)))</f>
        <v>5.0000000000000004E-6</v>
      </c>
      <c r="H27" s="701">
        <v>0</v>
      </c>
      <c r="I27" s="702"/>
      <c r="J27" s="1374"/>
      <c r="K27" s="695">
        <v>0</v>
      </c>
      <c r="L27" s="700" t="s">
        <v>196</v>
      </c>
      <c r="M27" s="700" t="s">
        <v>196</v>
      </c>
      <c r="N27" s="696">
        <v>1.0000000000000001E-5</v>
      </c>
      <c r="O27" s="697">
        <f t="shared" ref="O27:O35" si="15">IF(0.5*(MAX(L27:N27)-MIN(L27:N27))=0,0.00001,0.5*(MAX(L27:N27)-MIN(L27:N27)))</f>
        <v>1.0000000000000001E-5</v>
      </c>
      <c r="P27" s="701">
        <v>0</v>
      </c>
      <c r="Q27" s="702"/>
      <c r="R27" s="1374"/>
      <c r="S27" s="695">
        <v>0</v>
      </c>
      <c r="T27" s="700" t="s">
        <v>196</v>
      </c>
      <c r="U27" s="700" t="s">
        <v>196</v>
      </c>
      <c r="V27" s="696">
        <v>1.0000000000000001E-5</v>
      </c>
      <c r="W27" s="697">
        <f t="shared" ref="W27:W35" si="16">IF(0.5*(MAX(T27:V27)-MIN(T27:V27))=0,0.00001,0.5*(MAX(T27:V27)-MIN(T27:V27)))</f>
        <v>1.0000000000000001E-5</v>
      </c>
      <c r="X27" s="701">
        <f>S27*$Y$27</f>
        <v>0</v>
      </c>
      <c r="Y27" s="343">
        <f>0.29/100</f>
        <v>2.8999999999999998E-3</v>
      </c>
    </row>
    <row r="28" spans="2:25">
      <c r="B28" s="1374"/>
      <c r="C28" s="695">
        <v>5</v>
      </c>
      <c r="D28" s="700">
        <v>0</v>
      </c>
      <c r="E28" s="700"/>
      <c r="F28" s="696">
        <v>1.0000000000000001E-5</v>
      </c>
      <c r="G28" s="697">
        <f t="shared" si="14"/>
        <v>5.0000000000000004E-6</v>
      </c>
      <c r="H28" s="701">
        <v>1.4999999999999999E-2</v>
      </c>
      <c r="I28" s="702"/>
      <c r="J28" s="1374"/>
      <c r="K28" s="695">
        <v>5</v>
      </c>
      <c r="L28" s="700" t="s">
        <v>196</v>
      </c>
      <c r="M28" s="700" t="s">
        <v>196</v>
      </c>
      <c r="N28" s="696">
        <v>1.0000000000000001E-5</v>
      </c>
      <c r="O28" s="697">
        <f t="shared" si="15"/>
        <v>1.0000000000000001E-5</v>
      </c>
      <c r="P28" s="701">
        <v>1.4999999999999999E-2</v>
      </c>
      <c r="Q28" s="702"/>
      <c r="R28" s="1374"/>
      <c r="S28" s="695">
        <v>5</v>
      </c>
      <c r="T28" s="700" t="s">
        <v>196</v>
      </c>
      <c r="U28" s="700" t="s">
        <v>196</v>
      </c>
      <c r="V28" s="696">
        <v>1.0000000000000001E-5</v>
      </c>
      <c r="W28" s="697">
        <f t="shared" si="16"/>
        <v>1.0000000000000001E-5</v>
      </c>
      <c r="X28" s="701">
        <f t="shared" ref="X28:X35" si="17">S28*$Y$27</f>
        <v>1.4499999999999999E-2</v>
      </c>
    </row>
    <row r="29" spans="2:25">
      <c r="B29" s="1374"/>
      <c r="C29" s="695">
        <v>10</v>
      </c>
      <c r="D29" s="700">
        <v>0</v>
      </c>
      <c r="E29" s="700"/>
      <c r="F29" s="696">
        <v>1.0000000000000001E-5</v>
      </c>
      <c r="G29" s="697">
        <f t="shared" si="14"/>
        <v>5.0000000000000004E-6</v>
      </c>
      <c r="H29" s="701">
        <v>0.03</v>
      </c>
      <c r="I29" s="702"/>
      <c r="J29" s="1374"/>
      <c r="K29" s="695">
        <v>10</v>
      </c>
      <c r="L29" s="700" t="s">
        <v>196</v>
      </c>
      <c r="M29" s="700" t="s">
        <v>196</v>
      </c>
      <c r="N29" s="696">
        <v>1.0000000000000001E-5</v>
      </c>
      <c r="O29" s="697">
        <f t="shared" si="15"/>
        <v>1.0000000000000001E-5</v>
      </c>
      <c r="P29" s="701">
        <v>0.03</v>
      </c>
      <c r="Q29" s="702"/>
      <c r="R29" s="1374"/>
      <c r="S29" s="695">
        <v>10</v>
      </c>
      <c r="T29" s="700" t="s">
        <v>196</v>
      </c>
      <c r="U29" s="700" t="s">
        <v>196</v>
      </c>
      <c r="V29" s="696">
        <v>1.0000000000000001E-5</v>
      </c>
      <c r="W29" s="697">
        <f t="shared" si="16"/>
        <v>1.0000000000000001E-5</v>
      </c>
      <c r="X29" s="701">
        <f t="shared" si="17"/>
        <v>2.8999999999999998E-2</v>
      </c>
    </row>
    <row r="30" spans="2:25">
      <c r="B30" s="1374"/>
      <c r="C30" s="695">
        <v>25</v>
      </c>
      <c r="D30" s="700">
        <v>0</v>
      </c>
      <c r="E30" s="700"/>
      <c r="F30" s="696">
        <v>1.0000000000000001E-5</v>
      </c>
      <c r="G30" s="697">
        <f t="shared" si="14"/>
        <v>5.0000000000000004E-6</v>
      </c>
      <c r="H30" s="701">
        <v>7.0000000000000007E-2</v>
      </c>
      <c r="I30" s="702"/>
      <c r="J30" s="1374"/>
      <c r="K30" s="695">
        <v>25</v>
      </c>
      <c r="L30" s="700" t="s">
        <v>196</v>
      </c>
      <c r="M30" s="700" t="s">
        <v>196</v>
      </c>
      <c r="N30" s="696">
        <v>1.0000000000000001E-5</v>
      </c>
      <c r="O30" s="697">
        <f t="shared" si="15"/>
        <v>1.0000000000000001E-5</v>
      </c>
      <c r="P30" s="701">
        <v>7.0000000000000007E-2</v>
      </c>
      <c r="Q30" s="702"/>
      <c r="R30" s="1374"/>
      <c r="S30" s="695">
        <v>25</v>
      </c>
      <c r="T30" s="700" t="s">
        <v>196</v>
      </c>
      <c r="U30" s="700" t="s">
        <v>196</v>
      </c>
      <c r="V30" s="696">
        <v>1.0000000000000001E-5</v>
      </c>
      <c r="W30" s="697">
        <f t="shared" si="16"/>
        <v>1.0000000000000001E-5</v>
      </c>
      <c r="X30" s="701">
        <f t="shared" si="17"/>
        <v>7.2499999999999995E-2</v>
      </c>
    </row>
    <row r="31" spans="2:25">
      <c r="B31" s="1374"/>
      <c r="C31" s="695">
        <v>50</v>
      </c>
      <c r="D31" s="700">
        <v>0</v>
      </c>
      <c r="E31" s="700"/>
      <c r="F31" s="696">
        <v>1.0000000000000001E-5</v>
      </c>
      <c r="G31" s="697">
        <f t="shared" si="14"/>
        <v>5.0000000000000004E-6</v>
      </c>
      <c r="H31" s="701">
        <v>0.15</v>
      </c>
      <c r="I31" s="702"/>
      <c r="J31" s="1374"/>
      <c r="K31" s="695">
        <v>50</v>
      </c>
      <c r="L31" s="700" t="s">
        <v>196</v>
      </c>
      <c r="M31" s="700" t="s">
        <v>196</v>
      </c>
      <c r="N31" s="696">
        <v>1.0000000000000001E-5</v>
      </c>
      <c r="O31" s="697">
        <f t="shared" si="15"/>
        <v>1.0000000000000001E-5</v>
      </c>
      <c r="P31" s="701">
        <v>0.15</v>
      </c>
      <c r="Q31" s="702"/>
      <c r="R31" s="1374"/>
      <c r="S31" s="695">
        <v>50</v>
      </c>
      <c r="T31" s="700" t="s">
        <v>196</v>
      </c>
      <c r="U31" s="700" t="s">
        <v>196</v>
      </c>
      <c r="V31" s="696">
        <v>1.0000000000000001E-5</v>
      </c>
      <c r="W31" s="697">
        <f t="shared" si="16"/>
        <v>1.0000000000000001E-5</v>
      </c>
      <c r="X31" s="701">
        <f t="shared" si="17"/>
        <v>0.14499999999999999</v>
      </c>
    </row>
    <row r="32" spans="2:25">
      <c r="B32" s="1374"/>
      <c r="C32" s="695">
        <v>100</v>
      </c>
      <c r="D32" s="700">
        <v>0</v>
      </c>
      <c r="E32" s="700"/>
      <c r="F32" s="696">
        <v>1.0000000000000001E-5</v>
      </c>
      <c r="G32" s="697">
        <f t="shared" si="14"/>
        <v>5.0000000000000004E-6</v>
      </c>
      <c r="H32" s="701">
        <v>0.3</v>
      </c>
      <c r="I32" s="702"/>
      <c r="J32" s="1374"/>
      <c r="K32" s="695">
        <v>100</v>
      </c>
      <c r="L32" s="700" t="s">
        <v>196</v>
      </c>
      <c r="M32" s="700" t="s">
        <v>196</v>
      </c>
      <c r="N32" s="696">
        <v>1.0000000000000001E-5</v>
      </c>
      <c r="O32" s="697">
        <f t="shared" si="15"/>
        <v>1.0000000000000001E-5</v>
      </c>
      <c r="P32" s="701">
        <v>0.3</v>
      </c>
      <c r="Q32" s="702"/>
      <c r="R32" s="1374"/>
      <c r="S32" s="695">
        <v>100</v>
      </c>
      <c r="T32" s="700" t="s">
        <v>196</v>
      </c>
      <c r="U32" s="700" t="s">
        <v>196</v>
      </c>
      <c r="V32" s="696">
        <v>1.0000000000000001E-5</v>
      </c>
      <c r="W32" s="697">
        <f t="shared" si="16"/>
        <v>1.0000000000000001E-5</v>
      </c>
      <c r="X32" s="701">
        <f t="shared" si="17"/>
        <v>0.28999999999999998</v>
      </c>
    </row>
    <row r="33" spans="2:30">
      <c r="B33" s="1374"/>
      <c r="C33" s="695">
        <v>250</v>
      </c>
      <c r="D33" s="700">
        <v>0</v>
      </c>
      <c r="E33" s="700"/>
      <c r="F33" s="696">
        <v>1.0000000000000001E-5</v>
      </c>
      <c r="G33" s="697">
        <f t="shared" si="14"/>
        <v>5.0000000000000004E-6</v>
      </c>
      <c r="H33" s="701">
        <v>0.7</v>
      </c>
      <c r="I33" s="702"/>
      <c r="J33" s="1374"/>
      <c r="K33" s="695">
        <v>250</v>
      </c>
      <c r="L33" s="700" t="s">
        <v>196</v>
      </c>
      <c r="M33" s="700" t="s">
        <v>196</v>
      </c>
      <c r="N33" s="696">
        <v>1.0000000000000001E-5</v>
      </c>
      <c r="O33" s="697">
        <f t="shared" si="15"/>
        <v>1.0000000000000001E-5</v>
      </c>
      <c r="P33" s="701">
        <v>0.7</v>
      </c>
      <c r="Q33" s="702"/>
      <c r="R33" s="1374"/>
      <c r="S33" s="695">
        <v>250</v>
      </c>
      <c r="T33" s="700" t="s">
        <v>196</v>
      </c>
      <c r="U33" s="700" t="s">
        <v>196</v>
      </c>
      <c r="V33" s="696">
        <v>1.0000000000000001E-5</v>
      </c>
      <c r="W33" s="697">
        <f t="shared" si="16"/>
        <v>1.0000000000000001E-5</v>
      </c>
      <c r="X33" s="701">
        <f t="shared" si="17"/>
        <v>0.72499999999999998</v>
      </c>
    </row>
    <row r="34" spans="2:30">
      <c r="B34" s="1374"/>
      <c r="C34" s="695">
        <v>500</v>
      </c>
      <c r="D34" s="700">
        <v>0</v>
      </c>
      <c r="E34" s="700"/>
      <c r="F34" s="696">
        <v>1.0000000000000001E-5</v>
      </c>
      <c r="G34" s="697">
        <f t="shared" si="14"/>
        <v>5.0000000000000004E-6</v>
      </c>
      <c r="H34" s="701">
        <v>1.5</v>
      </c>
      <c r="I34" s="702"/>
      <c r="J34" s="1374"/>
      <c r="K34" s="695">
        <v>500</v>
      </c>
      <c r="L34" s="700" t="s">
        <v>196</v>
      </c>
      <c r="M34" s="700" t="s">
        <v>196</v>
      </c>
      <c r="N34" s="696">
        <v>1.0000000000000001E-5</v>
      </c>
      <c r="O34" s="697">
        <f t="shared" si="15"/>
        <v>1.0000000000000001E-5</v>
      </c>
      <c r="P34" s="701">
        <v>1.5</v>
      </c>
      <c r="Q34" s="702"/>
      <c r="R34" s="1374"/>
      <c r="S34" s="695">
        <v>500</v>
      </c>
      <c r="T34" s="700" t="s">
        <v>196</v>
      </c>
      <c r="U34" s="700" t="s">
        <v>196</v>
      </c>
      <c r="V34" s="696">
        <v>1.0000000000000001E-5</v>
      </c>
      <c r="W34" s="697">
        <f t="shared" si="16"/>
        <v>1.0000000000000001E-5</v>
      </c>
      <c r="X34" s="701">
        <f t="shared" si="17"/>
        <v>1.45</v>
      </c>
    </row>
    <row r="35" spans="2:30" ht="13.8" thickBot="1">
      <c r="B35" s="1375"/>
      <c r="C35" s="703">
        <v>1000</v>
      </c>
      <c r="D35" s="704">
        <v>0</v>
      </c>
      <c r="E35" s="704"/>
      <c r="F35" s="696">
        <v>1.0000000000000001E-5</v>
      </c>
      <c r="G35" s="697">
        <f t="shared" si="14"/>
        <v>5.0000000000000004E-6</v>
      </c>
      <c r="H35" s="705">
        <v>3</v>
      </c>
      <c r="I35" s="702"/>
      <c r="J35" s="1375"/>
      <c r="K35" s="703">
        <v>1000</v>
      </c>
      <c r="L35" s="704" t="s">
        <v>196</v>
      </c>
      <c r="M35" s="704" t="s">
        <v>196</v>
      </c>
      <c r="N35" s="696">
        <v>1.0000000000000001E-5</v>
      </c>
      <c r="O35" s="697">
        <f t="shared" si="15"/>
        <v>1.0000000000000001E-5</v>
      </c>
      <c r="P35" s="705">
        <v>3</v>
      </c>
      <c r="Q35" s="702"/>
      <c r="R35" s="1375"/>
      <c r="S35" s="703">
        <v>1000</v>
      </c>
      <c r="T35" s="704" t="s">
        <v>196</v>
      </c>
      <c r="U35" s="704" t="s">
        <v>196</v>
      </c>
      <c r="V35" s="696">
        <v>1.0000000000000001E-5</v>
      </c>
      <c r="W35" s="697">
        <f t="shared" si="16"/>
        <v>1.0000000000000001E-5</v>
      </c>
      <c r="X35" s="705">
        <f t="shared" si="17"/>
        <v>2.9</v>
      </c>
    </row>
    <row r="36" spans="2:30">
      <c r="B36" s="688"/>
      <c r="C36" s="706"/>
      <c r="D36" s="707"/>
      <c r="E36" s="707"/>
      <c r="F36" s="707"/>
      <c r="G36" s="708"/>
      <c r="H36" s="702"/>
      <c r="I36" s="702"/>
      <c r="J36" s="688"/>
      <c r="K36" s="706"/>
      <c r="L36" s="707"/>
      <c r="M36" s="707"/>
      <c r="N36" s="707"/>
      <c r="O36" s="708"/>
      <c r="P36" s="702"/>
      <c r="Q36" s="702"/>
      <c r="R36" s="688"/>
      <c r="S36" s="706"/>
      <c r="T36" s="707"/>
      <c r="U36" s="707"/>
      <c r="V36" s="707"/>
      <c r="W36" s="708"/>
      <c r="X36" s="702"/>
      <c r="Z36" s="395"/>
      <c r="AA36" s="709"/>
      <c r="AB36" s="709"/>
      <c r="AC36" s="710"/>
      <c r="AD36" s="711"/>
    </row>
    <row r="37" spans="2:30" ht="13.8" thickBot="1">
      <c r="B37" s="688"/>
      <c r="C37" s="706"/>
      <c r="D37" s="707"/>
      <c r="E37" s="707"/>
      <c r="F37" s="707"/>
      <c r="G37" s="708"/>
      <c r="H37" s="702"/>
      <c r="I37" s="702"/>
      <c r="J37" s="688"/>
      <c r="K37" s="706"/>
      <c r="L37" s="707"/>
      <c r="M37" s="707"/>
      <c r="N37" s="707"/>
      <c r="O37" s="708"/>
      <c r="P37" s="702"/>
      <c r="Q37" s="702"/>
      <c r="R37" s="688"/>
      <c r="S37" s="706"/>
      <c r="T37" s="707"/>
      <c r="U37" s="707"/>
      <c r="V37" s="707"/>
      <c r="W37" s="708"/>
      <c r="X37" s="702"/>
      <c r="Z37" s="395"/>
      <c r="AA37" s="709"/>
      <c r="AB37" s="709"/>
      <c r="AC37" s="710"/>
      <c r="AD37" s="711"/>
    </row>
    <row r="38" spans="2:30">
      <c r="B38" s="1373">
        <v>4</v>
      </c>
      <c r="C38" s="689" t="s">
        <v>327</v>
      </c>
      <c r="D38" s="689"/>
      <c r="E38" s="689"/>
      <c r="F38" s="689"/>
      <c r="G38" s="689"/>
      <c r="H38" s="690"/>
      <c r="I38" s="688"/>
      <c r="J38" s="1373">
        <v>5</v>
      </c>
      <c r="K38" s="689" t="s">
        <v>328</v>
      </c>
      <c r="L38" s="689"/>
      <c r="M38" s="689"/>
      <c r="N38" s="689"/>
      <c r="O38" s="689"/>
      <c r="P38" s="690"/>
      <c r="Q38" s="688"/>
      <c r="R38" s="1373">
        <v>6</v>
      </c>
      <c r="S38" s="689" t="s">
        <v>329</v>
      </c>
      <c r="T38" s="689"/>
      <c r="U38" s="689"/>
      <c r="V38" s="689"/>
      <c r="W38" s="689"/>
      <c r="X38" s="690"/>
      <c r="Z38" s="395"/>
      <c r="AA38" s="709"/>
      <c r="AB38" s="709"/>
      <c r="AC38" s="710"/>
      <c r="AD38" s="711"/>
    </row>
    <row r="39" spans="2:30" ht="14.4">
      <c r="B39" s="1374"/>
      <c r="C39" s="1360" t="s">
        <v>194</v>
      </c>
      <c r="D39" s="1361"/>
      <c r="E39" s="1361"/>
      <c r="F39" s="1362"/>
      <c r="G39" s="1363" t="s">
        <v>182</v>
      </c>
      <c r="H39" s="1366" t="s">
        <v>183</v>
      </c>
      <c r="I39" s="691"/>
      <c r="J39" s="1374"/>
      <c r="K39" s="1360" t="s">
        <v>194</v>
      </c>
      <c r="L39" s="1361"/>
      <c r="M39" s="1361"/>
      <c r="N39" s="1362"/>
      <c r="O39" s="1363" t="s">
        <v>182</v>
      </c>
      <c r="P39" s="1366" t="s">
        <v>183</v>
      </c>
      <c r="Q39" s="691"/>
      <c r="R39" s="1374"/>
      <c r="S39" s="1360" t="s">
        <v>194</v>
      </c>
      <c r="T39" s="1361"/>
      <c r="U39" s="1361"/>
      <c r="V39" s="1362"/>
      <c r="W39" s="1363" t="s">
        <v>182</v>
      </c>
      <c r="X39" s="1366" t="s">
        <v>183</v>
      </c>
      <c r="Z39" s="395"/>
      <c r="AA39" s="709"/>
      <c r="AB39" s="709"/>
      <c r="AC39" s="710"/>
      <c r="AD39" s="711"/>
    </row>
    <row r="40" spans="2:30">
      <c r="B40" s="1374"/>
      <c r="C40" s="692" t="s">
        <v>195</v>
      </c>
      <c r="D40" s="1370" t="s">
        <v>185</v>
      </c>
      <c r="E40" s="1371"/>
      <c r="F40" s="1372"/>
      <c r="G40" s="1364"/>
      <c r="H40" s="1367"/>
      <c r="I40" s="691"/>
      <c r="J40" s="1374"/>
      <c r="K40" s="692" t="s">
        <v>195</v>
      </c>
      <c r="L40" s="1370" t="s">
        <v>185</v>
      </c>
      <c r="M40" s="1371"/>
      <c r="N40" s="1372"/>
      <c r="O40" s="1364"/>
      <c r="P40" s="1367"/>
      <c r="Q40" s="691"/>
      <c r="R40" s="1374"/>
      <c r="S40" s="692" t="s">
        <v>195</v>
      </c>
      <c r="T40" s="1370" t="s">
        <v>185</v>
      </c>
      <c r="U40" s="1371"/>
      <c r="V40" s="1372"/>
      <c r="W40" s="1364"/>
      <c r="X40" s="1367"/>
      <c r="Z40" s="395"/>
      <c r="AA40" s="709"/>
      <c r="AB40" s="709"/>
      <c r="AC40" s="710"/>
      <c r="AD40" s="711"/>
    </row>
    <row r="41" spans="2:30" ht="14.4">
      <c r="B41" s="1374"/>
      <c r="C41" s="693" t="s">
        <v>21</v>
      </c>
      <c r="D41" s="694">
        <v>2016</v>
      </c>
      <c r="E41" s="694">
        <v>2016</v>
      </c>
      <c r="F41" s="694">
        <v>2021</v>
      </c>
      <c r="G41" s="1365"/>
      <c r="H41" s="1368"/>
      <c r="I41" s="691"/>
      <c r="J41" s="1374"/>
      <c r="K41" s="693" t="s">
        <v>21</v>
      </c>
      <c r="L41" s="694">
        <v>2016</v>
      </c>
      <c r="M41" s="694">
        <v>2016</v>
      </c>
      <c r="N41" s="694">
        <v>2021</v>
      </c>
      <c r="O41" s="1365"/>
      <c r="P41" s="1368"/>
      <c r="Q41" s="691"/>
      <c r="R41" s="1374"/>
      <c r="S41" s="693" t="s">
        <v>21</v>
      </c>
      <c r="T41" s="694">
        <v>2016</v>
      </c>
      <c r="U41" s="694">
        <v>2016</v>
      </c>
      <c r="V41" s="694">
        <v>2021</v>
      </c>
      <c r="W41" s="1365"/>
      <c r="X41" s="1368"/>
      <c r="Z41" s="395"/>
      <c r="AA41" s="709"/>
      <c r="AB41" s="709"/>
      <c r="AC41" s="710"/>
      <c r="AD41" s="711"/>
    </row>
    <row r="42" spans="2:30">
      <c r="B42" s="1374"/>
      <c r="C42" s="695">
        <v>0</v>
      </c>
      <c r="D42" s="695" t="s">
        <v>196</v>
      </c>
      <c r="E42" s="695" t="s">
        <v>196</v>
      </c>
      <c r="F42" s="696">
        <v>1.0000000000000001E-5</v>
      </c>
      <c r="G42" s="697">
        <f t="shared" ref="G42:G49" si="18">IF(0.5*(MAX(D42:F42)-MIN(D42:F42))=0,0.00001,0.5*(MAX(D42:F42)-MIN(D42:F42)))</f>
        <v>1.0000000000000001E-5</v>
      </c>
      <c r="H42" s="698">
        <f>C42*$I$42</f>
        <v>0</v>
      </c>
      <c r="I42" s="712">
        <f>Y6</f>
        <v>2.8999999999999998E-3</v>
      </c>
      <c r="J42" s="1374"/>
      <c r="K42" s="695">
        <v>0</v>
      </c>
      <c r="L42" s="695" t="s">
        <v>196</v>
      </c>
      <c r="M42" s="695" t="s">
        <v>196</v>
      </c>
      <c r="N42" s="696">
        <v>1.0000000000000001E-5</v>
      </c>
      <c r="O42" s="697">
        <f t="shared" ref="O42:O49" si="19">IF(0.5*(MAX(L42:N42)-MIN(L42:N42))=0,0.00001,0.5*(MAX(L42:N42)-MIN(L42:N42)))</f>
        <v>1.0000000000000001E-5</v>
      </c>
      <c r="P42" s="698">
        <f>K42*$Q$42</f>
        <v>0</v>
      </c>
      <c r="Q42" s="712">
        <f>I42</f>
        <v>2.8999999999999998E-3</v>
      </c>
      <c r="R42" s="1374"/>
      <c r="S42" s="695">
        <v>0</v>
      </c>
      <c r="T42" s="695" t="s">
        <v>196</v>
      </c>
      <c r="U42" s="695" t="s">
        <v>196</v>
      </c>
      <c r="V42" s="696">
        <v>1.0000000000000001E-5</v>
      </c>
      <c r="W42" s="697">
        <f t="shared" ref="W42:W49" si="20">IF(0.5*(MAX(T42:V42)-MIN(T42:V42))=0,0.00001,0.5*(MAX(T42:V42)-MIN(T42:V42)))</f>
        <v>1.0000000000000001E-5</v>
      </c>
      <c r="X42" s="698">
        <f>S42*$Y$42</f>
        <v>0</v>
      </c>
      <c r="Y42" s="713">
        <f>Q42</f>
        <v>2.8999999999999998E-3</v>
      </c>
      <c r="Z42" s="395"/>
      <c r="AA42" s="709"/>
      <c r="AB42" s="709"/>
      <c r="AC42" s="710"/>
      <c r="AD42" s="711"/>
    </row>
    <row r="43" spans="2:30">
      <c r="B43" s="1374"/>
      <c r="C43" s="695">
        <v>1</v>
      </c>
      <c r="D43" s="695" t="s">
        <v>196</v>
      </c>
      <c r="E43" s="695" t="s">
        <v>196</v>
      </c>
      <c r="F43" s="696">
        <v>1.0000000000000001E-5</v>
      </c>
      <c r="G43" s="697">
        <f t="shared" si="18"/>
        <v>1.0000000000000001E-5</v>
      </c>
      <c r="H43" s="698">
        <f t="shared" ref="H43:H49" si="21">C43*$I$42</f>
        <v>2.8999999999999998E-3</v>
      </c>
      <c r="I43" s="699"/>
      <c r="J43" s="1374"/>
      <c r="K43" s="695">
        <v>1</v>
      </c>
      <c r="L43" s="695" t="s">
        <v>196</v>
      </c>
      <c r="M43" s="695" t="s">
        <v>196</v>
      </c>
      <c r="N43" s="696">
        <v>1.0000000000000001E-5</v>
      </c>
      <c r="O43" s="697">
        <f t="shared" si="19"/>
        <v>1.0000000000000001E-5</v>
      </c>
      <c r="P43" s="698">
        <f t="shared" ref="P43:P49" si="22">K43*$Q$42</f>
        <v>2.8999999999999998E-3</v>
      </c>
      <c r="Q43" s="699"/>
      <c r="R43" s="1374"/>
      <c r="S43" s="695">
        <v>1</v>
      </c>
      <c r="T43" s="695" t="s">
        <v>196</v>
      </c>
      <c r="U43" s="695" t="s">
        <v>196</v>
      </c>
      <c r="V43" s="696">
        <v>1.0000000000000001E-5</v>
      </c>
      <c r="W43" s="697">
        <f t="shared" si="20"/>
        <v>1.0000000000000001E-5</v>
      </c>
      <c r="X43" s="698">
        <f t="shared" ref="X43:X49" si="23">S43*$Y$42</f>
        <v>2.8999999999999998E-3</v>
      </c>
      <c r="Z43" s="395"/>
      <c r="AA43" s="709"/>
      <c r="AB43" s="709"/>
      <c r="AC43" s="710"/>
      <c r="AD43" s="711"/>
    </row>
    <row r="44" spans="2:30">
      <c r="B44" s="1374"/>
      <c r="C44" s="695">
        <v>10</v>
      </c>
      <c r="D44" s="695" t="s">
        <v>196</v>
      </c>
      <c r="E44" s="695" t="s">
        <v>196</v>
      </c>
      <c r="F44" s="696">
        <v>1.0000000000000001E-5</v>
      </c>
      <c r="G44" s="697">
        <f t="shared" si="18"/>
        <v>1.0000000000000001E-5</v>
      </c>
      <c r="H44" s="698">
        <f t="shared" si="21"/>
        <v>2.8999999999999998E-2</v>
      </c>
      <c r="I44" s="699"/>
      <c r="J44" s="1374"/>
      <c r="K44" s="695">
        <v>10</v>
      </c>
      <c r="L44" s="695" t="s">
        <v>196</v>
      </c>
      <c r="M44" s="695" t="s">
        <v>196</v>
      </c>
      <c r="N44" s="696">
        <v>1.0000000000000001E-5</v>
      </c>
      <c r="O44" s="697">
        <f t="shared" si="19"/>
        <v>1.0000000000000001E-5</v>
      </c>
      <c r="P44" s="698">
        <f t="shared" si="22"/>
        <v>2.8999999999999998E-2</v>
      </c>
      <c r="Q44" s="699"/>
      <c r="R44" s="1374"/>
      <c r="S44" s="695">
        <v>10</v>
      </c>
      <c r="T44" s="695" t="s">
        <v>196</v>
      </c>
      <c r="U44" s="695" t="s">
        <v>196</v>
      </c>
      <c r="V44" s="696">
        <v>1.0000000000000001E-5</v>
      </c>
      <c r="W44" s="697">
        <f t="shared" si="20"/>
        <v>1.0000000000000001E-5</v>
      </c>
      <c r="X44" s="698">
        <f t="shared" si="23"/>
        <v>2.8999999999999998E-2</v>
      </c>
      <c r="Z44" s="395"/>
      <c r="AA44" s="709"/>
      <c r="AB44" s="709"/>
      <c r="AC44" s="710"/>
      <c r="AD44" s="711"/>
    </row>
    <row r="45" spans="2:30">
      <c r="B45" s="1374"/>
      <c r="C45" s="695">
        <v>15</v>
      </c>
      <c r="D45" s="695" t="s">
        <v>196</v>
      </c>
      <c r="E45" s="695" t="s">
        <v>196</v>
      </c>
      <c r="F45" s="696">
        <v>1.0000000000000001E-5</v>
      </c>
      <c r="G45" s="697">
        <f t="shared" si="18"/>
        <v>1.0000000000000001E-5</v>
      </c>
      <c r="H45" s="698">
        <f t="shared" si="21"/>
        <v>4.3499999999999997E-2</v>
      </c>
      <c r="I45" s="699"/>
      <c r="J45" s="1374"/>
      <c r="K45" s="695">
        <v>15</v>
      </c>
      <c r="L45" s="695" t="s">
        <v>196</v>
      </c>
      <c r="M45" s="695" t="s">
        <v>196</v>
      </c>
      <c r="N45" s="696">
        <v>1.0000000000000001E-5</v>
      </c>
      <c r="O45" s="697">
        <f t="shared" si="19"/>
        <v>1.0000000000000001E-5</v>
      </c>
      <c r="P45" s="698">
        <f t="shared" si="22"/>
        <v>4.3499999999999997E-2</v>
      </c>
      <c r="Q45" s="699"/>
      <c r="R45" s="1374"/>
      <c r="S45" s="695">
        <v>15</v>
      </c>
      <c r="T45" s="695" t="s">
        <v>196</v>
      </c>
      <c r="U45" s="695" t="s">
        <v>196</v>
      </c>
      <c r="V45" s="696">
        <v>1.0000000000000001E-5</v>
      </c>
      <c r="W45" s="697">
        <f t="shared" si="20"/>
        <v>1.0000000000000001E-5</v>
      </c>
      <c r="X45" s="698">
        <f t="shared" si="23"/>
        <v>4.3499999999999997E-2</v>
      </c>
      <c r="Z45" s="395"/>
      <c r="AA45" s="709"/>
      <c r="AB45" s="709"/>
      <c r="AC45" s="710"/>
      <c r="AD45" s="711"/>
    </row>
    <row r="46" spans="2:30">
      <c r="B46" s="1374"/>
      <c r="C46" s="695">
        <v>20</v>
      </c>
      <c r="D46" s="695" t="s">
        <v>196</v>
      </c>
      <c r="E46" s="695" t="s">
        <v>196</v>
      </c>
      <c r="F46" s="696">
        <v>1.0000000000000001E-5</v>
      </c>
      <c r="G46" s="697">
        <f t="shared" si="18"/>
        <v>1.0000000000000001E-5</v>
      </c>
      <c r="H46" s="698">
        <f t="shared" si="21"/>
        <v>5.7999999999999996E-2</v>
      </c>
      <c r="I46" s="699"/>
      <c r="J46" s="1374"/>
      <c r="K46" s="695">
        <v>20</v>
      </c>
      <c r="L46" s="695" t="s">
        <v>196</v>
      </c>
      <c r="M46" s="695" t="s">
        <v>196</v>
      </c>
      <c r="N46" s="696">
        <v>1.0000000000000001E-5</v>
      </c>
      <c r="O46" s="697">
        <f t="shared" si="19"/>
        <v>1.0000000000000001E-5</v>
      </c>
      <c r="P46" s="698">
        <f t="shared" si="22"/>
        <v>5.7999999999999996E-2</v>
      </c>
      <c r="Q46" s="699"/>
      <c r="R46" s="1374"/>
      <c r="S46" s="695">
        <v>20</v>
      </c>
      <c r="T46" s="695" t="s">
        <v>196</v>
      </c>
      <c r="U46" s="695" t="s">
        <v>196</v>
      </c>
      <c r="V46" s="696">
        <v>1.0000000000000001E-5</v>
      </c>
      <c r="W46" s="697">
        <f t="shared" si="20"/>
        <v>1.0000000000000001E-5</v>
      </c>
      <c r="X46" s="698">
        <f t="shared" si="23"/>
        <v>5.7999999999999996E-2</v>
      </c>
      <c r="Z46" s="395"/>
      <c r="AA46" s="709"/>
      <c r="AB46" s="709"/>
      <c r="AC46" s="710"/>
      <c r="AD46" s="711"/>
    </row>
    <row r="47" spans="2:30">
      <c r="B47" s="1374"/>
      <c r="C47" s="695">
        <v>30</v>
      </c>
      <c r="D47" s="695" t="s">
        <v>196</v>
      </c>
      <c r="E47" s="695" t="s">
        <v>196</v>
      </c>
      <c r="F47" s="696">
        <v>1.0000000000000001E-5</v>
      </c>
      <c r="G47" s="697">
        <f t="shared" si="18"/>
        <v>1.0000000000000001E-5</v>
      </c>
      <c r="H47" s="698">
        <f t="shared" si="21"/>
        <v>8.6999999999999994E-2</v>
      </c>
      <c r="I47" s="699"/>
      <c r="J47" s="1374"/>
      <c r="K47" s="695">
        <v>30</v>
      </c>
      <c r="L47" s="695" t="s">
        <v>196</v>
      </c>
      <c r="M47" s="695" t="s">
        <v>196</v>
      </c>
      <c r="N47" s="696">
        <v>1.0000000000000001E-5</v>
      </c>
      <c r="O47" s="697">
        <f t="shared" si="19"/>
        <v>1.0000000000000001E-5</v>
      </c>
      <c r="P47" s="698">
        <f t="shared" si="22"/>
        <v>8.6999999999999994E-2</v>
      </c>
      <c r="Q47" s="699"/>
      <c r="R47" s="1374"/>
      <c r="S47" s="695">
        <v>30</v>
      </c>
      <c r="T47" s="695" t="s">
        <v>196</v>
      </c>
      <c r="U47" s="695" t="s">
        <v>196</v>
      </c>
      <c r="V47" s="696">
        <v>1.0000000000000001E-5</v>
      </c>
      <c r="W47" s="697">
        <f t="shared" si="20"/>
        <v>1.0000000000000001E-5</v>
      </c>
      <c r="X47" s="698">
        <f t="shared" si="23"/>
        <v>8.6999999999999994E-2</v>
      </c>
      <c r="Z47" s="395"/>
      <c r="AA47" s="709"/>
      <c r="AB47" s="709"/>
      <c r="AC47" s="710"/>
      <c r="AD47" s="711"/>
    </row>
    <row r="48" spans="2:30">
      <c r="B48" s="1374"/>
      <c r="C48" s="695">
        <v>50</v>
      </c>
      <c r="D48" s="695" t="s">
        <v>196</v>
      </c>
      <c r="E48" s="695" t="s">
        <v>196</v>
      </c>
      <c r="F48" s="696">
        <v>1.0000000000000001E-5</v>
      </c>
      <c r="G48" s="697">
        <f t="shared" si="18"/>
        <v>1.0000000000000001E-5</v>
      </c>
      <c r="H48" s="698">
        <f t="shared" si="21"/>
        <v>0.14499999999999999</v>
      </c>
      <c r="I48" s="699"/>
      <c r="J48" s="1374"/>
      <c r="K48" s="695">
        <v>50</v>
      </c>
      <c r="L48" s="695" t="s">
        <v>196</v>
      </c>
      <c r="M48" s="695" t="s">
        <v>196</v>
      </c>
      <c r="N48" s="696">
        <v>1.0000000000000001E-5</v>
      </c>
      <c r="O48" s="697">
        <f t="shared" si="19"/>
        <v>1.0000000000000001E-5</v>
      </c>
      <c r="P48" s="698">
        <f t="shared" si="22"/>
        <v>0.14499999999999999</v>
      </c>
      <c r="Q48" s="699"/>
      <c r="R48" s="1374"/>
      <c r="S48" s="695">
        <v>50</v>
      </c>
      <c r="T48" s="695" t="s">
        <v>196</v>
      </c>
      <c r="U48" s="695" t="s">
        <v>196</v>
      </c>
      <c r="V48" s="696">
        <v>1.0000000000000001E-5</v>
      </c>
      <c r="W48" s="697">
        <f t="shared" si="20"/>
        <v>1.0000000000000001E-5</v>
      </c>
      <c r="X48" s="698">
        <f t="shared" si="23"/>
        <v>0.14499999999999999</v>
      </c>
      <c r="Z48" s="395"/>
      <c r="AA48" s="709"/>
      <c r="AB48" s="709"/>
      <c r="AC48" s="710"/>
      <c r="AD48" s="711"/>
    </row>
    <row r="49" spans="2:30" ht="13.8" thickBot="1">
      <c r="B49" s="1374"/>
      <c r="C49" s="695">
        <v>100</v>
      </c>
      <c r="D49" s="695" t="s">
        <v>196</v>
      </c>
      <c r="E49" s="695" t="s">
        <v>196</v>
      </c>
      <c r="F49" s="696">
        <v>1.0000000000000001E-5</v>
      </c>
      <c r="G49" s="697">
        <f t="shared" si="18"/>
        <v>1.0000000000000001E-5</v>
      </c>
      <c r="H49" s="698">
        <f t="shared" si="21"/>
        <v>0.28999999999999998</v>
      </c>
      <c r="I49" s="699"/>
      <c r="J49" s="1374"/>
      <c r="K49" s="695">
        <v>100</v>
      </c>
      <c r="L49" s="695" t="s">
        <v>196</v>
      </c>
      <c r="M49" s="695" t="s">
        <v>196</v>
      </c>
      <c r="N49" s="696">
        <v>1.0000000000000001E-5</v>
      </c>
      <c r="O49" s="697">
        <f t="shared" si="19"/>
        <v>1.0000000000000001E-5</v>
      </c>
      <c r="P49" s="698">
        <f t="shared" si="22"/>
        <v>0.28999999999999998</v>
      </c>
      <c r="Q49" s="699"/>
      <c r="R49" s="1374"/>
      <c r="S49" s="695">
        <v>100</v>
      </c>
      <c r="T49" s="695" t="s">
        <v>196</v>
      </c>
      <c r="U49" s="695" t="s">
        <v>196</v>
      </c>
      <c r="V49" s="696">
        <v>1.0000000000000001E-5</v>
      </c>
      <c r="W49" s="697">
        <f t="shared" si="20"/>
        <v>1.0000000000000001E-5</v>
      </c>
      <c r="X49" s="698">
        <f t="shared" si="23"/>
        <v>0.28999999999999998</v>
      </c>
      <c r="Z49" s="395"/>
      <c r="AA49" s="709"/>
      <c r="AB49" s="709"/>
      <c r="AC49" s="710"/>
      <c r="AD49" s="711"/>
    </row>
    <row r="50" spans="2:30" ht="14.4">
      <c r="B50" s="1374"/>
      <c r="C50" s="1376" t="s">
        <v>197</v>
      </c>
      <c r="D50" s="1377"/>
      <c r="E50" s="1377"/>
      <c r="F50" s="1377"/>
      <c r="G50" s="1378" t="s">
        <v>182</v>
      </c>
      <c r="H50" s="1379" t="s">
        <v>183</v>
      </c>
      <c r="I50" s="691"/>
      <c r="J50" s="1374"/>
      <c r="K50" s="1376" t="s">
        <v>197</v>
      </c>
      <c r="L50" s="1377"/>
      <c r="M50" s="1377"/>
      <c r="N50" s="1377"/>
      <c r="O50" s="1378" t="s">
        <v>182</v>
      </c>
      <c r="P50" s="1379" t="s">
        <v>183</v>
      </c>
      <c r="Q50" s="691"/>
      <c r="R50" s="1374"/>
      <c r="S50" s="1376" t="s">
        <v>197</v>
      </c>
      <c r="T50" s="1377"/>
      <c r="U50" s="1377"/>
      <c r="V50" s="1377"/>
      <c r="W50" s="1378" t="s">
        <v>182</v>
      </c>
      <c r="X50" s="1379" t="s">
        <v>183</v>
      </c>
      <c r="Z50" s="395"/>
      <c r="AA50" s="709"/>
      <c r="AB50" s="709"/>
      <c r="AC50" s="710"/>
      <c r="AD50" s="711"/>
    </row>
    <row r="51" spans="2:30">
      <c r="B51" s="1374"/>
      <c r="C51" s="692" t="s">
        <v>198</v>
      </c>
      <c r="D51" s="1369" t="s">
        <v>185</v>
      </c>
      <c r="E51" s="1369"/>
      <c r="F51" s="1369"/>
      <c r="G51" s="1369"/>
      <c r="H51" s="1380"/>
      <c r="I51" s="691"/>
      <c r="J51" s="1374"/>
      <c r="K51" s="692" t="s">
        <v>198</v>
      </c>
      <c r="L51" s="1369" t="s">
        <v>185</v>
      </c>
      <c r="M51" s="1369"/>
      <c r="N51" s="1369"/>
      <c r="O51" s="1369"/>
      <c r="P51" s="1380"/>
      <c r="Q51" s="691"/>
      <c r="R51" s="1374"/>
      <c r="S51" s="692" t="s">
        <v>198</v>
      </c>
      <c r="T51" s="1369" t="s">
        <v>185</v>
      </c>
      <c r="U51" s="1369"/>
      <c r="V51" s="1369"/>
      <c r="W51" s="1369"/>
      <c r="X51" s="1380"/>
      <c r="Z51" s="395"/>
      <c r="AA51" s="709"/>
      <c r="AB51" s="709"/>
      <c r="AC51" s="710"/>
      <c r="AD51" s="711"/>
    </row>
    <row r="52" spans="2:30" ht="14.4">
      <c r="B52" s="1374"/>
      <c r="C52" s="693" t="s">
        <v>199</v>
      </c>
      <c r="D52" s="694">
        <f>D41</f>
        <v>2016</v>
      </c>
      <c r="E52" s="694">
        <f t="shared" ref="E52:F52" si="24">E41</f>
        <v>2016</v>
      </c>
      <c r="F52" s="694">
        <f t="shared" si="24"/>
        <v>2021</v>
      </c>
      <c r="G52" s="1369"/>
      <c r="H52" s="1380"/>
      <c r="I52" s="691"/>
      <c r="J52" s="1374"/>
      <c r="K52" s="693" t="s">
        <v>199</v>
      </c>
      <c r="L52" s="694">
        <f>L41</f>
        <v>2016</v>
      </c>
      <c r="M52" s="694">
        <f t="shared" ref="M52:N52" si="25">M41</f>
        <v>2016</v>
      </c>
      <c r="N52" s="694">
        <f t="shared" si="25"/>
        <v>2021</v>
      </c>
      <c r="O52" s="1369"/>
      <c r="P52" s="1380"/>
      <c r="Q52" s="691"/>
      <c r="R52" s="1374"/>
      <c r="S52" s="693" t="s">
        <v>199</v>
      </c>
      <c r="T52" s="694">
        <f>T41</f>
        <v>2016</v>
      </c>
      <c r="U52" s="694">
        <f t="shared" ref="U52:V52" si="26">U41</f>
        <v>2016</v>
      </c>
      <c r="V52" s="694">
        <f t="shared" si="26"/>
        <v>2021</v>
      </c>
      <c r="W52" s="1369"/>
      <c r="X52" s="1380"/>
      <c r="Z52" s="395"/>
      <c r="AA52" s="709"/>
      <c r="AB52" s="709"/>
      <c r="AC52" s="710"/>
      <c r="AD52" s="711"/>
    </row>
    <row r="53" spans="2:30">
      <c r="B53" s="1374"/>
      <c r="C53" s="695">
        <v>0</v>
      </c>
      <c r="D53" s="695" t="s">
        <v>196</v>
      </c>
      <c r="E53" s="695" t="s">
        <v>196</v>
      </c>
      <c r="F53" s="697">
        <v>0</v>
      </c>
      <c r="G53" s="697">
        <f t="shared" ref="G53:G59" si="27">IF(0.5*(MAX(D53:F53)-MIN(D53:F53))=0,0.00001,0.5*(MAX(D53:F53)-MIN(D53:F53)))</f>
        <v>1.0000000000000001E-5</v>
      </c>
      <c r="H53" s="698">
        <f>C53*$Y$17</f>
        <v>0</v>
      </c>
      <c r="I53" s="688">
        <f>0.23/100</f>
        <v>2.3E-3</v>
      </c>
      <c r="J53" s="1374"/>
      <c r="K53" s="695">
        <v>0</v>
      </c>
      <c r="L53" s="695" t="s">
        <v>196</v>
      </c>
      <c r="M53" s="695" t="s">
        <v>196</v>
      </c>
      <c r="N53" s="697">
        <v>0</v>
      </c>
      <c r="O53" s="697">
        <f t="shared" ref="O53:O59" si="28">IF(0.5*(MAX(L53:N53)-MIN(L53:N53))=0,0.00001,0.5*(MAX(L53:N53)-MIN(L53:N53)))</f>
        <v>1.0000000000000001E-5</v>
      </c>
      <c r="P53" s="698">
        <f>K53*$Y$17</f>
        <v>0</v>
      </c>
      <c r="Q53" s="688">
        <f>0.23/100</f>
        <v>2.3E-3</v>
      </c>
      <c r="R53" s="1374"/>
      <c r="S53" s="695">
        <v>0</v>
      </c>
      <c r="T53" s="695" t="s">
        <v>196</v>
      </c>
      <c r="U53" s="695" t="s">
        <v>196</v>
      </c>
      <c r="V53" s="697">
        <v>0</v>
      </c>
      <c r="W53" s="697">
        <f t="shared" ref="W53:W59" si="29">IF(0.5*(MAX(T53:V53)-MIN(T53:V53))=0,0.00001,0.5*(MAX(T53:V53)-MIN(T53:V53)))</f>
        <v>1.0000000000000001E-5</v>
      </c>
      <c r="X53" s="698">
        <f>S53*$Y$17</f>
        <v>0</v>
      </c>
      <c r="Y53" s="343">
        <f>0.23/100</f>
        <v>2.3E-3</v>
      </c>
      <c r="Z53" s="395"/>
      <c r="AA53" s="709"/>
      <c r="AB53" s="709"/>
      <c r="AC53" s="710"/>
      <c r="AD53" s="711"/>
    </row>
    <row r="54" spans="2:30">
      <c r="B54" s="1374"/>
      <c r="C54" s="695">
        <v>50</v>
      </c>
      <c r="D54" s="695" t="s">
        <v>196</v>
      </c>
      <c r="E54" s="695" t="s">
        <v>196</v>
      </c>
      <c r="F54" s="697">
        <v>0.4</v>
      </c>
      <c r="G54" s="697">
        <f t="shared" si="27"/>
        <v>1.0000000000000001E-5</v>
      </c>
      <c r="H54" s="698">
        <f t="shared" ref="H54:H58" si="30">C54*$Y$17</f>
        <v>0.11499999999999999</v>
      </c>
      <c r="I54" s="688"/>
      <c r="J54" s="1374"/>
      <c r="K54" s="695">
        <v>50</v>
      </c>
      <c r="L54" s="695" t="s">
        <v>196</v>
      </c>
      <c r="M54" s="695" t="s">
        <v>196</v>
      </c>
      <c r="N54" s="697">
        <v>0.4</v>
      </c>
      <c r="O54" s="697">
        <f t="shared" si="28"/>
        <v>1.0000000000000001E-5</v>
      </c>
      <c r="P54" s="698">
        <f t="shared" ref="P54:P58" si="31">K54*$Y$17</f>
        <v>0.11499999999999999</v>
      </c>
      <c r="Q54" s="688"/>
      <c r="R54" s="1374"/>
      <c r="S54" s="695">
        <v>50</v>
      </c>
      <c r="T54" s="695" t="s">
        <v>196</v>
      </c>
      <c r="U54" s="695" t="s">
        <v>196</v>
      </c>
      <c r="V54" s="697">
        <v>0</v>
      </c>
      <c r="W54" s="697">
        <f t="shared" si="29"/>
        <v>1.0000000000000001E-5</v>
      </c>
      <c r="X54" s="698">
        <f t="shared" ref="X54:X58" si="32">S54*$Y$17</f>
        <v>0.11499999999999999</v>
      </c>
      <c r="Z54" s="395"/>
      <c r="AA54" s="709"/>
      <c r="AB54" s="709"/>
      <c r="AC54" s="710"/>
      <c r="AD54" s="711"/>
    </row>
    <row r="55" spans="2:30">
      <c r="B55" s="1374"/>
      <c r="C55" s="695">
        <v>100</v>
      </c>
      <c r="D55" s="695" t="s">
        <v>196</v>
      </c>
      <c r="E55" s="695" t="s">
        <v>196</v>
      </c>
      <c r="F55" s="697">
        <v>1</v>
      </c>
      <c r="G55" s="697">
        <f t="shared" si="27"/>
        <v>1.0000000000000001E-5</v>
      </c>
      <c r="H55" s="698">
        <f t="shared" si="30"/>
        <v>0.22999999999999998</v>
      </c>
      <c r="I55" s="688"/>
      <c r="J55" s="1374"/>
      <c r="K55" s="695">
        <v>100</v>
      </c>
      <c r="L55" s="695" t="s">
        <v>196</v>
      </c>
      <c r="M55" s="695" t="s">
        <v>196</v>
      </c>
      <c r="N55" s="697">
        <v>-0.2</v>
      </c>
      <c r="O55" s="697">
        <f t="shared" si="28"/>
        <v>1.0000000000000001E-5</v>
      </c>
      <c r="P55" s="698">
        <f t="shared" si="31"/>
        <v>0.22999999999999998</v>
      </c>
      <c r="Q55" s="688"/>
      <c r="R55" s="1374"/>
      <c r="S55" s="695">
        <v>100</v>
      </c>
      <c r="T55" s="695" t="s">
        <v>196</v>
      </c>
      <c r="U55" s="695" t="s">
        <v>196</v>
      </c>
      <c r="V55" s="697">
        <v>-0.4</v>
      </c>
      <c r="W55" s="697">
        <f t="shared" si="29"/>
        <v>1.0000000000000001E-5</v>
      </c>
      <c r="X55" s="698">
        <f t="shared" si="32"/>
        <v>0.22999999999999998</v>
      </c>
      <c r="Z55" s="395"/>
      <c r="AA55" s="709"/>
      <c r="AB55" s="709"/>
      <c r="AC55" s="710"/>
      <c r="AD55" s="711"/>
    </row>
    <row r="56" spans="2:30">
      <c r="B56" s="1374"/>
      <c r="C56" s="695">
        <v>200</v>
      </c>
      <c r="D56" s="695" t="s">
        <v>196</v>
      </c>
      <c r="E56" s="695" t="s">
        <v>196</v>
      </c>
      <c r="F56" s="697">
        <v>1.2</v>
      </c>
      <c r="G56" s="697">
        <f t="shared" si="27"/>
        <v>1.0000000000000001E-5</v>
      </c>
      <c r="H56" s="698">
        <f t="shared" si="30"/>
        <v>0.45999999999999996</v>
      </c>
      <c r="I56" s="688"/>
      <c r="J56" s="1374"/>
      <c r="K56" s="695">
        <v>200</v>
      </c>
      <c r="L56" s="695" t="s">
        <v>196</v>
      </c>
      <c r="M56" s="695" t="s">
        <v>196</v>
      </c>
      <c r="N56" s="697">
        <v>2.8</v>
      </c>
      <c r="O56" s="697">
        <f t="shared" si="28"/>
        <v>1.0000000000000001E-5</v>
      </c>
      <c r="P56" s="698">
        <f t="shared" si="31"/>
        <v>0.45999999999999996</v>
      </c>
      <c r="Q56" s="688"/>
      <c r="R56" s="1374"/>
      <c r="S56" s="695">
        <v>200</v>
      </c>
      <c r="T56" s="695" t="s">
        <v>196</v>
      </c>
      <c r="U56" s="695" t="s">
        <v>196</v>
      </c>
      <c r="V56" s="697">
        <v>1.8</v>
      </c>
      <c r="W56" s="697">
        <f t="shared" si="29"/>
        <v>1.0000000000000001E-5</v>
      </c>
      <c r="X56" s="698">
        <f t="shared" si="32"/>
        <v>0.45999999999999996</v>
      </c>
      <c r="Z56" s="395"/>
      <c r="AA56" s="709"/>
      <c r="AB56" s="709"/>
      <c r="AC56" s="710"/>
      <c r="AD56" s="711"/>
    </row>
    <row r="57" spans="2:30">
      <c r="B57" s="1374"/>
      <c r="C57" s="695">
        <v>500</v>
      </c>
      <c r="D57" s="695" t="s">
        <v>196</v>
      </c>
      <c r="E57" s="695" t="s">
        <v>196</v>
      </c>
      <c r="F57" s="697">
        <v>6</v>
      </c>
      <c r="G57" s="697">
        <f t="shared" si="27"/>
        <v>1.0000000000000001E-5</v>
      </c>
      <c r="H57" s="698">
        <f t="shared" si="30"/>
        <v>1.1499999999999999</v>
      </c>
      <c r="I57" s="688"/>
      <c r="J57" s="1374"/>
      <c r="K57" s="695">
        <v>500</v>
      </c>
      <c r="L57" s="695" t="s">
        <v>196</v>
      </c>
      <c r="M57" s="695" t="s">
        <v>196</v>
      </c>
      <c r="N57" s="697">
        <v>2</v>
      </c>
      <c r="O57" s="697">
        <f t="shared" si="28"/>
        <v>1.0000000000000001E-5</v>
      </c>
      <c r="P57" s="698">
        <f t="shared" si="31"/>
        <v>1.1499999999999999</v>
      </c>
      <c r="Q57" s="688"/>
      <c r="R57" s="1374"/>
      <c r="S57" s="695">
        <v>500</v>
      </c>
      <c r="T57" s="695" t="s">
        <v>196</v>
      </c>
      <c r="U57" s="695" t="s">
        <v>196</v>
      </c>
      <c r="V57" s="697">
        <v>2</v>
      </c>
      <c r="W57" s="697">
        <f t="shared" si="29"/>
        <v>1.0000000000000001E-5</v>
      </c>
      <c r="X57" s="698">
        <f t="shared" si="32"/>
        <v>1.1499999999999999</v>
      </c>
      <c r="Z57" s="395"/>
      <c r="AA57" s="709"/>
      <c r="AB57" s="709"/>
      <c r="AC57" s="710"/>
      <c r="AD57" s="711"/>
    </row>
    <row r="58" spans="2:30">
      <c r="B58" s="1374"/>
      <c r="C58" s="695">
        <v>1000</v>
      </c>
      <c r="D58" s="695" t="s">
        <v>196</v>
      </c>
      <c r="E58" s="695" t="s">
        <v>196</v>
      </c>
      <c r="F58" s="697">
        <v>6</v>
      </c>
      <c r="G58" s="697">
        <f t="shared" si="27"/>
        <v>1.0000000000000001E-5</v>
      </c>
      <c r="H58" s="698">
        <f t="shared" si="30"/>
        <v>2.2999999999999998</v>
      </c>
      <c r="I58" s="688"/>
      <c r="J58" s="1374"/>
      <c r="K58" s="695">
        <v>1000</v>
      </c>
      <c r="L58" s="695" t="s">
        <v>196</v>
      </c>
      <c r="M58" s="695" t="s">
        <v>196</v>
      </c>
      <c r="N58" s="697">
        <v>8</v>
      </c>
      <c r="O58" s="697">
        <f t="shared" si="28"/>
        <v>1.0000000000000001E-5</v>
      </c>
      <c r="P58" s="698">
        <f t="shared" si="31"/>
        <v>2.2999999999999998</v>
      </c>
      <c r="Q58" s="688"/>
      <c r="R58" s="1374"/>
      <c r="S58" s="695">
        <v>1000</v>
      </c>
      <c r="T58" s="695" t="s">
        <v>196</v>
      </c>
      <c r="U58" s="695" t="s">
        <v>196</v>
      </c>
      <c r="V58" s="697">
        <v>10</v>
      </c>
      <c r="W58" s="697">
        <f t="shared" si="29"/>
        <v>1.0000000000000001E-5</v>
      </c>
      <c r="X58" s="698">
        <f t="shared" si="32"/>
        <v>2.2999999999999998</v>
      </c>
      <c r="Z58" s="395"/>
      <c r="AA58" s="709"/>
      <c r="AB58" s="709"/>
      <c r="AC58" s="710"/>
      <c r="AD58" s="711"/>
    </row>
    <row r="59" spans="2:30" ht="13.8" thickBot="1">
      <c r="B59" s="1374"/>
      <c r="C59" s="695">
        <v>1200</v>
      </c>
      <c r="D59" s="695" t="s">
        <v>196</v>
      </c>
      <c r="E59" s="695" t="s">
        <v>196</v>
      </c>
      <c r="F59" s="697">
        <v>0</v>
      </c>
      <c r="G59" s="697">
        <f t="shared" si="27"/>
        <v>1.0000000000000001E-5</v>
      </c>
      <c r="H59" s="698">
        <f>C59*$Y$17</f>
        <v>2.76</v>
      </c>
      <c r="I59" s="688"/>
      <c r="J59" s="1374"/>
      <c r="K59" s="695">
        <v>1200</v>
      </c>
      <c r="L59" s="695" t="s">
        <v>196</v>
      </c>
      <c r="M59" s="695" t="s">
        <v>196</v>
      </c>
      <c r="N59" s="697">
        <v>14</v>
      </c>
      <c r="O59" s="697">
        <f t="shared" si="28"/>
        <v>1.0000000000000001E-5</v>
      </c>
      <c r="P59" s="698">
        <f>K59*$Y$17</f>
        <v>2.76</v>
      </c>
      <c r="Q59" s="688"/>
      <c r="R59" s="1374"/>
      <c r="S59" s="695">
        <v>1200</v>
      </c>
      <c r="T59" s="695" t="s">
        <v>196</v>
      </c>
      <c r="U59" s="695" t="s">
        <v>196</v>
      </c>
      <c r="V59" s="697">
        <v>9</v>
      </c>
      <c r="W59" s="697">
        <f t="shared" si="29"/>
        <v>1.0000000000000001E-5</v>
      </c>
      <c r="X59" s="698">
        <f>S59*$Y$17</f>
        <v>2.76</v>
      </c>
      <c r="Z59" s="395"/>
      <c r="AA59" s="709"/>
      <c r="AB59" s="709"/>
      <c r="AC59" s="710"/>
      <c r="AD59" s="711"/>
    </row>
    <row r="60" spans="2:30" ht="14.4">
      <c r="B60" s="1374"/>
      <c r="C60" s="1376" t="s">
        <v>200</v>
      </c>
      <c r="D60" s="1377"/>
      <c r="E60" s="1377"/>
      <c r="F60" s="1377"/>
      <c r="G60" s="1378" t="s">
        <v>182</v>
      </c>
      <c r="H60" s="1379" t="s">
        <v>183</v>
      </c>
      <c r="I60" s="691"/>
      <c r="J60" s="1374"/>
      <c r="K60" s="1376" t="s">
        <v>200</v>
      </c>
      <c r="L60" s="1377"/>
      <c r="M60" s="1377"/>
      <c r="N60" s="1377"/>
      <c r="O60" s="1378" t="s">
        <v>182</v>
      </c>
      <c r="P60" s="1379" t="s">
        <v>183</v>
      </c>
      <c r="Q60" s="691"/>
      <c r="R60" s="1374"/>
      <c r="S60" s="1376" t="s">
        <v>200</v>
      </c>
      <c r="T60" s="1377"/>
      <c r="U60" s="1377"/>
      <c r="V60" s="1377"/>
      <c r="W60" s="1378" t="s">
        <v>182</v>
      </c>
      <c r="X60" s="1379" t="s">
        <v>183</v>
      </c>
      <c r="Z60" s="395"/>
      <c r="AA60" s="709"/>
      <c r="AB60" s="709"/>
      <c r="AC60" s="710"/>
      <c r="AD60" s="711"/>
    </row>
    <row r="61" spans="2:30">
      <c r="B61" s="1374"/>
      <c r="C61" s="692" t="s">
        <v>201</v>
      </c>
      <c r="D61" s="1369" t="s">
        <v>185</v>
      </c>
      <c r="E61" s="1369"/>
      <c r="F61" s="1369"/>
      <c r="G61" s="1369"/>
      <c r="H61" s="1380"/>
      <c r="I61" s="691"/>
      <c r="J61" s="1374"/>
      <c r="K61" s="692" t="s">
        <v>201</v>
      </c>
      <c r="L61" s="1369" t="s">
        <v>185</v>
      </c>
      <c r="M61" s="1369"/>
      <c r="N61" s="1369"/>
      <c r="O61" s="1369"/>
      <c r="P61" s="1380"/>
      <c r="Q61" s="691"/>
      <c r="R61" s="1374"/>
      <c r="S61" s="692" t="s">
        <v>201</v>
      </c>
      <c r="T61" s="1369" t="s">
        <v>185</v>
      </c>
      <c r="U61" s="1369"/>
      <c r="V61" s="1369"/>
      <c r="W61" s="1369"/>
      <c r="X61" s="1380"/>
      <c r="Z61" s="395"/>
      <c r="AA61" s="709"/>
      <c r="AB61" s="709"/>
      <c r="AC61" s="710"/>
      <c r="AD61" s="711"/>
    </row>
    <row r="62" spans="2:30" ht="14.4">
      <c r="B62" s="1374"/>
      <c r="C62" s="693" t="s">
        <v>170</v>
      </c>
      <c r="D62" s="694">
        <f>D52</f>
        <v>2016</v>
      </c>
      <c r="E62" s="694">
        <f t="shared" ref="E62:F62" si="33">E52</f>
        <v>2016</v>
      </c>
      <c r="F62" s="694">
        <f t="shared" si="33"/>
        <v>2021</v>
      </c>
      <c r="G62" s="1369"/>
      <c r="H62" s="1380"/>
      <c r="I62" s="691"/>
      <c r="J62" s="1374"/>
      <c r="K62" s="693" t="s">
        <v>170</v>
      </c>
      <c r="L62" s="694">
        <f>L52</f>
        <v>2016</v>
      </c>
      <c r="M62" s="694">
        <f t="shared" ref="M62:N62" si="34">M52</f>
        <v>2016</v>
      </c>
      <c r="N62" s="694">
        <f t="shared" si="34"/>
        <v>2021</v>
      </c>
      <c r="O62" s="1369"/>
      <c r="P62" s="1380"/>
      <c r="Q62" s="691"/>
      <c r="R62" s="1374"/>
      <c r="S62" s="693" t="s">
        <v>170</v>
      </c>
      <c r="T62" s="694">
        <f>T52</f>
        <v>2016</v>
      </c>
      <c r="U62" s="694">
        <f t="shared" ref="U62:V62" si="35">U52</f>
        <v>2016</v>
      </c>
      <c r="V62" s="694">
        <f t="shared" si="35"/>
        <v>2021</v>
      </c>
      <c r="W62" s="1369"/>
      <c r="X62" s="1380"/>
      <c r="Z62" s="395"/>
      <c r="AA62" s="709"/>
      <c r="AB62" s="709"/>
      <c r="AC62" s="710"/>
      <c r="AD62" s="711"/>
    </row>
    <row r="63" spans="2:30">
      <c r="B63" s="1374"/>
      <c r="C63" s="695">
        <v>0</v>
      </c>
      <c r="D63" s="700" t="s">
        <v>196</v>
      </c>
      <c r="E63" s="700" t="s">
        <v>196</v>
      </c>
      <c r="F63" s="696">
        <v>1.0000000000000001E-5</v>
      </c>
      <c r="G63" s="697">
        <f t="shared" ref="G63:G71" si="36">IF(0.5*(MAX(D63:F63)-MIN(D63:F63))=0,0.00001,0.5*(MAX(D63:F63)-MIN(D63:F63)))</f>
        <v>1.0000000000000001E-5</v>
      </c>
      <c r="H63" s="701">
        <f>C63*$Y$27</f>
        <v>0</v>
      </c>
      <c r="I63" s="714">
        <f>0.29/100</f>
        <v>2.8999999999999998E-3</v>
      </c>
      <c r="J63" s="1374"/>
      <c r="K63" s="695">
        <v>0</v>
      </c>
      <c r="L63" s="700" t="s">
        <v>196</v>
      </c>
      <c r="M63" s="700" t="s">
        <v>196</v>
      </c>
      <c r="N63" s="696">
        <v>1.0000000000000001E-5</v>
      </c>
      <c r="O63" s="697">
        <f t="shared" ref="O63:O71" si="37">IF(0.5*(MAX(L63:N63)-MIN(L63:N63))=0,0.00001,0.5*(MAX(L63:N63)-MIN(L63:N63)))</f>
        <v>1.0000000000000001E-5</v>
      </c>
      <c r="P63" s="701">
        <f>K63*$Y$27</f>
        <v>0</v>
      </c>
      <c r="Q63" s="714">
        <f>0.29/100</f>
        <v>2.8999999999999998E-3</v>
      </c>
      <c r="R63" s="1374"/>
      <c r="S63" s="695">
        <v>0</v>
      </c>
      <c r="T63" s="700" t="s">
        <v>196</v>
      </c>
      <c r="U63" s="700" t="s">
        <v>196</v>
      </c>
      <c r="V63" s="696">
        <v>1.0000000000000001E-5</v>
      </c>
      <c r="W63" s="697">
        <f t="shared" ref="W63:W71" si="38">IF(0.5*(MAX(T63:V63)-MIN(T63:V63))=0,0.00001,0.5*(MAX(T63:V63)-MIN(T63:V63)))</f>
        <v>1.0000000000000001E-5</v>
      </c>
      <c r="X63" s="701">
        <f>S63*$Y$27</f>
        <v>0</v>
      </c>
      <c r="Y63" s="343">
        <f>0.29/100</f>
        <v>2.8999999999999998E-3</v>
      </c>
      <c r="Z63" s="395"/>
      <c r="AA63" s="709"/>
      <c r="AB63" s="709"/>
      <c r="AC63" s="710"/>
      <c r="AD63" s="711"/>
    </row>
    <row r="64" spans="2:30">
      <c r="B64" s="1374"/>
      <c r="C64" s="695">
        <v>5</v>
      </c>
      <c r="D64" s="700" t="s">
        <v>196</v>
      </c>
      <c r="E64" s="700" t="s">
        <v>196</v>
      </c>
      <c r="F64" s="696">
        <v>1.0000000000000001E-5</v>
      </c>
      <c r="G64" s="697">
        <f t="shared" si="36"/>
        <v>1.0000000000000001E-5</v>
      </c>
      <c r="H64" s="701">
        <f t="shared" ref="H64:H71" si="39">C64*$Y$27</f>
        <v>1.4499999999999999E-2</v>
      </c>
      <c r="I64" s="688"/>
      <c r="J64" s="1374"/>
      <c r="K64" s="695">
        <v>5</v>
      </c>
      <c r="L64" s="700" t="s">
        <v>196</v>
      </c>
      <c r="M64" s="700" t="s">
        <v>196</v>
      </c>
      <c r="N64" s="696">
        <v>1.0000000000000001E-5</v>
      </c>
      <c r="O64" s="697">
        <f t="shared" si="37"/>
        <v>1.0000000000000001E-5</v>
      </c>
      <c r="P64" s="701">
        <f t="shared" ref="P64:P71" si="40">K64*$Y$27</f>
        <v>1.4499999999999999E-2</v>
      </c>
      <c r="Q64" s="688"/>
      <c r="R64" s="1374"/>
      <c r="S64" s="695">
        <v>5</v>
      </c>
      <c r="T64" s="700" t="s">
        <v>196</v>
      </c>
      <c r="U64" s="700" t="s">
        <v>196</v>
      </c>
      <c r="V64" s="696">
        <v>1.0000000000000001E-5</v>
      </c>
      <c r="W64" s="697">
        <f t="shared" si="38"/>
        <v>1.0000000000000001E-5</v>
      </c>
      <c r="X64" s="701">
        <f t="shared" ref="X64:X71" si="41">S64*$Y$27</f>
        <v>1.4499999999999999E-2</v>
      </c>
      <c r="Z64" s="395"/>
      <c r="AA64" s="709"/>
      <c r="AB64" s="709"/>
      <c r="AC64" s="710"/>
      <c r="AD64" s="711"/>
    </row>
    <row r="65" spans="2:30">
      <c r="B65" s="1374"/>
      <c r="C65" s="695">
        <v>10</v>
      </c>
      <c r="D65" s="700" t="s">
        <v>196</v>
      </c>
      <c r="E65" s="700" t="s">
        <v>196</v>
      </c>
      <c r="F65" s="696">
        <v>1.0000000000000001E-5</v>
      </c>
      <c r="G65" s="697">
        <f t="shared" si="36"/>
        <v>1.0000000000000001E-5</v>
      </c>
      <c r="H65" s="701">
        <f t="shared" si="39"/>
        <v>2.8999999999999998E-2</v>
      </c>
      <c r="I65" s="688"/>
      <c r="J65" s="1374"/>
      <c r="K65" s="695">
        <v>10</v>
      </c>
      <c r="L65" s="700" t="s">
        <v>196</v>
      </c>
      <c r="M65" s="700" t="s">
        <v>196</v>
      </c>
      <c r="N65" s="696">
        <v>1.0000000000000001E-5</v>
      </c>
      <c r="O65" s="697">
        <f t="shared" si="37"/>
        <v>1.0000000000000001E-5</v>
      </c>
      <c r="P65" s="701">
        <f t="shared" si="40"/>
        <v>2.8999999999999998E-2</v>
      </c>
      <c r="Q65" s="688"/>
      <c r="R65" s="1374"/>
      <c r="S65" s="695">
        <v>10</v>
      </c>
      <c r="T65" s="700" t="s">
        <v>196</v>
      </c>
      <c r="U65" s="700" t="s">
        <v>196</v>
      </c>
      <c r="V65" s="696">
        <v>1.0000000000000001E-5</v>
      </c>
      <c r="W65" s="697">
        <f t="shared" si="38"/>
        <v>1.0000000000000001E-5</v>
      </c>
      <c r="X65" s="701">
        <f t="shared" si="41"/>
        <v>2.8999999999999998E-2</v>
      </c>
      <c r="Z65" s="395"/>
      <c r="AA65" s="709"/>
      <c r="AB65" s="709"/>
      <c r="AC65" s="710"/>
      <c r="AD65" s="711"/>
    </row>
    <row r="66" spans="2:30">
      <c r="B66" s="1374"/>
      <c r="C66" s="695">
        <v>25</v>
      </c>
      <c r="D66" s="700" t="s">
        <v>196</v>
      </c>
      <c r="E66" s="700" t="s">
        <v>196</v>
      </c>
      <c r="F66" s="696">
        <v>1.0000000000000001E-5</v>
      </c>
      <c r="G66" s="697">
        <f t="shared" si="36"/>
        <v>1.0000000000000001E-5</v>
      </c>
      <c r="H66" s="701">
        <f t="shared" si="39"/>
        <v>7.2499999999999995E-2</v>
      </c>
      <c r="I66" s="688"/>
      <c r="J66" s="1374"/>
      <c r="K66" s="695">
        <v>25</v>
      </c>
      <c r="L66" s="700" t="s">
        <v>196</v>
      </c>
      <c r="M66" s="700" t="s">
        <v>196</v>
      </c>
      <c r="N66" s="696">
        <v>1.0000000000000001E-5</v>
      </c>
      <c r="O66" s="697">
        <f t="shared" si="37"/>
        <v>1.0000000000000001E-5</v>
      </c>
      <c r="P66" s="701">
        <f t="shared" si="40"/>
        <v>7.2499999999999995E-2</v>
      </c>
      <c r="Q66" s="688"/>
      <c r="R66" s="1374"/>
      <c r="S66" s="695">
        <v>25</v>
      </c>
      <c r="T66" s="700" t="s">
        <v>196</v>
      </c>
      <c r="U66" s="700" t="s">
        <v>196</v>
      </c>
      <c r="V66" s="696">
        <v>1.0000000000000001E-5</v>
      </c>
      <c r="W66" s="697">
        <f t="shared" si="38"/>
        <v>1.0000000000000001E-5</v>
      </c>
      <c r="X66" s="701">
        <f t="shared" si="41"/>
        <v>7.2499999999999995E-2</v>
      </c>
      <c r="Z66" s="395"/>
      <c r="AA66" s="709"/>
      <c r="AB66" s="709"/>
      <c r="AC66" s="710"/>
      <c r="AD66" s="711"/>
    </row>
    <row r="67" spans="2:30">
      <c r="B67" s="1374"/>
      <c r="C67" s="695">
        <v>50</v>
      </c>
      <c r="D67" s="700" t="s">
        <v>196</v>
      </c>
      <c r="E67" s="700" t="s">
        <v>196</v>
      </c>
      <c r="F67" s="696">
        <v>1.0000000000000001E-5</v>
      </c>
      <c r="G67" s="697">
        <f t="shared" si="36"/>
        <v>1.0000000000000001E-5</v>
      </c>
      <c r="H67" s="701">
        <f t="shared" si="39"/>
        <v>0.14499999999999999</v>
      </c>
      <c r="I67" s="688"/>
      <c r="J67" s="1374"/>
      <c r="K67" s="695">
        <v>50</v>
      </c>
      <c r="L67" s="700" t="s">
        <v>196</v>
      </c>
      <c r="M67" s="700" t="s">
        <v>196</v>
      </c>
      <c r="N67" s="696">
        <v>1.0000000000000001E-5</v>
      </c>
      <c r="O67" s="697">
        <f t="shared" si="37"/>
        <v>1.0000000000000001E-5</v>
      </c>
      <c r="P67" s="701">
        <f t="shared" si="40"/>
        <v>0.14499999999999999</v>
      </c>
      <c r="Q67" s="688"/>
      <c r="R67" s="1374"/>
      <c r="S67" s="695">
        <v>50</v>
      </c>
      <c r="T67" s="700" t="s">
        <v>196</v>
      </c>
      <c r="U67" s="700" t="s">
        <v>196</v>
      </c>
      <c r="V67" s="696">
        <v>1.0000000000000001E-5</v>
      </c>
      <c r="W67" s="697">
        <f t="shared" si="38"/>
        <v>1.0000000000000001E-5</v>
      </c>
      <c r="X67" s="701">
        <f t="shared" si="41"/>
        <v>0.14499999999999999</v>
      </c>
      <c r="Z67" s="395"/>
      <c r="AA67" s="709"/>
      <c r="AB67" s="709"/>
      <c r="AC67" s="710"/>
      <c r="AD67" s="711"/>
    </row>
    <row r="68" spans="2:30">
      <c r="B68" s="1374"/>
      <c r="C68" s="695">
        <v>100</v>
      </c>
      <c r="D68" s="700" t="s">
        <v>196</v>
      </c>
      <c r="E68" s="700" t="s">
        <v>196</v>
      </c>
      <c r="F68" s="696">
        <v>1.0000000000000001E-5</v>
      </c>
      <c r="G68" s="697">
        <f t="shared" si="36"/>
        <v>1.0000000000000001E-5</v>
      </c>
      <c r="H68" s="701">
        <f t="shared" si="39"/>
        <v>0.28999999999999998</v>
      </c>
      <c r="I68" s="688"/>
      <c r="J68" s="1374"/>
      <c r="K68" s="695">
        <v>100</v>
      </c>
      <c r="L68" s="700" t="s">
        <v>196</v>
      </c>
      <c r="M68" s="700" t="s">
        <v>196</v>
      </c>
      <c r="N68" s="696">
        <v>1.0000000000000001E-5</v>
      </c>
      <c r="O68" s="697">
        <f t="shared" si="37"/>
        <v>1.0000000000000001E-5</v>
      </c>
      <c r="P68" s="701">
        <f t="shared" si="40"/>
        <v>0.28999999999999998</v>
      </c>
      <c r="Q68" s="688"/>
      <c r="R68" s="1374"/>
      <c r="S68" s="695">
        <v>100</v>
      </c>
      <c r="T68" s="700" t="s">
        <v>196</v>
      </c>
      <c r="U68" s="700" t="s">
        <v>196</v>
      </c>
      <c r="V68" s="696">
        <v>1.0000000000000001E-5</v>
      </c>
      <c r="W68" s="697">
        <f t="shared" si="38"/>
        <v>1.0000000000000001E-5</v>
      </c>
      <c r="X68" s="701">
        <f t="shared" si="41"/>
        <v>0.28999999999999998</v>
      </c>
      <c r="Z68" s="395"/>
      <c r="AA68" s="709"/>
      <c r="AB68" s="709"/>
      <c r="AC68" s="710"/>
      <c r="AD68" s="711"/>
    </row>
    <row r="69" spans="2:30">
      <c r="B69" s="1374"/>
      <c r="C69" s="695">
        <v>250</v>
      </c>
      <c r="D69" s="700" t="s">
        <v>196</v>
      </c>
      <c r="E69" s="700" t="s">
        <v>196</v>
      </c>
      <c r="F69" s="696">
        <v>1.0000000000000001E-5</v>
      </c>
      <c r="G69" s="697">
        <f t="shared" si="36"/>
        <v>1.0000000000000001E-5</v>
      </c>
      <c r="H69" s="701">
        <f t="shared" si="39"/>
        <v>0.72499999999999998</v>
      </c>
      <c r="I69" s="688"/>
      <c r="J69" s="1374"/>
      <c r="K69" s="695">
        <v>250</v>
      </c>
      <c r="L69" s="700" t="s">
        <v>196</v>
      </c>
      <c r="M69" s="700" t="s">
        <v>196</v>
      </c>
      <c r="N69" s="696">
        <v>1.0000000000000001E-5</v>
      </c>
      <c r="O69" s="697">
        <f t="shared" si="37"/>
        <v>1.0000000000000001E-5</v>
      </c>
      <c r="P69" s="701">
        <f t="shared" si="40"/>
        <v>0.72499999999999998</v>
      </c>
      <c r="Q69" s="688"/>
      <c r="R69" s="1374"/>
      <c r="S69" s="695">
        <v>250</v>
      </c>
      <c r="T69" s="700" t="s">
        <v>196</v>
      </c>
      <c r="U69" s="700" t="s">
        <v>196</v>
      </c>
      <c r="V69" s="696">
        <v>1.0000000000000001E-5</v>
      </c>
      <c r="W69" s="697">
        <f t="shared" si="38"/>
        <v>1.0000000000000001E-5</v>
      </c>
      <c r="X69" s="701">
        <f t="shared" si="41"/>
        <v>0.72499999999999998</v>
      </c>
      <c r="Z69" s="395"/>
      <c r="AA69" s="709"/>
      <c r="AB69" s="709"/>
      <c r="AC69" s="710"/>
      <c r="AD69" s="711"/>
    </row>
    <row r="70" spans="2:30">
      <c r="B70" s="1374"/>
      <c r="C70" s="695">
        <v>500</v>
      </c>
      <c r="D70" s="700" t="s">
        <v>196</v>
      </c>
      <c r="E70" s="700" t="s">
        <v>196</v>
      </c>
      <c r="F70" s="696">
        <v>1.0000000000000001E-5</v>
      </c>
      <c r="G70" s="697">
        <f t="shared" si="36"/>
        <v>1.0000000000000001E-5</v>
      </c>
      <c r="H70" s="701">
        <f t="shared" si="39"/>
        <v>1.45</v>
      </c>
      <c r="I70" s="688"/>
      <c r="J70" s="1374"/>
      <c r="K70" s="695">
        <v>500</v>
      </c>
      <c r="L70" s="700" t="s">
        <v>196</v>
      </c>
      <c r="M70" s="700" t="s">
        <v>196</v>
      </c>
      <c r="N70" s="696">
        <v>1.0000000000000001E-5</v>
      </c>
      <c r="O70" s="697">
        <f t="shared" si="37"/>
        <v>1.0000000000000001E-5</v>
      </c>
      <c r="P70" s="701">
        <f t="shared" si="40"/>
        <v>1.45</v>
      </c>
      <c r="Q70" s="688"/>
      <c r="R70" s="1374"/>
      <c r="S70" s="695">
        <v>500</v>
      </c>
      <c r="T70" s="700" t="s">
        <v>196</v>
      </c>
      <c r="U70" s="700" t="s">
        <v>196</v>
      </c>
      <c r="V70" s="696">
        <v>1.0000000000000001E-5</v>
      </c>
      <c r="W70" s="697">
        <f t="shared" si="38"/>
        <v>1.0000000000000001E-5</v>
      </c>
      <c r="X70" s="701">
        <f t="shared" si="41"/>
        <v>1.45</v>
      </c>
      <c r="Z70" s="395"/>
      <c r="AA70" s="709"/>
      <c r="AB70" s="709"/>
      <c r="AC70" s="710"/>
      <c r="AD70" s="711"/>
    </row>
    <row r="71" spans="2:30" ht="13.8" thickBot="1">
      <c r="B71" s="1375"/>
      <c r="C71" s="703">
        <v>1000</v>
      </c>
      <c r="D71" s="704" t="s">
        <v>196</v>
      </c>
      <c r="E71" s="704" t="s">
        <v>196</v>
      </c>
      <c r="F71" s="696">
        <v>1.0000000000000001E-5</v>
      </c>
      <c r="G71" s="697">
        <f t="shared" si="36"/>
        <v>1.0000000000000001E-5</v>
      </c>
      <c r="H71" s="705">
        <f t="shared" si="39"/>
        <v>2.9</v>
      </c>
      <c r="I71" s="688"/>
      <c r="J71" s="1375"/>
      <c r="K71" s="703">
        <v>1000</v>
      </c>
      <c r="L71" s="704" t="s">
        <v>196</v>
      </c>
      <c r="M71" s="704" t="s">
        <v>196</v>
      </c>
      <c r="N71" s="696">
        <v>1.0000000000000001E-5</v>
      </c>
      <c r="O71" s="697">
        <f t="shared" si="37"/>
        <v>1.0000000000000001E-5</v>
      </c>
      <c r="P71" s="705">
        <f t="shared" si="40"/>
        <v>2.9</v>
      </c>
      <c r="Q71" s="688"/>
      <c r="R71" s="1375"/>
      <c r="S71" s="703">
        <v>1000</v>
      </c>
      <c r="T71" s="704" t="s">
        <v>196</v>
      </c>
      <c r="U71" s="704" t="s">
        <v>196</v>
      </c>
      <c r="V71" s="696">
        <v>1.0000000000000001E-5</v>
      </c>
      <c r="W71" s="697">
        <f t="shared" si="38"/>
        <v>1.0000000000000001E-5</v>
      </c>
      <c r="X71" s="705">
        <f t="shared" si="41"/>
        <v>2.9</v>
      </c>
      <c r="Z71" s="395"/>
      <c r="AA71" s="709"/>
      <c r="AB71" s="709"/>
      <c r="AC71" s="710"/>
      <c r="AD71" s="711"/>
    </row>
    <row r="72" spans="2:30">
      <c r="B72" s="688"/>
      <c r="C72" s="706"/>
      <c r="D72" s="707"/>
      <c r="E72" s="707"/>
      <c r="F72" s="707"/>
      <c r="G72" s="708"/>
      <c r="H72" s="702"/>
      <c r="I72" s="702"/>
      <c r="J72" s="688"/>
      <c r="K72" s="706"/>
      <c r="L72" s="707"/>
      <c r="M72" s="707"/>
      <c r="N72" s="707"/>
      <c r="O72" s="708"/>
      <c r="P72" s="702"/>
      <c r="Q72" s="702"/>
      <c r="R72" s="688"/>
      <c r="S72" s="706"/>
      <c r="T72" s="707"/>
      <c r="U72" s="707"/>
      <c r="V72" s="707"/>
      <c r="W72" s="708"/>
      <c r="X72" s="702"/>
      <c r="Z72" s="395"/>
      <c r="AA72" s="709"/>
      <c r="AB72" s="709"/>
      <c r="AC72" s="710"/>
      <c r="AD72" s="711"/>
    </row>
    <row r="73" spans="2:30" ht="13.8" thickBot="1">
      <c r="B73" s="688"/>
      <c r="C73" s="706"/>
      <c r="D73" s="707"/>
      <c r="E73" s="707"/>
      <c r="F73" s="707"/>
      <c r="G73" s="708"/>
      <c r="H73" s="702"/>
      <c r="I73" s="702"/>
      <c r="J73" s="688"/>
      <c r="K73" s="706"/>
      <c r="L73" s="707"/>
      <c r="M73" s="707"/>
      <c r="N73" s="707"/>
      <c r="O73" s="708"/>
      <c r="P73" s="702"/>
      <c r="Q73" s="702"/>
      <c r="R73" s="688"/>
      <c r="S73" s="706"/>
      <c r="T73" s="707"/>
      <c r="U73" s="707"/>
      <c r="V73" s="707"/>
      <c r="W73" s="708"/>
      <c r="X73" s="702"/>
      <c r="Z73" s="395"/>
      <c r="AA73" s="709"/>
      <c r="AB73" s="709"/>
      <c r="AC73" s="710"/>
      <c r="AD73" s="711"/>
    </row>
    <row r="74" spans="2:30">
      <c r="B74" s="1373">
        <v>7</v>
      </c>
      <c r="C74" s="689" t="s">
        <v>330</v>
      </c>
      <c r="D74" s="689"/>
      <c r="E74" s="689"/>
      <c r="F74" s="689"/>
      <c r="G74" s="689"/>
      <c r="H74" s="690"/>
      <c r="I74" s="688"/>
      <c r="J74" s="1373">
        <v>8</v>
      </c>
      <c r="K74" s="689" t="s">
        <v>331</v>
      </c>
      <c r="L74" s="689"/>
      <c r="M74" s="689"/>
      <c r="N74" s="689"/>
      <c r="O74" s="689"/>
      <c r="P74" s="690"/>
      <c r="Q74" s="688"/>
      <c r="R74" s="1373">
        <v>9</v>
      </c>
      <c r="S74" s="689" t="s">
        <v>332</v>
      </c>
      <c r="T74" s="689"/>
      <c r="U74" s="689"/>
      <c r="V74" s="689"/>
      <c r="W74" s="689"/>
      <c r="X74" s="690"/>
      <c r="Z74" s="395"/>
      <c r="AA74" s="709"/>
      <c r="AB74" s="709"/>
      <c r="AC74" s="710"/>
      <c r="AD74" s="711"/>
    </row>
    <row r="75" spans="2:30" ht="14.4">
      <c r="B75" s="1374"/>
      <c r="C75" s="1386" t="s">
        <v>194</v>
      </c>
      <c r="D75" s="1387"/>
      <c r="E75" s="1387"/>
      <c r="F75" s="1387"/>
      <c r="G75" s="1369" t="s">
        <v>182</v>
      </c>
      <c r="H75" s="1380" t="s">
        <v>183</v>
      </c>
      <c r="I75" s="691"/>
      <c r="J75" s="1374"/>
      <c r="K75" s="1386" t="s">
        <v>194</v>
      </c>
      <c r="L75" s="1387"/>
      <c r="M75" s="1387"/>
      <c r="N75" s="1387"/>
      <c r="O75" s="1369" t="s">
        <v>182</v>
      </c>
      <c r="P75" s="1380" t="s">
        <v>183</v>
      </c>
      <c r="Q75" s="691"/>
      <c r="R75" s="1374"/>
      <c r="S75" s="1386" t="s">
        <v>194</v>
      </c>
      <c r="T75" s="1387"/>
      <c r="U75" s="1387"/>
      <c r="V75" s="1387"/>
      <c r="W75" s="1369" t="s">
        <v>182</v>
      </c>
      <c r="X75" s="1380" t="s">
        <v>183</v>
      </c>
      <c r="Z75" s="395"/>
      <c r="AA75" s="709"/>
      <c r="AB75" s="709"/>
      <c r="AC75" s="710"/>
      <c r="AD75" s="711"/>
    </row>
    <row r="76" spans="2:30">
      <c r="B76" s="1374"/>
      <c r="C76" s="692" t="s">
        <v>195</v>
      </c>
      <c r="D76" s="1369" t="s">
        <v>185</v>
      </c>
      <c r="E76" s="1369"/>
      <c r="F76" s="1369"/>
      <c r="G76" s="1369"/>
      <c r="H76" s="1380"/>
      <c r="I76" s="691"/>
      <c r="J76" s="1374"/>
      <c r="K76" s="692" t="s">
        <v>195</v>
      </c>
      <c r="L76" s="1369" t="s">
        <v>185</v>
      </c>
      <c r="M76" s="1369"/>
      <c r="N76" s="1369"/>
      <c r="O76" s="1369"/>
      <c r="P76" s="1380"/>
      <c r="Q76" s="691"/>
      <c r="R76" s="1374"/>
      <c r="S76" s="692" t="s">
        <v>195</v>
      </c>
      <c r="T76" s="1369" t="s">
        <v>185</v>
      </c>
      <c r="U76" s="1369"/>
      <c r="V76" s="1369"/>
      <c r="W76" s="1369"/>
      <c r="X76" s="1380"/>
      <c r="Z76" s="395"/>
      <c r="AA76" s="709"/>
      <c r="AB76" s="709"/>
      <c r="AC76" s="710"/>
      <c r="AD76" s="711"/>
    </row>
    <row r="77" spans="2:30" ht="14.4">
      <c r="B77" s="1374"/>
      <c r="C77" s="693" t="s">
        <v>21</v>
      </c>
      <c r="D77" s="694">
        <v>2016</v>
      </c>
      <c r="E77" s="694">
        <v>2016</v>
      </c>
      <c r="F77" s="694">
        <v>2021</v>
      </c>
      <c r="G77" s="1369"/>
      <c r="H77" s="1380"/>
      <c r="I77" s="691"/>
      <c r="J77" s="1374"/>
      <c r="K77" s="693" t="s">
        <v>21</v>
      </c>
      <c r="L77" s="694">
        <v>2016</v>
      </c>
      <c r="M77" s="694">
        <v>2016</v>
      </c>
      <c r="N77" s="694">
        <v>2021</v>
      </c>
      <c r="O77" s="1369"/>
      <c r="P77" s="1380"/>
      <c r="Q77" s="691"/>
      <c r="R77" s="1374"/>
      <c r="S77" s="693" t="s">
        <v>21</v>
      </c>
      <c r="T77" s="694">
        <v>2016</v>
      </c>
      <c r="U77" s="694">
        <v>2016</v>
      </c>
      <c r="V77" s="694">
        <v>2021</v>
      </c>
      <c r="W77" s="1369"/>
      <c r="X77" s="1380"/>
      <c r="Z77" s="395"/>
      <c r="AA77" s="709"/>
      <c r="AB77" s="709"/>
      <c r="AC77" s="710"/>
      <c r="AD77" s="711"/>
    </row>
    <row r="78" spans="2:30">
      <c r="B78" s="1374"/>
      <c r="C78" s="695">
        <v>0</v>
      </c>
      <c r="D78" s="695" t="s">
        <v>196</v>
      </c>
      <c r="E78" s="695" t="s">
        <v>196</v>
      </c>
      <c r="F78" s="696">
        <v>1.0000000000000001E-5</v>
      </c>
      <c r="G78" s="697">
        <f t="shared" ref="G78:G85" si="42">IF(0.5*(MAX(D78:F78)-MIN(D78:F78))=0,0.00001,0.5*(MAX(D78:F78)-MIN(D78:F78)))</f>
        <v>1.0000000000000001E-5</v>
      </c>
      <c r="H78" s="698">
        <f>C78*$I$42</f>
        <v>0</v>
      </c>
      <c r="I78" s="712">
        <f>0.3/100</f>
        <v>3.0000000000000001E-3</v>
      </c>
      <c r="J78" s="1374"/>
      <c r="K78" s="695">
        <v>0</v>
      </c>
      <c r="L78" s="695" t="s">
        <v>196</v>
      </c>
      <c r="M78" s="695" t="s">
        <v>196</v>
      </c>
      <c r="N78" s="696">
        <v>1.0000000000000001E-5</v>
      </c>
      <c r="O78" s="697">
        <f>0.5*(MAX(L78:N78)-MIN(L78:N78))</f>
        <v>0</v>
      </c>
      <c r="P78" s="698">
        <f>K78*$Q$42</f>
        <v>0</v>
      </c>
      <c r="Q78" s="712">
        <f>I78</f>
        <v>3.0000000000000001E-3</v>
      </c>
      <c r="R78" s="1374"/>
      <c r="S78" s="695">
        <v>0</v>
      </c>
      <c r="T78" s="695" t="s">
        <v>196</v>
      </c>
      <c r="U78" s="695" t="s">
        <v>196</v>
      </c>
      <c r="V78" s="696">
        <v>1.0000000000000001E-5</v>
      </c>
      <c r="W78" s="697">
        <f t="shared" ref="W78:W85" si="43">IF(0.5*(MAX(T78:V78)-MIN(T78:V78))=0,0.00001,0.5*(MAX(T78:V78)-MIN(T78:V78)))</f>
        <v>1.0000000000000001E-5</v>
      </c>
      <c r="X78" s="698">
        <f>S78*$Y$42</f>
        <v>0</v>
      </c>
      <c r="Y78" s="713">
        <f>Q78</f>
        <v>3.0000000000000001E-3</v>
      </c>
      <c r="Z78" s="395"/>
      <c r="AA78" s="709"/>
      <c r="AB78" s="709"/>
      <c r="AC78" s="710"/>
      <c r="AD78" s="711"/>
    </row>
    <row r="79" spans="2:30">
      <c r="B79" s="1374"/>
      <c r="C79" s="695">
        <v>1</v>
      </c>
      <c r="D79" s="695" t="s">
        <v>196</v>
      </c>
      <c r="E79" s="695" t="s">
        <v>196</v>
      </c>
      <c r="F79" s="696">
        <v>1.0000000000000001E-5</v>
      </c>
      <c r="G79" s="697">
        <f t="shared" si="42"/>
        <v>1.0000000000000001E-5</v>
      </c>
      <c r="H79" s="698">
        <f t="shared" ref="H79:H85" si="44">C79*$I$42</f>
        <v>2.8999999999999998E-3</v>
      </c>
      <c r="I79" s="699"/>
      <c r="J79" s="1374"/>
      <c r="K79" s="695">
        <v>1</v>
      </c>
      <c r="L79" s="695" t="s">
        <v>196</v>
      </c>
      <c r="M79" s="695" t="s">
        <v>196</v>
      </c>
      <c r="N79" s="696">
        <v>1.0000000000000001E-5</v>
      </c>
      <c r="O79" s="697">
        <f t="shared" ref="O79:O85" si="45">0.5*(MAX(L79:N79)-MIN(L79:N79))</f>
        <v>0</v>
      </c>
      <c r="P79" s="698">
        <f t="shared" ref="P79:P85" si="46">K79*$Q$42</f>
        <v>2.8999999999999998E-3</v>
      </c>
      <c r="Q79" s="699"/>
      <c r="R79" s="1374"/>
      <c r="S79" s="695">
        <v>1</v>
      </c>
      <c r="T79" s="695" t="s">
        <v>196</v>
      </c>
      <c r="U79" s="695" t="s">
        <v>196</v>
      </c>
      <c r="V79" s="696">
        <v>1.0000000000000001E-5</v>
      </c>
      <c r="W79" s="697">
        <f t="shared" si="43"/>
        <v>1.0000000000000001E-5</v>
      </c>
      <c r="X79" s="698">
        <f t="shared" ref="X79:X85" si="47">S79*$Y$42</f>
        <v>2.8999999999999998E-3</v>
      </c>
      <c r="Z79" s="395"/>
      <c r="AA79" s="709"/>
      <c r="AB79" s="709"/>
      <c r="AC79" s="710"/>
      <c r="AD79" s="711"/>
    </row>
    <row r="80" spans="2:30">
      <c r="B80" s="1374"/>
      <c r="C80" s="695">
        <v>10</v>
      </c>
      <c r="D80" s="695" t="s">
        <v>196</v>
      </c>
      <c r="E80" s="695" t="s">
        <v>196</v>
      </c>
      <c r="F80" s="696">
        <v>1.0000000000000001E-5</v>
      </c>
      <c r="G80" s="697">
        <f t="shared" si="42"/>
        <v>1.0000000000000001E-5</v>
      </c>
      <c r="H80" s="698">
        <f t="shared" si="44"/>
        <v>2.8999999999999998E-2</v>
      </c>
      <c r="I80" s="699"/>
      <c r="J80" s="1374"/>
      <c r="K80" s="695">
        <v>10</v>
      </c>
      <c r="L80" s="695" t="s">
        <v>196</v>
      </c>
      <c r="M80" s="695" t="s">
        <v>196</v>
      </c>
      <c r="N80" s="696">
        <v>1.0000000000000001E-5</v>
      </c>
      <c r="O80" s="697">
        <f t="shared" si="45"/>
        <v>0</v>
      </c>
      <c r="P80" s="698">
        <f t="shared" si="46"/>
        <v>2.8999999999999998E-2</v>
      </c>
      <c r="Q80" s="699"/>
      <c r="R80" s="1374"/>
      <c r="S80" s="695">
        <v>10</v>
      </c>
      <c r="T80" s="695" t="s">
        <v>196</v>
      </c>
      <c r="U80" s="695" t="s">
        <v>196</v>
      </c>
      <c r="V80" s="696">
        <v>1.0000000000000001E-5</v>
      </c>
      <c r="W80" s="697">
        <f t="shared" si="43"/>
        <v>1.0000000000000001E-5</v>
      </c>
      <c r="X80" s="698">
        <f t="shared" si="47"/>
        <v>2.8999999999999998E-2</v>
      </c>
      <c r="Z80" s="395"/>
      <c r="AA80" s="709"/>
      <c r="AB80" s="709"/>
      <c r="AC80" s="710"/>
      <c r="AD80" s="711"/>
    </row>
    <row r="81" spans="2:30">
      <c r="B81" s="1374"/>
      <c r="C81" s="695">
        <v>15</v>
      </c>
      <c r="D81" s="695" t="s">
        <v>196</v>
      </c>
      <c r="E81" s="695" t="s">
        <v>196</v>
      </c>
      <c r="F81" s="696">
        <v>1.0000000000000001E-5</v>
      </c>
      <c r="G81" s="697">
        <f t="shared" si="42"/>
        <v>1.0000000000000001E-5</v>
      </c>
      <c r="H81" s="698">
        <f t="shared" si="44"/>
        <v>4.3499999999999997E-2</v>
      </c>
      <c r="I81" s="699"/>
      <c r="J81" s="1374"/>
      <c r="K81" s="695">
        <v>15</v>
      </c>
      <c r="L81" s="695" t="s">
        <v>196</v>
      </c>
      <c r="M81" s="695" t="s">
        <v>196</v>
      </c>
      <c r="N81" s="696">
        <v>1.0000000000000001E-5</v>
      </c>
      <c r="O81" s="697">
        <f t="shared" si="45"/>
        <v>0</v>
      </c>
      <c r="P81" s="698">
        <f t="shared" si="46"/>
        <v>4.3499999999999997E-2</v>
      </c>
      <c r="Q81" s="699"/>
      <c r="R81" s="1374"/>
      <c r="S81" s="695">
        <v>15</v>
      </c>
      <c r="T81" s="695" t="s">
        <v>196</v>
      </c>
      <c r="U81" s="695" t="s">
        <v>196</v>
      </c>
      <c r="V81" s="696">
        <v>1.0000000000000001E-5</v>
      </c>
      <c r="W81" s="697">
        <f t="shared" si="43"/>
        <v>1.0000000000000001E-5</v>
      </c>
      <c r="X81" s="698">
        <f t="shared" si="47"/>
        <v>4.3499999999999997E-2</v>
      </c>
      <c r="Z81" s="395"/>
      <c r="AA81" s="709"/>
      <c r="AB81" s="709"/>
      <c r="AC81" s="710"/>
      <c r="AD81" s="711"/>
    </row>
    <row r="82" spans="2:30">
      <c r="B82" s="1374"/>
      <c r="C82" s="695">
        <v>20</v>
      </c>
      <c r="D82" s="695" t="s">
        <v>196</v>
      </c>
      <c r="E82" s="695" t="s">
        <v>196</v>
      </c>
      <c r="F82" s="696">
        <v>1.0000000000000001E-5</v>
      </c>
      <c r="G82" s="697">
        <f t="shared" si="42"/>
        <v>1.0000000000000001E-5</v>
      </c>
      <c r="H82" s="698">
        <f t="shared" si="44"/>
        <v>5.7999999999999996E-2</v>
      </c>
      <c r="I82" s="699"/>
      <c r="J82" s="1374"/>
      <c r="K82" s="695">
        <v>20</v>
      </c>
      <c r="L82" s="695" t="s">
        <v>196</v>
      </c>
      <c r="M82" s="695" t="s">
        <v>196</v>
      </c>
      <c r="N82" s="696">
        <v>1.0000000000000001E-5</v>
      </c>
      <c r="O82" s="697">
        <f t="shared" si="45"/>
        <v>0</v>
      </c>
      <c r="P82" s="698">
        <f t="shared" si="46"/>
        <v>5.7999999999999996E-2</v>
      </c>
      <c r="Q82" s="699"/>
      <c r="R82" s="1374"/>
      <c r="S82" s="695">
        <v>20</v>
      </c>
      <c r="T82" s="695" t="s">
        <v>196</v>
      </c>
      <c r="U82" s="695" t="s">
        <v>196</v>
      </c>
      <c r="V82" s="696">
        <v>1.0000000000000001E-5</v>
      </c>
      <c r="W82" s="697">
        <f t="shared" si="43"/>
        <v>1.0000000000000001E-5</v>
      </c>
      <c r="X82" s="698">
        <f t="shared" si="47"/>
        <v>5.7999999999999996E-2</v>
      </c>
      <c r="Z82" s="395"/>
      <c r="AA82" s="709"/>
      <c r="AB82" s="709"/>
      <c r="AC82" s="710"/>
      <c r="AD82" s="711"/>
    </row>
    <row r="83" spans="2:30">
      <c r="B83" s="1374"/>
      <c r="C83" s="695">
        <v>30</v>
      </c>
      <c r="D83" s="695" t="s">
        <v>196</v>
      </c>
      <c r="E83" s="695" t="s">
        <v>196</v>
      </c>
      <c r="F83" s="696">
        <v>1.0000000000000001E-5</v>
      </c>
      <c r="G83" s="697">
        <f t="shared" si="42"/>
        <v>1.0000000000000001E-5</v>
      </c>
      <c r="H83" s="698">
        <f t="shared" si="44"/>
        <v>8.6999999999999994E-2</v>
      </c>
      <c r="I83" s="699"/>
      <c r="J83" s="1374"/>
      <c r="K83" s="695">
        <v>30</v>
      </c>
      <c r="L83" s="695" t="s">
        <v>196</v>
      </c>
      <c r="M83" s="695" t="s">
        <v>196</v>
      </c>
      <c r="N83" s="696">
        <v>1.0000000000000001E-5</v>
      </c>
      <c r="O83" s="697">
        <f t="shared" si="45"/>
        <v>0</v>
      </c>
      <c r="P83" s="698">
        <f t="shared" si="46"/>
        <v>8.6999999999999994E-2</v>
      </c>
      <c r="Q83" s="699"/>
      <c r="R83" s="1374"/>
      <c r="S83" s="695">
        <v>30</v>
      </c>
      <c r="T83" s="695" t="s">
        <v>196</v>
      </c>
      <c r="U83" s="695" t="s">
        <v>196</v>
      </c>
      <c r="V83" s="696">
        <v>1.0000000000000001E-5</v>
      </c>
      <c r="W83" s="697">
        <f t="shared" si="43"/>
        <v>1.0000000000000001E-5</v>
      </c>
      <c r="X83" s="698">
        <f t="shared" si="47"/>
        <v>8.6999999999999994E-2</v>
      </c>
      <c r="Z83" s="395"/>
      <c r="AA83" s="709"/>
      <c r="AB83" s="709"/>
      <c r="AC83" s="710"/>
      <c r="AD83" s="711"/>
    </row>
    <row r="84" spans="2:30">
      <c r="B84" s="1374"/>
      <c r="C84" s="695">
        <v>50</v>
      </c>
      <c r="D84" s="695" t="s">
        <v>196</v>
      </c>
      <c r="E84" s="695" t="s">
        <v>196</v>
      </c>
      <c r="F84" s="696">
        <v>1.0000000000000001E-5</v>
      </c>
      <c r="G84" s="697">
        <f t="shared" si="42"/>
        <v>1.0000000000000001E-5</v>
      </c>
      <c r="H84" s="698">
        <f t="shared" si="44"/>
        <v>0.14499999999999999</v>
      </c>
      <c r="I84" s="699"/>
      <c r="J84" s="1374"/>
      <c r="K84" s="695">
        <v>50</v>
      </c>
      <c r="L84" s="695" t="s">
        <v>196</v>
      </c>
      <c r="M84" s="695" t="s">
        <v>196</v>
      </c>
      <c r="N84" s="696">
        <v>1.0000000000000001E-5</v>
      </c>
      <c r="O84" s="697">
        <f t="shared" si="45"/>
        <v>0</v>
      </c>
      <c r="P84" s="698">
        <f t="shared" si="46"/>
        <v>0.14499999999999999</v>
      </c>
      <c r="Q84" s="699"/>
      <c r="R84" s="1374"/>
      <c r="S84" s="695">
        <v>50</v>
      </c>
      <c r="T84" s="695" t="s">
        <v>196</v>
      </c>
      <c r="U84" s="695" t="s">
        <v>196</v>
      </c>
      <c r="V84" s="696">
        <v>1.0000000000000001E-5</v>
      </c>
      <c r="W84" s="697">
        <f t="shared" si="43"/>
        <v>1.0000000000000001E-5</v>
      </c>
      <c r="X84" s="698">
        <f t="shared" si="47"/>
        <v>0.14499999999999999</v>
      </c>
      <c r="Z84" s="395"/>
      <c r="AA84" s="709"/>
      <c r="AB84" s="709"/>
      <c r="AC84" s="710"/>
      <c r="AD84" s="711"/>
    </row>
    <row r="85" spans="2:30" ht="13.8" thickBot="1">
      <c r="B85" s="1374"/>
      <c r="C85" s="695">
        <v>100</v>
      </c>
      <c r="D85" s="695" t="s">
        <v>196</v>
      </c>
      <c r="E85" s="695" t="s">
        <v>196</v>
      </c>
      <c r="F85" s="696">
        <v>1.0000000000000001E-5</v>
      </c>
      <c r="G85" s="697">
        <f t="shared" si="42"/>
        <v>1.0000000000000001E-5</v>
      </c>
      <c r="H85" s="698">
        <f t="shared" si="44"/>
        <v>0.28999999999999998</v>
      </c>
      <c r="I85" s="699"/>
      <c r="J85" s="1374"/>
      <c r="K85" s="695">
        <v>100</v>
      </c>
      <c r="L85" s="695" t="s">
        <v>196</v>
      </c>
      <c r="M85" s="695" t="s">
        <v>196</v>
      </c>
      <c r="N85" s="696">
        <v>1.0000000000000001E-5</v>
      </c>
      <c r="O85" s="697">
        <f t="shared" si="45"/>
        <v>0</v>
      </c>
      <c r="P85" s="698">
        <f t="shared" si="46"/>
        <v>0.28999999999999998</v>
      </c>
      <c r="Q85" s="699"/>
      <c r="R85" s="1374"/>
      <c r="S85" s="695">
        <v>100</v>
      </c>
      <c r="T85" s="695" t="s">
        <v>196</v>
      </c>
      <c r="U85" s="695" t="s">
        <v>196</v>
      </c>
      <c r="V85" s="696">
        <v>1.0000000000000001E-5</v>
      </c>
      <c r="W85" s="697">
        <f t="shared" si="43"/>
        <v>1.0000000000000001E-5</v>
      </c>
      <c r="X85" s="698">
        <f t="shared" si="47"/>
        <v>0.28999999999999998</v>
      </c>
      <c r="Z85" s="395"/>
      <c r="AA85" s="709"/>
      <c r="AB85" s="709"/>
      <c r="AC85" s="710"/>
      <c r="AD85" s="711"/>
    </row>
    <row r="86" spans="2:30" ht="14.4">
      <c r="B86" s="1374"/>
      <c r="C86" s="1376" t="s">
        <v>197</v>
      </c>
      <c r="D86" s="1377"/>
      <c r="E86" s="1377"/>
      <c r="F86" s="1377"/>
      <c r="G86" s="1378" t="s">
        <v>182</v>
      </c>
      <c r="H86" s="1379" t="s">
        <v>183</v>
      </c>
      <c r="I86" s="691"/>
      <c r="J86" s="1374"/>
      <c r="K86" s="1376" t="s">
        <v>197</v>
      </c>
      <c r="L86" s="1377"/>
      <c r="M86" s="1377"/>
      <c r="N86" s="1377"/>
      <c r="O86" s="1378" t="s">
        <v>182</v>
      </c>
      <c r="P86" s="1379" t="s">
        <v>183</v>
      </c>
      <c r="Q86" s="691"/>
      <c r="R86" s="1374"/>
      <c r="S86" s="1376" t="s">
        <v>197</v>
      </c>
      <c r="T86" s="1377"/>
      <c r="U86" s="1377"/>
      <c r="V86" s="1377"/>
      <c r="W86" s="1378" t="s">
        <v>182</v>
      </c>
      <c r="X86" s="1379" t="s">
        <v>183</v>
      </c>
      <c r="Z86" s="395"/>
      <c r="AA86" s="709"/>
      <c r="AB86" s="709"/>
      <c r="AC86" s="710"/>
      <c r="AD86" s="711"/>
    </row>
    <row r="87" spans="2:30">
      <c r="B87" s="1374"/>
      <c r="C87" s="692" t="s">
        <v>198</v>
      </c>
      <c r="D87" s="1369" t="s">
        <v>185</v>
      </c>
      <c r="E87" s="1369"/>
      <c r="F87" s="1369"/>
      <c r="G87" s="1369"/>
      <c r="H87" s="1380"/>
      <c r="I87" s="691"/>
      <c r="J87" s="1374"/>
      <c r="K87" s="692" t="s">
        <v>198</v>
      </c>
      <c r="L87" s="1369" t="s">
        <v>185</v>
      </c>
      <c r="M87" s="1369"/>
      <c r="N87" s="1369"/>
      <c r="O87" s="1369"/>
      <c r="P87" s="1380"/>
      <c r="Q87" s="691"/>
      <c r="R87" s="1374"/>
      <c r="S87" s="692" t="s">
        <v>198</v>
      </c>
      <c r="T87" s="1369" t="s">
        <v>185</v>
      </c>
      <c r="U87" s="1369"/>
      <c r="V87" s="1369"/>
      <c r="W87" s="1369"/>
      <c r="X87" s="1380"/>
      <c r="Z87" s="395"/>
      <c r="AA87" s="709"/>
      <c r="AB87" s="709"/>
      <c r="AC87" s="710"/>
      <c r="AD87" s="711"/>
    </row>
    <row r="88" spans="2:30" ht="14.4">
      <c r="B88" s="1374"/>
      <c r="C88" s="693" t="s">
        <v>199</v>
      </c>
      <c r="D88" s="694">
        <f>D77</f>
        <v>2016</v>
      </c>
      <c r="E88" s="694">
        <f t="shared" ref="E88:F88" si="48">E77</f>
        <v>2016</v>
      </c>
      <c r="F88" s="694">
        <f t="shared" si="48"/>
        <v>2021</v>
      </c>
      <c r="G88" s="1369"/>
      <c r="H88" s="1380"/>
      <c r="I88" s="691"/>
      <c r="J88" s="1374"/>
      <c r="K88" s="693" t="s">
        <v>199</v>
      </c>
      <c r="L88" s="694">
        <f>L77</f>
        <v>2016</v>
      </c>
      <c r="M88" s="694">
        <f t="shared" ref="M88:N88" si="49">M77</f>
        <v>2016</v>
      </c>
      <c r="N88" s="694">
        <f t="shared" si="49"/>
        <v>2021</v>
      </c>
      <c r="O88" s="1369"/>
      <c r="P88" s="1380"/>
      <c r="Q88" s="691"/>
      <c r="R88" s="1374"/>
      <c r="S88" s="693" t="s">
        <v>199</v>
      </c>
      <c r="T88" s="694">
        <f>T77</f>
        <v>2016</v>
      </c>
      <c r="U88" s="694">
        <f t="shared" ref="U88:V88" si="50">U77</f>
        <v>2016</v>
      </c>
      <c r="V88" s="694">
        <f t="shared" si="50"/>
        <v>2021</v>
      </c>
      <c r="W88" s="1369"/>
      <c r="X88" s="1380"/>
      <c r="Z88" s="395"/>
      <c r="AA88" s="709"/>
      <c r="AB88" s="709"/>
      <c r="AC88" s="710"/>
      <c r="AD88" s="711"/>
    </row>
    <row r="89" spans="2:30">
      <c r="B89" s="1374"/>
      <c r="C89" s="695">
        <v>0</v>
      </c>
      <c r="D89" s="695" t="s">
        <v>196</v>
      </c>
      <c r="E89" s="695" t="s">
        <v>196</v>
      </c>
      <c r="F89" s="697">
        <v>0</v>
      </c>
      <c r="G89" s="697">
        <f t="shared" ref="G89:G95" si="51">IF(0.5*(MAX(D89:F89)-MIN(D89:F89))=0,0.00001,0.5*(MAX(D89:F89)-MIN(D89:F89)))</f>
        <v>1.0000000000000001E-5</v>
      </c>
      <c r="H89" s="698">
        <f>C89*$Y$17</f>
        <v>0</v>
      </c>
      <c r="I89" s="688">
        <f>0.23/100</f>
        <v>2.3E-3</v>
      </c>
      <c r="J89" s="1374"/>
      <c r="K89" s="695">
        <v>0</v>
      </c>
      <c r="L89" s="695" t="s">
        <v>196</v>
      </c>
      <c r="M89" s="695" t="s">
        <v>196</v>
      </c>
      <c r="N89" s="697">
        <v>0</v>
      </c>
      <c r="O89" s="697">
        <f t="shared" ref="O89:O95" si="52">IF(0.5*(MAX(L89:N89)-MIN(L89:N89))=0,0.00001,0.5*(MAX(L89:N89)-MIN(L89:N89)))</f>
        <v>1.0000000000000001E-5</v>
      </c>
      <c r="P89" s="698">
        <f>K89*$Y$17</f>
        <v>0</v>
      </c>
      <c r="Q89" s="688">
        <f>0.23/100</f>
        <v>2.3E-3</v>
      </c>
      <c r="R89" s="1374"/>
      <c r="S89" s="695">
        <v>0</v>
      </c>
      <c r="T89" s="695" t="s">
        <v>196</v>
      </c>
      <c r="U89" s="695" t="s">
        <v>196</v>
      </c>
      <c r="V89" s="697">
        <v>0</v>
      </c>
      <c r="W89" s="697">
        <f t="shared" ref="W89:W95" si="53">IF(0.5*(MAX(T89:V89)-MIN(T89:V89))=0,0.00001,0.5*(MAX(T89:V89)-MIN(T89:V89)))</f>
        <v>1.0000000000000001E-5</v>
      </c>
      <c r="X89" s="698">
        <f>S89*$Y$17</f>
        <v>0</v>
      </c>
      <c r="Y89" s="343">
        <f>0.23/100</f>
        <v>2.3E-3</v>
      </c>
      <c r="Z89" s="395"/>
      <c r="AA89" s="709"/>
      <c r="AB89" s="709"/>
      <c r="AC89" s="710"/>
      <c r="AD89" s="711"/>
    </row>
    <row r="90" spans="2:30">
      <c r="B90" s="1374"/>
      <c r="C90" s="695">
        <v>50</v>
      </c>
      <c r="D90" s="695" t="s">
        <v>196</v>
      </c>
      <c r="E90" s="695" t="s">
        <v>196</v>
      </c>
      <c r="F90" s="697">
        <v>0</v>
      </c>
      <c r="G90" s="697">
        <f t="shared" si="51"/>
        <v>1.0000000000000001E-5</v>
      </c>
      <c r="H90" s="698">
        <f t="shared" ref="H90:H94" si="54">C90*$Y$17</f>
        <v>0.11499999999999999</v>
      </c>
      <c r="I90" s="688"/>
      <c r="J90" s="1374"/>
      <c r="K90" s="695">
        <v>50</v>
      </c>
      <c r="L90" s="695" t="s">
        <v>196</v>
      </c>
      <c r="M90" s="695" t="s">
        <v>196</v>
      </c>
      <c r="N90" s="697">
        <v>0.3</v>
      </c>
      <c r="O90" s="697">
        <f t="shared" si="52"/>
        <v>1.0000000000000001E-5</v>
      </c>
      <c r="P90" s="698">
        <f t="shared" ref="P90:P94" si="55">K90*$Y$17</f>
        <v>0.11499999999999999</v>
      </c>
      <c r="Q90" s="688"/>
      <c r="R90" s="1374"/>
      <c r="S90" s="695">
        <v>50</v>
      </c>
      <c r="T90" s="695" t="s">
        <v>196</v>
      </c>
      <c r="U90" s="695" t="s">
        <v>196</v>
      </c>
      <c r="V90" s="697">
        <v>0</v>
      </c>
      <c r="W90" s="697">
        <f t="shared" si="53"/>
        <v>1.0000000000000001E-5</v>
      </c>
      <c r="X90" s="698">
        <f t="shared" ref="X90:X94" si="56">S90*$Y$17</f>
        <v>0.11499999999999999</v>
      </c>
      <c r="Z90" s="395"/>
      <c r="AA90" s="709"/>
      <c r="AB90" s="709"/>
      <c r="AC90" s="710"/>
      <c r="AD90" s="711"/>
    </row>
    <row r="91" spans="2:30">
      <c r="B91" s="1374"/>
      <c r="C91" s="695">
        <v>100</v>
      </c>
      <c r="D91" s="695" t="s">
        <v>196</v>
      </c>
      <c r="E91" s="695" t="s">
        <v>196</v>
      </c>
      <c r="F91" s="697">
        <v>1</v>
      </c>
      <c r="G91" s="697">
        <f t="shared" si="51"/>
        <v>1.0000000000000001E-5</v>
      </c>
      <c r="H91" s="698">
        <f t="shared" si="54"/>
        <v>0.22999999999999998</v>
      </c>
      <c r="I91" s="688"/>
      <c r="J91" s="1374"/>
      <c r="K91" s="695">
        <v>100</v>
      </c>
      <c r="L91" s="695" t="s">
        <v>196</v>
      </c>
      <c r="M91" s="695" t="s">
        <v>196</v>
      </c>
      <c r="N91" s="697">
        <v>-1</v>
      </c>
      <c r="O91" s="697">
        <f t="shared" si="52"/>
        <v>1.0000000000000001E-5</v>
      </c>
      <c r="P91" s="698">
        <f t="shared" si="55"/>
        <v>0.22999999999999998</v>
      </c>
      <c r="Q91" s="688"/>
      <c r="R91" s="1374"/>
      <c r="S91" s="695">
        <v>100</v>
      </c>
      <c r="T91" s="695" t="s">
        <v>196</v>
      </c>
      <c r="U91" s="695" t="s">
        <v>196</v>
      </c>
      <c r="V91" s="697">
        <v>1.6</v>
      </c>
      <c r="W91" s="697">
        <f t="shared" si="53"/>
        <v>1.0000000000000001E-5</v>
      </c>
      <c r="X91" s="698">
        <f t="shared" si="56"/>
        <v>0.22999999999999998</v>
      </c>
      <c r="Z91" s="395"/>
      <c r="AA91" s="709"/>
      <c r="AB91" s="709"/>
      <c r="AC91" s="710"/>
      <c r="AD91" s="711"/>
    </row>
    <row r="92" spans="2:30">
      <c r="B92" s="1374"/>
      <c r="C92" s="695">
        <v>200</v>
      </c>
      <c r="D92" s="695" t="s">
        <v>196</v>
      </c>
      <c r="E92" s="695" t="s">
        <v>196</v>
      </c>
      <c r="F92" s="697">
        <v>2</v>
      </c>
      <c r="G92" s="697">
        <f t="shared" si="51"/>
        <v>1.0000000000000001E-5</v>
      </c>
      <c r="H92" s="698">
        <f t="shared" si="54"/>
        <v>0.45999999999999996</v>
      </c>
      <c r="I92" s="688"/>
      <c r="J92" s="1374"/>
      <c r="K92" s="695">
        <v>200</v>
      </c>
      <c r="L92" s="695" t="s">
        <v>196</v>
      </c>
      <c r="M92" s="695" t="s">
        <v>196</v>
      </c>
      <c r="N92" s="697">
        <v>2</v>
      </c>
      <c r="O92" s="697">
        <f t="shared" si="52"/>
        <v>1.0000000000000001E-5</v>
      </c>
      <c r="P92" s="698">
        <f t="shared" si="55"/>
        <v>0.45999999999999996</v>
      </c>
      <c r="Q92" s="688"/>
      <c r="R92" s="1374"/>
      <c r="S92" s="695">
        <v>200</v>
      </c>
      <c r="T92" s="695" t="s">
        <v>196</v>
      </c>
      <c r="U92" s="695" t="s">
        <v>196</v>
      </c>
      <c r="V92" s="697">
        <v>2</v>
      </c>
      <c r="W92" s="697">
        <f t="shared" si="53"/>
        <v>1.0000000000000001E-5</v>
      </c>
      <c r="X92" s="698">
        <f t="shared" si="56"/>
        <v>0.45999999999999996</v>
      </c>
      <c r="Z92" s="395"/>
      <c r="AA92" s="709"/>
      <c r="AB92" s="709"/>
      <c r="AC92" s="710"/>
      <c r="AD92" s="711"/>
    </row>
    <row r="93" spans="2:30">
      <c r="B93" s="1374"/>
      <c r="C93" s="695">
        <v>500</v>
      </c>
      <c r="D93" s="695" t="s">
        <v>196</v>
      </c>
      <c r="E93" s="695" t="s">
        <v>196</v>
      </c>
      <c r="F93" s="697">
        <v>0</v>
      </c>
      <c r="G93" s="697">
        <f t="shared" si="51"/>
        <v>1.0000000000000001E-5</v>
      </c>
      <c r="H93" s="698">
        <f t="shared" si="54"/>
        <v>1.1499999999999999</v>
      </c>
      <c r="I93" s="688"/>
      <c r="J93" s="1374"/>
      <c r="K93" s="695">
        <v>500</v>
      </c>
      <c r="L93" s="695" t="s">
        <v>196</v>
      </c>
      <c r="M93" s="695" t="s">
        <v>196</v>
      </c>
      <c r="N93" s="697">
        <v>2</v>
      </c>
      <c r="O93" s="697">
        <f t="shared" si="52"/>
        <v>1.0000000000000001E-5</v>
      </c>
      <c r="P93" s="698">
        <f t="shared" si="55"/>
        <v>1.1499999999999999</v>
      </c>
      <c r="Q93" s="688"/>
      <c r="R93" s="1374"/>
      <c r="S93" s="695">
        <v>500</v>
      </c>
      <c r="T93" s="695" t="s">
        <v>196</v>
      </c>
      <c r="U93" s="695" t="s">
        <v>196</v>
      </c>
      <c r="V93" s="697">
        <v>4</v>
      </c>
      <c r="W93" s="697">
        <f t="shared" si="53"/>
        <v>1.0000000000000001E-5</v>
      </c>
      <c r="X93" s="698">
        <f t="shared" si="56"/>
        <v>1.1499999999999999</v>
      </c>
      <c r="Z93" s="395"/>
      <c r="AA93" s="709"/>
      <c r="AB93" s="709"/>
      <c r="AC93" s="710"/>
      <c r="AD93" s="711"/>
    </row>
    <row r="94" spans="2:30">
      <c r="B94" s="1374"/>
      <c r="C94" s="695">
        <v>1000</v>
      </c>
      <c r="D94" s="695" t="s">
        <v>196</v>
      </c>
      <c r="E94" s="695" t="s">
        <v>196</v>
      </c>
      <c r="F94" s="697">
        <v>0</v>
      </c>
      <c r="G94" s="697">
        <f t="shared" si="51"/>
        <v>1.0000000000000001E-5</v>
      </c>
      <c r="H94" s="698">
        <f t="shared" si="54"/>
        <v>2.2999999999999998</v>
      </c>
      <c r="I94" s="688"/>
      <c r="J94" s="1374"/>
      <c r="K94" s="695">
        <v>1000</v>
      </c>
      <c r="L94" s="695" t="s">
        <v>196</v>
      </c>
      <c r="M94" s="695" t="s">
        <v>196</v>
      </c>
      <c r="N94" s="697">
        <v>0</v>
      </c>
      <c r="O94" s="697">
        <f t="shared" si="52"/>
        <v>1.0000000000000001E-5</v>
      </c>
      <c r="P94" s="698">
        <f t="shared" si="55"/>
        <v>2.2999999999999998</v>
      </c>
      <c r="Q94" s="688"/>
      <c r="R94" s="1374"/>
      <c r="S94" s="695">
        <v>1000</v>
      </c>
      <c r="T94" s="695" t="s">
        <v>196</v>
      </c>
      <c r="U94" s="695" t="s">
        <v>196</v>
      </c>
      <c r="V94" s="697">
        <f>0.01*1000</f>
        <v>10</v>
      </c>
      <c r="W94" s="697">
        <f t="shared" si="53"/>
        <v>1.0000000000000001E-5</v>
      </c>
      <c r="X94" s="698">
        <f t="shared" si="56"/>
        <v>2.2999999999999998</v>
      </c>
      <c r="Z94" s="395"/>
      <c r="AA94" s="709"/>
      <c r="AB94" s="709"/>
      <c r="AC94" s="710"/>
      <c r="AD94" s="711"/>
    </row>
    <row r="95" spans="2:30" ht="13.8" thickBot="1">
      <c r="B95" s="1374"/>
      <c r="C95" s="695">
        <v>2000</v>
      </c>
      <c r="D95" s="695" t="s">
        <v>196</v>
      </c>
      <c r="E95" s="695" t="s">
        <v>196</v>
      </c>
      <c r="F95" s="697">
        <v>0</v>
      </c>
      <c r="G95" s="697">
        <f t="shared" si="51"/>
        <v>1.0000000000000001E-5</v>
      </c>
      <c r="H95" s="698">
        <f>C95*$Y$17</f>
        <v>4.5999999999999996</v>
      </c>
      <c r="I95" s="688"/>
      <c r="J95" s="1374"/>
      <c r="K95" s="695">
        <v>2000</v>
      </c>
      <c r="L95" s="695" t="s">
        <v>196</v>
      </c>
      <c r="M95" s="695" t="s">
        <v>196</v>
      </c>
      <c r="N95" s="697">
        <f>-0.01*1000</f>
        <v>-10</v>
      </c>
      <c r="O95" s="697">
        <f t="shared" si="52"/>
        <v>1.0000000000000001E-5</v>
      </c>
      <c r="P95" s="698">
        <f>K95*$Y$17</f>
        <v>4.5999999999999996</v>
      </c>
      <c r="Q95" s="688"/>
      <c r="R95" s="1374"/>
      <c r="S95" s="695">
        <v>2000</v>
      </c>
      <c r="T95" s="695" t="s">
        <v>196</v>
      </c>
      <c r="U95" s="695" t="s">
        <v>196</v>
      </c>
      <c r="V95" s="697">
        <f>0.01*1000</f>
        <v>10</v>
      </c>
      <c r="W95" s="697">
        <f t="shared" si="53"/>
        <v>1.0000000000000001E-5</v>
      </c>
      <c r="X95" s="698">
        <f>S95*$Y$17</f>
        <v>4.5999999999999996</v>
      </c>
      <c r="Z95" s="395"/>
      <c r="AA95" s="709"/>
      <c r="AB95" s="709"/>
      <c r="AC95" s="710"/>
      <c r="AD95" s="711"/>
    </row>
    <row r="96" spans="2:30" ht="14.4">
      <c r="B96" s="1374"/>
      <c r="C96" s="1376" t="s">
        <v>200</v>
      </c>
      <c r="D96" s="1377"/>
      <c r="E96" s="1377"/>
      <c r="F96" s="1377"/>
      <c r="G96" s="1378" t="s">
        <v>182</v>
      </c>
      <c r="H96" s="1379" t="s">
        <v>183</v>
      </c>
      <c r="I96" s="691"/>
      <c r="J96" s="1374"/>
      <c r="K96" s="1376" t="s">
        <v>200</v>
      </c>
      <c r="L96" s="1377"/>
      <c r="M96" s="1377"/>
      <c r="N96" s="1377"/>
      <c r="O96" s="1378" t="s">
        <v>182</v>
      </c>
      <c r="P96" s="1379" t="s">
        <v>183</v>
      </c>
      <c r="Q96" s="691"/>
      <c r="R96" s="1374"/>
      <c r="S96" s="1376" t="s">
        <v>200</v>
      </c>
      <c r="T96" s="1377"/>
      <c r="U96" s="1377"/>
      <c r="V96" s="1377"/>
      <c r="W96" s="1378" t="s">
        <v>182</v>
      </c>
      <c r="X96" s="1379" t="s">
        <v>183</v>
      </c>
      <c r="Z96" s="395"/>
      <c r="AA96" s="709"/>
      <c r="AB96" s="709"/>
      <c r="AC96" s="710"/>
      <c r="AD96" s="711"/>
    </row>
    <row r="97" spans="2:30">
      <c r="B97" s="1374"/>
      <c r="C97" s="692" t="s">
        <v>201</v>
      </c>
      <c r="D97" s="1369" t="s">
        <v>185</v>
      </c>
      <c r="E97" s="1369"/>
      <c r="F97" s="1369"/>
      <c r="G97" s="1369"/>
      <c r="H97" s="1380"/>
      <c r="I97" s="691"/>
      <c r="J97" s="1374"/>
      <c r="K97" s="692" t="s">
        <v>201</v>
      </c>
      <c r="L97" s="1369" t="s">
        <v>185</v>
      </c>
      <c r="M97" s="1369"/>
      <c r="N97" s="1369"/>
      <c r="O97" s="1369"/>
      <c r="P97" s="1380"/>
      <c r="Q97" s="691"/>
      <c r="R97" s="1374"/>
      <c r="S97" s="692" t="s">
        <v>201</v>
      </c>
      <c r="T97" s="1369" t="s">
        <v>185</v>
      </c>
      <c r="U97" s="1369"/>
      <c r="V97" s="1369"/>
      <c r="W97" s="1369"/>
      <c r="X97" s="1380"/>
      <c r="Z97" s="395"/>
      <c r="AA97" s="709"/>
      <c r="AB97" s="709"/>
      <c r="AC97" s="710"/>
      <c r="AD97" s="711"/>
    </row>
    <row r="98" spans="2:30" ht="14.4">
      <c r="B98" s="1374"/>
      <c r="C98" s="693" t="s">
        <v>170</v>
      </c>
      <c r="D98" s="694">
        <f>D88</f>
        <v>2016</v>
      </c>
      <c r="E98" s="694">
        <f t="shared" ref="E98:F98" si="57">E88</f>
        <v>2016</v>
      </c>
      <c r="F98" s="694">
        <f t="shared" si="57"/>
        <v>2021</v>
      </c>
      <c r="G98" s="1369"/>
      <c r="H98" s="1380"/>
      <c r="I98" s="691"/>
      <c r="J98" s="1374"/>
      <c r="K98" s="693" t="s">
        <v>170</v>
      </c>
      <c r="L98" s="694">
        <f>L88</f>
        <v>2016</v>
      </c>
      <c r="M98" s="694">
        <f t="shared" ref="M98:N98" si="58">M88</f>
        <v>2016</v>
      </c>
      <c r="N98" s="694">
        <f t="shared" si="58"/>
        <v>2021</v>
      </c>
      <c r="O98" s="1369"/>
      <c r="P98" s="1380"/>
      <c r="Q98" s="691"/>
      <c r="R98" s="1374"/>
      <c r="S98" s="693" t="s">
        <v>170</v>
      </c>
      <c r="T98" s="694">
        <f>T88</f>
        <v>2016</v>
      </c>
      <c r="U98" s="694">
        <f t="shared" ref="U98:V98" si="59">U88</f>
        <v>2016</v>
      </c>
      <c r="V98" s="694">
        <f t="shared" si="59"/>
        <v>2021</v>
      </c>
      <c r="W98" s="1369"/>
      <c r="X98" s="1380"/>
      <c r="Z98" s="395"/>
      <c r="AA98" s="709"/>
      <c r="AB98" s="709"/>
      <c r="AC98" s="710"/>
      <c r="AD98" s="711"/>
    </row>
    <row r="99" spans="2:30">
      <c r="B99" s="1374"/>
      <c r="C99" s="695">
        <v>0</v>
      </c>
      <c r="D99" s="700" t="s">
        <v>196</v>
      </c>
      <c r="E99" s="700" t="s">
        <v>196</v>
      </c>
      <c r="F99" s="696">
        <v>1.0000000000000001E-5</v>
      </c>
      <c r="G99" s="697">
        <f t="shared" ref="G99:G107" si="60">IF(0.5*(MAX(D99:F99)-MIN(D99:F99))=0,0.00001,0.5*(MAX(D99:F99)-MIN(D99:F99)))</f>
        <v>1.0000000000000001E-5</v>
      </c>
      <c r="H99" s="701">
        <f>C99*$Y$27</f>
        <v>0</v>
      </c>
      <c r="I99" s="714">
        <f>0.29/100</f>
        <v>2.8999999999999998E-3</v>
      </c>
      <c r="J99" s="1374"/>
      <c r="K99" s="695">
        <v>0</v>
      </c>
      <c r="L99" s="700" t="s">
        <v>196</v>
      </c>
      <c r="M99" s="700" t="s">
        <v>196</v>
      </c>
      <c r="N99" s="696">
        <v>1.0000000000000001E-5</v>
      </c>
      <c r="O99" s="697">
        <f t="shared" ref="O99:O107" si="61">IF(0.5*(MAX(L99:N99)-MIN(L99:N99))=0,0.00001,0.5*(MAX(L99:N99)-MIN(L99:N99)))</f>
        <v>1.0000000000000001E-5</v>
      </c>
      <c r="P99" s="701">
        <f>K99*$Y$27</f>
        <v>0</v>
      </c>
      <c r="Q99" s="714">
        <f>0.29/100</f>
        <v>2.8999999999999998E-3</v>
      </c>
      <c r="R99" s="1374"/>
      <c r="S99" s="695">
        <v>0</v>
      </c>
      <c r="T99" s="700" t="s">
        <v>196</v>
      </c>
      <c r="U99" s="700" t="s">
        <v>196</v>
      </c>
      <c r="V99" s="696">
        <v>1.0000000000000001E-5</v>
      </c>
      <c r="W99" s="697">
        <f t="shared" ref="W99:W107" si="62">IF(0.5*(MAX(T99:V99)-MIN(T99:V99))=0,0.00001,0.5*(MAX(T99:V99)-MIN(T99:V99)))</f>
        <v>1.0000000000000001E-5</v>
      </c>
      <c r="X99" s="701">
        <f>S99*$Y$27</f>
        <v>0</v>
      </c>
      <c r="Y99" s="343">
        <f>0.29/100</f>
        <v>2.8999999999999998E-3</v>
      </c>
      <c r="Z99" s="395"/>
      <c r="AA99" s="709"/>
      <c r="AB99" s="709"/>
      <c r="AC99" s="710"/>
      <c r="AD99" s="711"/>
    </row>
    <row r="100" spans="2:30">
      <c r="B100" s="1374"/>
      <c r="C100" s="695">
        <v>5</v>
      </c>
      <c r="D100" s="700" t="s">
        <v>196</v>
      </c>
      <c r="E100" s="700" t="s">
        <v>196</v>
      </c>
      <c r="F100" s="696">
        <v>1.0000000000000001E-5</v>
      </c>
      <c r="G100" s="697">
        <f t="shared" si="60"/>
        <v>1.0000000000000001E-5</v>
      </c>
      <c r="H100" s="701">
        <f t="shared" ref="H100:H107" si="63">C100*$Y$27</f>
        <v>1.4499999999999999E-2</v>
      </c>
      <c r="I100" s="688"/>
      <c r="J100" s="1374"/>
      <c r="K100" s="695">
        <v>5</v>
      </c>
      <c r="L100" s="700" t="s">
        <v>196</v>
      </c>
      <c r="M100" s="700" t="s">
        <v>196</v>
      </c>
      <c r="N100" s="696">
        <v>1.0000000000000001E-5</v>
      </c>
      <c r="O100" s="697">
        <f t="shared" si="61"/>
        <v>1.0000000000000001E-5</v>
      </c>
      <c r="P100" s="701">
        <f t="shared" ref="P100:P107" si="64">K100*$Y$27</f>
        <v>1.4499999999999999E-2</v>
      </c>
      <c r="Q100" s="688"/>
      <c r="R100" s="1374"/>
      <c r="S100" s="695">
        <v>5</v>
      </c>
      <c r="T100" s="700" t="s">
        <v>196</v>
      </c>
      <c r="U100" s="700" t="s">
        <v>196</v>
      </c>
      <c r="V100" s="696">
        <v>1.0000000000000001E-5</v>
      </c>
      <c r="W100" s="697">
        <f t="shared" si="62"/>
        <v>1.0000000000000001E-5</v>
      </c>
      <c r="X100" s="701">
        <f t="shared" ref="X100:X107" si="65">S100*$Y$27</f>
        <v>1.4499999999999999E-2</v>
      </c>
      <c r="Z100" s="395"/>
      <c r="AA100" s="709"/>
      <c r="AB100" s="709"/>
      <c r="AC100" s="710"/>
      <c r="AD100" s="711"/>
    </row>
    <row r="101" spans="2:30">
      <c r="B101" s="1374"/>
      <c r="C101" s="695">
        <v>10</v>
      </c>
      <c r="D101" s="700" t="s">
        <v>196</v>
      </c>
      <c r="E101" s="700" t="s">
        <v>196</v>
      </c>
      <c r="F101" s="696">
        <v>1.0000000000000001E-5</v>
      </c>
      <c r="G101" s="697">
        <f t="shared" si="60"/>
        <v>1.0000000000000001E-5</v>
      </c>
      <c r="H101" s="701">
        <f t="shared" si="63"/>
        <v>2.8999999999999998E-2</v>
      </c>
      <c r="I101" s="688"/>
      <c r="J101" s="1374"/>
      <c r="K101" s="695">
        <v>10</v>
      </c>
      <c r="L101" s="700" t="s">
        <v>196</v>
      </c>
      <c r="M101" s="700" t="s">
        <v>196</v>
      </c>
      <c r="N101" s="696">
        <v>1.0000000000000001E-5</v>
      </c>
      <c r="O101" s="697">
        <f t="shared" si="61"/>
        <v>1.0000000000000001E-5</v>
      </c>
      <c r="P101" s="701">
        <f t="shared" si="64"/>
        <v>2.8999999999999998E-2</v>
      </c>
      <c r="Q101" s="688"/>
      <c r="R101" s="1374"/>
      <c r="S101" s="695">
        <v>10</v>
      </c>
      <c r="T101" s="700" t="s">
        <v>196</v>
      </c>
      <c r="U101" s="700" t="s">
        <v>196</v>
      </c>
      <c r="V101" s="696">
        <v>1.0000000000000001E-5</v>
      </c>
      <c r="W101" s="697">
        <f t="shared" si="62"/>
        <v>1.0000000000000001E-5</v>
      </c>
      <c r="X101" s="701">
        <f t="shared" si="65"/>
        <v>2.8999999999999998E-2</v>
      </c>
      <c r="Z101" s="395"/>
      <c r="AA101" s="709"/>
      <c r="AB101" s="709"/>
      <c r="AC101" s="710"/>
      <c r="AD101" s="711"/>
    </row>
    <row r="102" spans="2:30">
      <c r="B102" s="1374"/>
      <c r="C102" s="695">
        <v>25</v>
      </c>
      <c r="D102" s="700" t="s">
        <v>196</v>
      </c>
      <c r="E102" s="700" t="s">
        <v>196</v>
      </c>
      <c r="F102" s="696">
        <v>1.0000000000000001E-5</v>
      </c>
      <c r="G102" s="697">
        <f t="shared" si="60"/>
        <v>1.0000000000000001E-5</v>
      </c>
      <c r="H102" s="701">
        <f t="shared" si="63"/>
        <v>7.2499999999999995E-2</v>
      </c>
      <c r="I102" s="688"/>
      <c r="J102" s="1374"/>
      <c r="K102" s="695">
        <v>25</v>
      </c>
      <c r="L102" s="700" t="s">
        <v>196</v>
      </c>
      <c r="M102" s="700" t="s">
        <v>196</v>
      </c>
      <c r="N102" s="696">
        <v>1.0000000000000001E-5</v>
      </c>
      <c r="O102" s="697">
        <f t="shared" si="61"/>
        <v>1.0000000000000001E-5</v>
      </c>
      <c r="P102" s="701">
        <f t="shared" si="64"/>
        <v>7.2499999999999995E-2</v>
      </c>
      <c r="Q102" s="688"/>
      <c r="R102" s="1374"/>
      <c r="S102" s="695">
        <v>25</v>
      </c>
      <c r="T102" s="700" t="s">
        <v>196</v>
      </c>
      <c r="U102" s="700" t="s">
        <v>196</v>
      </c>
      <c r="V102" s="696">
        <v>1.0000000000000001E-5</v>
      </c>
      <c r="W102" s="697">
        <f t="shared" si="62"/>
        <v>1.0000000000000001E-5</v>
      </c>
      <c r="X102" s="701">
        <f t="shared" si="65"/>
        <v>7.2499999999999995E-2</v>
      </c>
      <c r="Z102" s="395"/>
      <c r="AA102" s="709"/>
      <c r="AB102" s="709"/>
      <c r="AC102" s="710"/>
      <c r="AD102" s="711"/>
    </row>
    <row r="103" spans="2:30">
      <c r="B103" s="1374"/>
      <c r="C103" s="695">
        <v>50</v>
      </c>
      <c r="D103" s="700" t="s">
        <v>196</v>
      </c>
      <c r="E103" s="700" t="s">
        <v>196</v>
      </c>
      <c r="F103" s="696">
        <v>1.0000000000000001E-5</v>
      </c>
      <c r="G103" s="697">
        <f t="shared" si="60"/>
        <v>1.0000000000000001E-5</v>
      </c>
      <c r="H103" s="701">
        <f t="shared" si="63"/>
        <v>0.14499999999999999</v>
      </c>
      <c r="I103" s="688"/>
      <c r="J103" s="1374"/>
      <c r="K103" s="695">
        <v>50</v>
      </c>
      <c r="L103" s="700" t="s">
        <v>196</v>
      </c>
      <c r="M103" s="700" t="s">
        <v>196</v>
      </c>
      <c r="N103" s="696">
        <v>1.0000000000000001E-5</v>
      </c>
      <c r="O103" s="697">
        <f t="shared" si="61"/>
        <v>1.0000000000000001E-5</v>
      </c>
      <c r="P103" s="701">
        <f t="shared" si="64"/>
        <v>0.14499999999999999</v>
      </c>
      <c r="Q103" s="688"/>
      <c r="R103" s="1374"/>
      <c r="S103" s="695">
        <v>50</v>
      </c>
      <c r="T103" s="700" t="s">
        <v>196</v>
      </c>
      <c r="U103" s="700" t="s">
        <v>196</v>
      </c>
      <c r="V103" s="696">
        <v>1.0000000000000001E-5</v>
      </c>
      <c r="W103" s="697">
        <f t="shared" si="62"/>
        <v>1.0000000000000001E-5</v>
      </c>
      <c r="X103" s="701">
        <f t="shared" si="65"/>
        <v>0.14499999999999999</v>
      </c>
      <c r="Z103" s="395"/>
      <c r="AA103" s="709"/>
      <c r="AB103" s="709"/>
      <c r="AC103" s="710"/>
      <c r="AD103" s="711"/>
    </row>
    <row r="104" spans="2:30">
      <c r="B104" s="1374"/>
      <c r="C104" s="695">
        <v>100</v>
      </c>
      <c r="D104" s="700" t="s">
        <v>196</v>
      </c>
      <c r="E104" s="700" t="s">
        <v>196</v>
      </c>
      <c r="F104" s="696">
        <v>1.0000000000000001E-5</v>
      </c>
      <c r="G104" s="697">
        <f t="shared" si="60"/>
        <v>1.0000000000000001E-5</v>
      </c>
      <c r="H104" s="701">
        <f t="shared" si="63"/>
        <v>0.28999999999999998</v>
      </c>
      <c r="I104" s="688"/>
      <c r="J104" s="1374"/>
      <c r="K104" s="695">
        <v>100</v>
      </c>
      <c r="L104" s="700" t="s">
        <v>196</v>
      </c>
      <c r="M104" s="700" t="s">
        <v>196</v>
      </c>
      <c r="N104" s="696">
        <v>1.0000000000000001E-5</v>
      </c>
      <c r="O104" s="697">
        <f t="shared" si="61"/>
        <v>1.0000000000000001E-5</v>
      </c>
      <c r="P104" s="701">
        <f t="shared" si="64"/>
        <v>0.28999999999999998</v>
      </c>
      <c r="Q104" s="688"/>
      <c r="R104" s="1374"/>
      <c r="S104" s="695">
        <v>100</v>
      </c>
      <c r="T104" s="700" t="s">
        <v>196</v>
      </c>
      <c r="U104" s="700" t="s">
        <v>196</v>
      </c>
      <c r="V104" s="696">
        <v>1.0000000000000001E-5</v>
      </c>
      <c r="W104" s="697">
        <f t="shared" si="62"/>
        <v>1.0000000000000001E-5</v>
      </c>
      <c r="X104" s="701">
        <f t="shared" si="65"/>
        <v>0.28999999999999998</v>
      </c>
      <c r="Z104" s="395"/>
      <c r="AA104" s="709"/>
      <c r="AB104" s="709"/>
      <c r="AC104" s="710"/>
      <c r="AD104" s="711"/>
    </row>
    <row r="105" spans="2:30">
      <c r="B105" s="1374"/>
      <c r="C105" s="695">
        <v>250</v>
      </c>
      <c r="D105" s="700" t="s">
        <v>196</v>
      </c>
      <c r="E105" s="700" t="s">
        <v>196</v>
      </c>
      <c r="F105" s="696">
        <v>1.0000000000000001E-5</v>
      </c>
      <c r="G105" s="697">
        <f t="shared" si="60"/>
        <v>1.0000000000000001E-5</v>
      </c>
      <c r="H105" s="701">
        <f t="shared" si="63"/>
        <v>0.72499999999999998</v>
      </c>
      <c r="I105" s="688"/>
      <c r="J105" s="1374"/>
      <c r="K105" s="695">
        <v>250</v>
      </c>
      <c r="L105" s="700" t="s">
        <v>196</v>
      </c>
      <c r="M105" s="700" t="s">
        <v>196</v>
      </c>
      <c r="N105" s="696">
        <v>1.0000000000000001E-5</v>
      </c>
      <c r="O105" s="697">
        <f t="shared" si="61"/>
        <v>1.0000000000000001E-5</v>
      </c>
      <c r="P105" s="701">
        <f t="shared" si="64"/>
        <v>0.72499999999999998</v>
      </c>
      <c r="Q105" s="688"/>
      <c r="R105" s="1374"/>
      <c r="S105" s="695">
        <v>250</v>
      </c>
      <c r="T105" s="700" t="s">
        <v>196</v>
      </c>
      <c r="U105" s="700" t="s">
        <v>196</v>
      </c>
      <c r="V105" s="696">
        <v>1.0000000000000001E-5</v>
      </c>
      <c r="W105" s="697">
        <f t="shared" si="62"/>
        <v>1.0000000000000001E-5</v>
      </c>
      <c r="X105" s="701">
        <f t="shared" si="65"/>
        <v>0.72499999999999998</v>
      </c>
      <c r="Z105" s="395"/>
      <c r="AA105" s="709"/>
      <c r="AB105" s="709"/>
      <c r="AC105" s="710"/>
      <c r="AD105" s="711"/>
    </row>
    <row r="106" spans="2:30">
      <c r="B106" s="1374"/>
      <c r="C106" s="695">
        <v>500</v>
      </c>
      <c r="D106" s="700" t="s">
        <v>196</v>
      </c>
      <c r="E106" s="700" t="s">
        <v>196</v>
      </c>
      <c r="F106" s="696">
        <v>1.0000000000000001E-5</v>
      </c>
      <c r="G106" s="697">
        <f t="shared" si="60"/>
        <v>1.0000000000000001E-5</v>
      </c>
      <c r="H106" s="701">
        <f t="shared" si="63"/>
        <v>1.45</v>
      </c>
      <c r="I106" s="688"/>
      <c r="J106" s="1374"/>
      <c r="K106" s="695">
        <v>500</v>
      </c>
      <c r="L106" s="700" t="s">
        <v>196</v>
      </c>
      <c r="M106" s="700" t="s">
        <v>196</v>
      </c>
      <c r="N106" s="696">
        <v>1.0000000000000001E-5</v>
      </c>
      <c r="O106" s="697">
        <f t="shared" si="61"/>
        <v>1.0000000000000001E-5</v>
      </c>
      <c r="P106" s="701">
        <f t="shared" si="64"/>
        <v>1.45</v>
      </c>
      <c r="Q106" s="688"/>
      <c r="R106" s="1374"/>
      <c r="S106" s="695">
        <v>500</v>
      </c>
      <c r="T106" s="700" t="s">
        <v>196</v>
      </c>
      <c r="U106" s="700" t="s">
        <v>196</v>
      </c>
      <c r="V106" s="696">
        <v>1.0000000000000001E-5</v>
      </c>
      <c r="W106" s="697">
        <f t="shared" si="62"/>
        <v>1.0000000000000001E-5</v>
      </c>
      <c r="X106" s="701">
        <f t="shared" si="65"/>
        <v>1.45</v>
      </c>
      <c r="Z106" s="395"/>
      <c r="AA106" s="709"/>
      <c r="AB106" s="709"/>
      <c r="AC106" s="710"/>
      <c r="AD106" s="711"/>
    </row>
    <row r="107" spans="2:30" ht="13.8" thickBot="1">
      <c r="B107" s="1375"/>
      <c r="C107" s="703">
        <v>1000</v>
      </c>
      <c r="D107" s="704" t="s">
        <v>196</v>
      </c>
      <c r="E107" s="704" t="s">
        <v>196</v>
      </c>
      <c r="F107" s="696">
        <v>1.0000000000000001E-5</v>
      </c>
      <c r="G107" s="697">
        <f t="shared" si="60"/>
        <v>1.0000000000000001E-5</v>
      </c>
      <c r="H107" s="705">
        <f t="shared" si="63"/>
        <v>2.9</v>
      </c>
      <c r="I107" s="688"/>
      <c r="J107" s="1375"/>
      <c r="K107" s="703">
        <v>1000</v>
      </c>
      <c r="L107" s="704" t="s">
        <v>196</v>
      </c>
      <c r="M107" s="704" t="s">
        <v>196</v>
      </c>
      <c r="N107" s="696">
        <v>1.0000000000000001E-5</v>
      </c>
      <c r="O107" s="697">
        <f t="shared" si="61"/>
        <v>1.0000000000000001E-5</v>
      </c>
      <c r="P107" s="705">
        <f t="shared" si="64"/>
        <v>2.9</v>
      </c>
      <c r="Q107" s="688"/>
      <c r="R107" s="1375"/>
      <c r="S107" s="703">
        <v>1000</v>
      </c>
      <c r="T107" s="704" t="s">
        <v>196</v>
      </c>
      <c r="U107" s="704" t="s">
        <v>196</v>
      </c>
      <c r="V107" s="696">
        <v>1.0000000000000001E-5</v>
      </c>
      <c r="W107" s="697">
        <f t="shared" si="62"/>
        <v>1.0000000000000001E-5</v>
      </c>
      <c r="X107" s="705">
        <f t="shared" si="65"/>
        <v>2.9</v>
      </c>
      <c r="Z107" s="395"/>
      <c r="AA107" s="709"/>
      <c r="AB107" s="709"/>
      <c r="AC107" s="710"/>
      <c r="AD107" s="711"/>
    </row>
    <row r="108" spans="2:30">
      <c r="B108" s="688"/>
      <c r="C108" s="706"/>
      <c r="D108" s="707"/>
      <c r="E108" s="707"/>
      <c r="F108" s="707"/>
      <c r="G108" s="708"/>
      <c r="H108" s="702"/>
      <c r="I108" s="702"/>
      <c r="J108" s="688"/>
      <c r="K108" s="706"/>
      <c r="L108" s="707"/>
      <c r="M108" s="707"/>
      <c r="N108" s="707"/>
      <c r="O108" s="708"/>
      <c r="P108" s="702"/>
      <c r="Q108" s="702"/>
      <c r="R108" s="688"/>
      <c r="S108" s="706"/>
      <c r="T108" s="707"/>
      <c r="U108" s="707"/>
      <c r="V108" s="707"/>
      <c r="W108" s="708"/>
      <c r="X108" s="702"/>
      <c r="Z108" s="395"/>
      <c r="AA108" s="709"/>
      <c r="AB108" s="709"/>
      <c r="AC108" s="710"/>
      <c r="AD108" s="711"/>
    </row>
    <row r="109" spans="2:30" ht="13.8" thickBot="1">
      <c r="B109" s="688"/>
      <c r="C109" s="706"/>
      <c r="D109" s="707"/>
      <c r="E109" s="707"/>
      <c r="F109" s="707"/>
      <c r="G109" s="708"/>
      <c r="H109" s="702"/>
      <c r="I109" s="702"/>
      <c r="J109" s="688"/>
      <c r="K109" s="706"/>
      <c r="L109" s="707"/>
      <c r="M109" s="707"/>
      <c r="N109" s="707"/>
      <c r="O109" s="708"/>
      <c r="P109" s="702"/>
      <c r="Q109" s="702"/>
      <c r="R109" s="688"/>
      <c r="S109" s="706"/>
      <c r="T109" s="707"/>
      <c r="U109" s="707"/>
      <c r="V109" s="707"/>
      <c r="W109" s="708"/>
      <c r="X109" s="702"/>
      <c r="Z109" s="395"/>
      <c r="AA109" s="709"/>
      <c r="AB109" s="709"/>
      <c r="AC109" s="710"/>
      <c r="AD109" s="711"/>
    </row>
    <row r="110" spans="2:30">
      <c r="B110" s="1373">
        <v>10</v>
      </c>
      <c r="C110" s="715" t="s">
        <v>333</v>
      </c>
      <c r="D110" s="716"/>
      <c r="E110" s="716"/>
      <c r="F110" s="716"/>
      <c r="G110" s="716"/>
      <c r="H110" s="717"/>
      <c r="I110" s="688"/>
      <c r="J110" s="1373">
        <v>11</v>
      </c>
      <c r="K110" s="689" t="s">
        <v>295</v>
      </c>
      <c r="L110" s="689"/>
      <c r="M110" s="689"/>
      <c r="N110" s="689"/>
      <c r="O110" s="689"/>
      <c r="P110" s="690"/>
      <c r="Q110" s="688"/>
      <c r="R110" s="1373">
        <v>12</v>
      </c>
      <c r="S110" s="689" t="s">
        <v>334</v>
      </c>
      <c r="T110" s="689"/>
      <c r="U110" s="689"/>
      <c r="V110" s="689"/>
      <c r="W110" s="689"/>
      <c r="X110" s="690"/>
      <c r="Z110" s="395"/>
      <c r="AA110" s="709"/>
      <c r="AB110" s="709"/>
      <c r="AC110" s="710"/>
      <c r="AD110" s="711"/>
    </row>
    <row r="111" spans="2:30" ht="14.4">
      <c r="B111" s="1374"/>
      <c r="C111" s="1386" t="s">
        <v>194</v>
      </c>
      <c r="D111" s="1387"/>
      <c r="E111" s="1387"/>
      <c r="F111" s="1387"/>
      <c r="G111" s="1369" t="s">
        <v>182</v>
      </c>
      <c r="H111" s="1380" t="s">
        <v>183</v>
      </c>
      <c r="I111" s="691"/>
      <c r="J111" s="1374"/>
      <c r="K111" s="1386" t="s">
        <v>194</v>
      </c>
      <c r="L111" s="1387"/>
      <c r="M111" s="1387"/>
      <c r="N111" s="1387"/>
      <c r="O111" s="1369" t="s">
        <v>182</v>
      </c>
      <c r="P111" s="1380" t="s">
        <v>183</v>
      </c>
      <c r="Q111" s="691"/>
      <c r="R111" s="1374"/>
      <c r="S111" s="1386" t="s">
        <v>194</v>
      </c>
      <c r="T111" s="1387"/>
      <c r="U111" s="1387"/>
      <c r="V111" s="1387"/>
      <c r="W111" s="1369" t="s">
        <v>182</v>
      </c>
      <c r="X111" s="1380" t="s">
        <v>183</v>
      </c>
      <c r="Z111" s="395"/>
      <c r="AA111" s="709"/>
      <c r="AB111" s="709"/>
      <c r="AC111" s="710"/>
      <c r="AD111" s="711"/>
    </row>
    <row r="112" spans="2:30">
      <c r="B112" s="1374"/>
      <c r="C112" s="692" t="s">
        <v>195</v>
      </c>
      <c r="D112" s="1369" t="s">
        <v>185</v>
      </c>
      <c r="E112" s="1369"/>
      <c r="F112" s="1369"/>
      <c r="G112" s="1369"/>
      <c r="H112" s="1380"/>
      <c r="I112" s="691"/>
      <c r="J112" s="1374"/>
      <c r="K112" s="692" t="s">
        <v>195</v>
      </c>
      <c r="L112" s="1369" t="s">
        <v>185</v>
      </c>
      <c r="M112" s="1369"/>
      <c r="N112" s="1369"/>
      <c r="O112" s="1369"/>
      <c r="P112" s="1380"/>
      <c r="Q112" s="691"/>
      <c r="R112" s="1374"/>
      <c r="S112" s="692" t="s">
        <v>195</v>
      </c>
      <c r="T112" s="1369" t="s">
        <v>185</v>
      </c>
      <c r="U112" s="1369"/>
      <c r="V112" s="1369"/>
      <c r="W112" s="1369"/>
      <c r="X112" s="1380"/>
      <c r="Z112" s="395"/>
      <c r="AA112" s="709"/>
      <c r="AB112" s="709"/>
      <c r="AC112" s="710"/>
      <c r="AD112" s="711"/>
    </row>
    <row r="113" spans="2:30" ht="14.4">
      <c r="B113" s="1374"/>
      <c r="C113" s="693" t="s">
        <v>21</v>
      </c>
      <c r="D113" s="694">
        <v>2016</v>
      </c>
      <c r="E113" s="694">
        <v>2016</v>
      </c>
      <c r="F113" s="694">
        <v>2021</v>
      </c>
      <c r="G113" s="1369"/>
      <c r="H113" s="1380"/>
      <c r="I113" s="691"/>
      <c r="J113" s="1374"/>
      <c r="K113" s="693" t="s">
        <v>21</v>
      </c>
      <c r="L113" s="694">
        <v>2016</v>
      </c>
      <c r="M113" s="694">
        <v>2016</v>
      </c>
      <c r="N113" s="694">
        <v>2021</v>
      </c>
      <c r="O113" s="1369"/>
      <c r="P113" s="1380"/>
      <c r="Q113" s="691"/>
      <c r="R113" s="1374"/>
      <c r="S113" s="693" t="s">
        <v>21</v>
      </c>
      <c r="T113" s="694">
        <v>2016</v>
      </c>
      <c r="U113" s="694">
        <v>2016</v>
      </c>
      <c r="V113" s="694">
        <v>2021</v>
      </c>
      <c r="W113" s="1369"/>
      <c r="X113" s="1380"/>
      <c r="Z113" s="395"/>
      <c r="AA113" s="709"/>
      <c r="AB113" s="709"/>
      <c r="AC113" s="710"/>
      <c r="AD113" s="711"/>
    </row>
    <row r="114" spans="2:30">
      <c r="B114" s="1374"/>
      <c r="C114" s="718">
        <v>0</v>
      </c>
      <c r="D114" s="719" t="s">
        <v>196</v>
      </c>
      <c r="E114" s="719" t="s">
        <v>196</v>
      </c>
      <c r="F114" s="696">
        <v>1.0000000000000001E-5</v>
      </c>
      <c r="G114" s="697">
        <f t="shared" ref="G114:G121" si="66">IF(0.5*(MAX(D114:F114)-MIN(D114:F114))=0,0.00001,0.5*(MAX(D114:F114)-MIN(D114:F114)))</f>
        <v>1.0000000000000001E-5</v>
      </c>
      <c r="H114" s="720">
        <f>C114*$I$42</f>
        <v>0</v>
      </c>
      <c r="I114" s="712">
        <f>0.3/100</f>
        <v>3.0000000000000001E-3</v>
      </c>
      <c r="J114" s="1374"/>
      <c r="K114" s="695">
        <v>0</v>
      </c>
      <c r="L114" s="695" t="s">
        <v>196</v>
      </c>
      <c r="M114" s="695" t="s">
        <v>196</v>
      </c>
      <c r="N114" s="696">
        <v>1.0000000000000001E-5</v>
      </c>
      <c r="O114" s="697">
        <f t="shared" ref="O114:O121" si="67">IF(0.5*(MAX(L114:N114)-MIN(L114:N114))=0,0.00001,0.5*(MAX(L114:N114)-MIN(L114:N114)))</f>
        <v>1.0000000000000001E-5</v>
      </c>
      <c r="P114" s="698">
        <f>K114*$Q$42</f>
        <v>0</v>
      </c>
      <c r="Q114" s="712">
        <f>I114</f>
        <v>3.0000000000000001E-3</v>
      </c>
      <c r="R114" s="1374"/>
      <c r="S114" s="695">
        <v>0</v>
      </c>
      <c r="T114" s="695" t="s">
        <v>196</v>
      </c>
      <c r="U114" s="695" t="s">
        <v>196</v>
      </c>
      <c r="V114" s="696">
        <v>1.0000000000000001E-5</v>
      </c>
      <c r="W114" s="697">
        <f t="shared" ref="W114:W121" si="68">IF(0.5*(MAX(T114:V114)-MIN(T114:V114))=0,0.00001,0.5*(MAX(T114:V114)-MIN(T114:V114)))</f>
        <v>1.0000000000000001E-5</v>
      </c>
      <c r="X114" s="698">
        <f>S114*$Y$42</f>
        <v>0</v>
      </c>
      <c r="Y114" s="713">
        <f>Q114</f>
        <v>3.0000000000000001E-3</v>
      </c>
      <c r="Z114" s="395"/>
      <c r="AA114" s="709"/>
      <c r="AB114" s="709"/>
      <c r="AC114" s="710"/>
      <c r="AD114" s="711"/>
    </row>
    <row r="115" spans="2:30">
      <c r="B115" s="1374"/>
      <c r="C115" s="721">
        <v>1</v>
      </c>
      <c r="D115" s="695" t="s">
        <v>196</v>
      </c>
      <c r="E115" s="695" t="s">
        <v>196</v>
      </c>
      <c r="F115" s="696">
        <v>1.0000000000000001E-5</v>
      </c>
      <c r="G115" s="697">
        <f t="shared" si="66"/>
        <v>1.0000000000000001E-5</v>
      </c>
      <c r="H115" s="698">
        <f t="shared" ref="H115:H121" si="69">C115*$I$42</f>
        <v>2.8999999999999998E-3</v>
      </c>
      <c r="I115" s="699"/>
      <c r="J115" s="1374"/>
      <c r="K115" s="695">
        <v>1</v>
      </c>
      <c r="L115" s="695" t="s">
        <v>196</v>
      </c>
      <c r="M115" s="695" t="s">
        <v>196</v>
      </c>
      <c r="N115" s="696">
        <v>1.0000000000000001E-5</v>
      </c>
      <c r="O115" s="697">
        <f t="shared" si="67"/>
        <v>1.0000000000000001E-5</v>
      </c>
      <c r="P115" s="698">
        <f t="shared" ref="P115:P121" si="70">K115*$Q$42</f>
        <v>2.8999999999999998E-3</v>
      </c>
      <c r="Q115" s="699"/>
      <c r="R115" s="1374"/>
      <c r="S115" s="695">
        <v>1</v>
      </c>
      <c r="T115" s="695" t="s">
        <v>196</v>
      </c>
      <c r="U115" s="695" t="s">
        <v>196</v>
      </c>
      <c r="V115" s="696">
        <v>1.0000000000000001E-5</v>
      </c>
      <c r="W115" s="697">
        <f t="shared" si="68"/>
        <v>1.0000000000000001E-5</v>
      </c>
      <c r="X115" s="698">
        <f t="shared" ref="X115:X121" si="71">S115*$Y$42</f>
        <v>2.8999999999999998E-3</v>
      </c>
      <c r="Z115" s="395"/>
      <c r="AA115" s="709"/>
      <c r="AB115" s="709"/>
      <c r="AC115" s="710"/>
      <c r="AD115" s="711"/>
    </row>
    <row r="116" spans="2:30">
      <c r="B116" s="1374"/>
      <c r="C116" s="721">
        <v>10</v>
      </c>
      <c r="D116" s="695" t="s">
        <v>196</v>
      </c>
      <c r="E116" s="695" t="s">
        <v>196</v>
      </c>
      <c r="F116" s="696">
        <v>1.0000000000000001E-5</v>
      </c>
      <c r="G116" s="697">
        <f t="shared" si="66"/>
        <v>1.0000000000000001E-5</v>
      </c>
      <c r="H116" s="698">
        <f t="shared" si="69"/>
        <v>2.8999999999999998E-2</v>
      </c>
      <c r="I116" s="699"/>
      <c r="J116" s="1374"/>
      <c r="K116" s="695">
        <v>10</v>
      </c>
      <c r="L116" s="695" t="s">
        <v>196</v>
      </c>
      <c r="M116" s="695" t="s">
        <v>196</v>
      </c>
      <c r="N116" s="696">
        <v>1.0000000000000001E-5</v>
      </c>
      <c r="O116" s="697">
        <f t="shared" si="67"/>
        <v>1.0000000000000001E-5</v>
      </c>
      <c r="P116" s="698">
        <f t="shared" si="70"/>
        <v>2.8999999999999998E-2</v>
      </c>
      <c r="Q116" s="699"/>
      <c r="R116" s="1374"/>
      <c r="S116" s="695">
        <v>10</v>
      </c>
      <c r="T116" s="695" t="s">
        <v>196</v>
      </c>
      <c r="U116" s="695" t="s">
        <v>196</v>
      </c>
      <c r="V116" s="696">
        <v>1.0000000000000001E-5</v>
      </c>
      <c r="W116" s="697">
        <f t="shared" si="68"/>
        <v>1.0000000000000001E-5</v>
      </c>
      <c r="X116" s="698">
        <f t="shared" si="71"/>
        <v>2.8999999999999998E-2</v>
      </c>
      <c r="Z116" s="395"/>
      <c r="AA116" s="709"/>
      <c r="AB116" s="709"/>
      <c r="AC116" s="710"/>
      <c r="AD116" s="711"/>
    </row>
    <row r="117" spans="2:30">
      <c r="B117" s="1374"/>
      <c r="C117" s="721">
        <v>15</v>
      </c>
      <c r="D117" s="695" t="s">
        <v>196</v>
      </c>
      <c r="E117" s="695" t="s">
        <v>196</v>
      </c>
      <c r="F117" s="696">
        <v>1.0000000000000001E-5</v>
      </c>
      <c r="G117" s="697">
        <f t="shared" si="66"/>
        <v>1.0000000000000001E-5</v>
      </c>
      <c r="H117" s="698">
        <f t="shared" si="69"/>
        <v>4.3499999999999997E-2</v>
      </c>
      <c r="I117" s="699"/>
      <c r="J117" s="1374"/>
      <c r="K117" s="695">
        <v>15</v>
      </c>
      <c r="L117" s="695" t="s">
        <v>196</v>
      </c>
      <c r="M117" s="695" t="s">
        <v>196</v>
      </c>
      <c r="N117" s="696">
        <v>1.0000000000000001E-5</v>
      </c>
      <c r="O117" s="697">
        <f t="shared" si="67"/>
        <v>1.0000000000000001E-5</v>
      </c>
      <c r="P117" s="698">
        <f t="shared" si="70"/>
        <v>4.3499999999999997E-2</v>
      </c>
      <c r="Q117" s="699"/>
      <c r="R117" s="1374"/>
      <c r="S117" s="695">
        <v>15</v>
      </c>
      <c r="T117" s="695" t="s">
        <v>196</v>
      </c>
      <c r="U117" s="695" t="s">
        <v>196</v>
      </c>
      <c r="V117" s="696">
        <v>1.0000000000000001E-5</v>
      </c>
      <c r="W117" s="697">
        <f t="shared" si="68"/>
        <v>1.0000000000000001E-5</v>
      </c>
      <c r="X117" s="698">
        <f t="shared" si="71"/>
        <v>4.3499999999999997E-2</v>
      </c>
      <c r="Z117" s="395"/>
      <c r="AA117" s="709"/>
      <c r="AB117" s="709"/>
      <c r="AC117" s="710"/>
      <c r="AD117" s="711"/>
    </row>
    <row r="118" spans="2:30">
      <c r="B118" s="1374"/>
      <c r="C118" s="721">
        <v>20</v>
      </c>
      <c r="D118" s="695" t="s">
        <v>196</v>
      </c>
      <c r="E118" s="695" t="s">
        <v>196</v>
      </c>
      <c r="F118" s="696">
        <v>1.0000000000000001E-5</v>
      </c>
      <c r="G118" s="697">
        <f t="shared" si="66"/>
        <v>1.0000000000000001E-5</v>
      </c>
      <c r="H118" s="698">
        <f t="shared" si="69"/>
        <v>5.7999999999999996E-2</v>
      </c>
      <c r="I118" s="699"/>
      <c r="J118" s="1374"/>
      <c r="K118" s="695">
        <v>20</v>
      </c>
      <c r="L118" s="695" t="s">
        <v>196</v>
      </c>
      <c r="M118" s="695" t="s">
        <v>196</v>
      </c>
      <c r="N118" s="696">
        <v>1.0000000000000001E-5</v>
      </c>
      <c r="O118" s="697">
        <f t="shared" si="67"/>
        <v>1.0000000000000001E-5</v>
      </c>
      <c r="P118" s="698">
        <f t="shared" si="70"/>
        <v>5.7999999999999996E-2</v>
      </c>
      <c r="Q118" s="699"/>
      <c r="R118" s="1374"/>
      <c r="S118" s="695">
        <v>20</v>
      </c>
      <c r="T118" s="695" t="s">
        <v>196</v>
      </c>
      <c r="U118" s="695" t="s">
        <v>196</v>
      </c>
      <c r="V118" s="696">
        <v>1.0000000000000001E-5</v>
      </c>
      <c r="W118" s="697">
        <f t="shared" si="68"/>
        <v>1.0000000000000001E-5</v>
      </c>
      <c r="X118" s="698">
        <f t="shared" si="71"/>
        <v>5.7999999999999996E-2</v>
      </c>
      <c r="Z118" s="395"/>
      <c r="AA118" s="709"/>
      <c r="AB118" s="709"/>
      <c r="AC118" s="710"/>
      <c r="AD118" s="711"/>
    </row>
    <row r="119" spans="2:30">
      <c r="B119" s="1374"/>
      <c r="C119" s="721">
        <v>30</v>
      </c>
      <c r="D119" s="695" t="s">
        <v>196</v>
      </c>
      <c r="E119" s="695" t="s">
        <v>196</v>
      </c>
      <c r="F119" s="696">
        <v>1.0000000000000001E-5</v>
      </c>
      <c r="G119" s="697">
        <f t="shared" si="66"/>
        <v>1.0000000000000001E-5</v>
      </c>
      <c r="H119" s="698">
        <f t="shared" si="69"/>
        <v>8.6999999999999994E-2</v>
      </c>
      <c r="I119" s="699"/>
      <c r="J119" s="1374"/>
      <c r="K119" s="695">
        <v>30</v>
      </c>
      <c r="L119" s="695" t="s">
        <v>196</v>
      </c>
      <c r="M119" s="695" t="s">
        <v>196</v>
      </c>
      <c r="N119" s="696">
        <v>1.0000000000000001E-5</v>
      </c>
      <c r="O119" s="697">
        <f t="shared" si="67"/>
        <v>1.0000000000000001E-5</v>
      </c>
      <c r="P119" s="698">
        <f t="shared" si="70"/>
        <v>8.6999999999999994E-2</v>
      </c>
      <c r="Q119" s="699"/>
      <c r="R119" s="1374"/>
      <c r="S119" s="695">
        <v>30</v>
      </c>
      <c r="T119" s="695" t="s">
        <v>196</v>
      </c>
      <c r="U119" s="695" t="s">
        <v>196</v>
      </c>
      <c r="V119" s="696">
        <v>1.0000000000000001E-5</v>
      </c>
      <c r="W119" s="697">
        <f t="shared" si="68"/>
        <v>1.0000000000000001E-5</v>
      </c>
      <c r="X119" s="698">
        <f t="shared" si="71"/>
        <v>8.6999999999999994E-2</v>
      </c>
      <c r="Z119" s="395"/>
      <c r="AA119" s="709"/>
      <c r="AB119" s="709"/>
      <c r="AC119" s="710"/>
      <c r="AD119" s="711"/>
    </row>
    <row r="120" spans="2:30">
      <c r="B120" s="1374"/>
      <c r="C120" s="721">
        <v>50</v>
      </c>
      <c r="D120" s="695" t="s">
        <v>196</v>
      </c>
      <c r="E120" s="695" t="s">
        <v>196</v>
      </c>
      <c r="F120" s="696">
        <v>1.0000000000000001E-5</v>
      </c>
      <c r="G120" s="697">
        <f t="shared" si="66"/>
        <v>1.0000000000000001E-5</v>
      </c>
      <c r="H120" s="698">
        <f t="shared" si="69"/>
        <v>0.14499999999999999</v>
      </c>
      <c r="I120" s="699"/>
      <c r="J120" s="1374"/>
      <c r="K120" s="695">
        <v>50</v>
      </c>
      <c r="L120" s="695" t="s">
        <v>196</v>
      </c>
      <c r="M120" s="695" t="s">
        <v>196</v>
      </c>
      <c r="N120" s="696">
        <v>1.0000000000000001E-5</v>
      </c>
      <c r="O120" s="697">
        <f t="shared" si="67"/>
        <v>1.0000000000000001E-5</v>
      </c>
      <c r="P120" s="698">
        <f t="shared" si="70"/>
        <v>0.14499999999999999</v>
      </c>
      <c r="Q120" s="699"/>
      <c r="R120" s="1374"/>
      <c r="S120" s="695">
        <v>50</v>
      </c>
      <c r="T120" s="695" t="s">
        <v>196</v>
      </c>
      <c r="U120" s="695" t="s">
        <v>196</v>
      </c>
      <c r="V120" s="696">
        <v>1.0000000000000001E-5</v>
      </c>
      <c r="W120" s="697">
        <f t="shared" si="68"/>
        <v>1.0000000000000001E-5</v>
      </c>
      <c r="X120" s="698">
        <f t="shared" si="71"/>
        <v>0.14499999999999999</v>
      </c>
      <c r="Z120" s="395"/>
      <c r="AA120" s="709"/>
      <c r="AB120" s="709"/>
      <c r="AC120" s="710"/>
      <c r="AD120" s="711"/>
    </row>
    <row r="121" spans="2:30" ht="13.8" thickBot="1">
      <c r="B121" s="1374"/>
      <c r="C121" s="721">
        <v>100</v>
      </c>
      <c r="D121" s="695" t="s">
        <v>196</v>
      </c>
      <c r="E121" s="695" t="s">
        <v>196</v>
      </c>
      <c r="F121" s="696">
        <v>1.0000000000000001E-5</v>
      </c>
      <c r="G121" s="697">
        <f t="shared" si="66"/>
        <v>1.0000000000000001E-5</v>
      </c>
      <c r="H121" s="698">
        <f t="shared" si="69"/>
        <v>0.28999999999999998</v>
      </c>
      <c r="I121" s="699"/>
      <c r="J121" s="1374"/>
      <c r="K121" s="695">
        <v>100</v>
      </c>
      <c r="L121" s="695" t="s">
        <v>196</v>
      </c>
      <c r="M121" s="695" t="s">
        <v>196</v>
      </c>
      <c r="N121" s="696">
        <v>1.0000000000000001E-5</v>
      </c>
      <c r="O121" s="697">
        <f t="shared" si="67"/>
        <v>1.0000000000000001E-5</v>
      </c>
      <c r="P121" s="698">
        <f t="shared" si="70"/>
        <v>0.28999999999999998</v>
      </c>
      <c r="Q121" s="699"/>
      <c r="R121" s="1374"/>
      <c r="S121" s="695">
        <v>100</v>
      </c>
      <c r="T121" s="695" t="s">
        <v>196</v>
      </c>
      <c r="U121" s="695" t="s">
        <v>196</v>
      </c>
      <c r="V121" s="696">
        <v>1.0000000000000001E-5</v>
      </c>
      <c r="W121" s="697">
        <f t="shared" si="68"/>
        <v>1.0000000000000001E-5</v>
      </c>
      <c r="X121" s="698">
        <f t="shared" si="71"/>
        <v>0.28999999999999998</v>
      </c>
      <c r="Z121" s="395"/>
      <c r="AA121" s="709"/>
      <c r="AB121" s="709"/>
      <c r="AC121" s="710"/>
      <c r="AD121" s="711"/>
    </row>
    <row r="122" spans="2:30" ht="14.4">
      <c r="B122" s="1374"/>
      <c r="C122" s="1376" t="s">
        <v>197</v>
      </c>
      <c r="D122" s="1377"/>
      <c r="E122" s="1377"/>
      <c r="F122" s="1377"/>
      <c r="G122" s="1378" t="s">
        <v>182</v>
      </c>
      <c r="H122" s="1379" t="s">
        <v>183</v>
      </c>
      <c r="I122" s="691"/>
      <c r="J122" s="1374"/>
      <c r="K122" s="1376" t="s">
        <v>197</v>
      </c>
      <c r="L122" s="1377"/>
      <c r="M122" s="1377"/>
      <c r="N122" s="1377"/>
      <c r="O122" s="1378" t="s">
        <v>182</v>
      </c>
      <c r="P122" s="1379" t="s">
        <v>183</v>
      </c>
      <c r="Q122" s="691"/>
      <c r="R122" s="1374"/>
      <c r="S122" s="1376" t="s">
        <v>197</v>
      </c>
      <c r="T122" s="1377"/>
      <c r="U122" s="1377"/>
      <c r="V122" s="1377"/>
      <c r="W122" s="1378" t="s">
        <v>182</v>
      </c>
      <c r="X122" s="1379" t="s">
        <v>183</v>
      </c>
      <c r="Z122" s="395"/>
      <c r="AA122" s="709"/>
      <c r="AB122" s="709"/>
      <c r="AC122" s="710"/>
      <c r="AD122" s="711"/>
    </row>
    <row r="123" spans="2:30">
      <c r="B123" s="1374"/>
      <c r="C123" s="692" t="s">
        <v>198</v>
      </c>
      <c r="D123" s="1369" t="s">
        <v>185</v>
      </c>
      <c r="E123" s="1369"/>
      <c r="F123" s="1369"/>
      <c r="G123" s="1369"/>
      <c r="H123" s="1380"/>
      <c r="I123" s="691"/>
      <c r="J123" s="1374"/>
      <c r="K123" s="692" t="s">
        <v>198</v>
      </c>
      <c r="L123" s="1369" t="s">
        <v>185</v>
      </c>
      <c r="M123" s="1369"/>
      <c r="N123" s="1369"/>
      <c r="O123" s="1369"/>
      <c r="P123" s="1380"/>
      <c r="Q123" s="691"/>
      <c r="R123" s="1374"/>
      <c r="S123" s="692" t="s">
        <v>198</v>
      </c>
      <c r="T123" s="1369" t="s">
        <v>185</v>
      </c>
      <c r="U123" s="1369"/>
      <c r="V123" s="1369"/>
      <c r="W123" s="1369"/>
      <c r="X123" s="1380"/>
      <c r="Z123" s="395"/>
      <c r="AA123" s="709"/>
      <c r="AB123" s="709"/>
      <c r="AC123" s="710"/>
      <c r="AD123" s="711"/>
    </row>
    <row r="124" spans="2:30" ht="14.4">
      <c r="B124" s="1374"/>
      <c r="C124" s="693" t="s">
        <v>199</v>
      </c>
      <c r="D124" s="694">
        <f>D113</f>
        <v>2016</v>
      </c>
      <c r="E124" s="694">
        <f t="shared" ref="E124:F124" si="72">E113</f>
        <v>2016</v>
      </c>
      <c r="F124" s="694">
        <f t="shared" si="72"/>
        <v>2021</v>
      </c>
      <c r="G124" s="1369"/>
      <c r="H124" s="1380"/>
      <c r="I124" s="691"/>
      <c r="J124" s="1374"/>
      <c r="K124" s="693" t="s">
        <v>199</v>
      </c>
      <c r="L124" s="694">
        <f>L113</f>
        <v>2016</v>
      </c>
      <c r="M124" s="694">
        <f t="shared" ref="M124:N124" si="73">M113</f>
        <v>2016</v>
      </c>
      <c r="N124" s="694">
        <f t="shared" si="73"/>
        <v>2021</v>
      </c>
      <c r="O124" s="1369"/>
      <c r="P124" s="1380"/>
      <c r="Q124" s="691"/>
      <c r="R124" s="1374"/>
      <c r="S124" s="693" t="s">
        <v>199</v>
      </c>
      <c r="T124" s="694">
        <f>T113</f>
        <v>2016</v>
      </c>
      <c r="U124" s="694">
        <f t="shared" ref="U124:V124" si="74">U113</f>
        <v>2016</v>
      </c>
      <c r="V124" s="694">
        <f t="shared" si="74"/>
        <v>2021</v>
      </c>
      <c r="W124" s="1369"/>
      <c r="X124" s="1380"/>
      <c r="Z124" s="395"/>
      <c r="AA124" s="709"/>
      <c r="AB124" s="709"/>
      <c r="AC124" s="710"/>
      <c r="AD124" s="711"/>
    </row>
    <row r="125" spans="2:30">
      <c r="B125" s="1374"/>
      <c r="C125" s="721">
        <v>0</v>
      </c>
      <c r="D125" s="695" t="s">
        <v>196</v>
      </c>
      <c r="E125" s="695" t="s">
        <v>196</v>
      </c>
      <c r="F125" s="697">
        <v>0</v>
      </c>
      <c r="G125" s="697">
        <f t="shared" ref="G125:G131" si="75">IF(0.5*(MAX(D125:F125)-MIN(D125:F125))=0,0.00001,0.5*(MAX(D125:F125)-MIN(D125:F125)))</f>
        <v>1.0000000000000001E-5</v>
      </c>
      <c r="H125" s="698">
        <f>C125*$Y$17</f>
        <v>0</v>
      </c>
      <c r="I125" s="688">
        <f>0.23/100</f>
        <v>2.3E-3</v>
      </c>
      <c r="J125" s="1374"/>
      <c r="K125" s="695">
        <v>0</v>
      </c>
      <c r="L125" s="695" t="s">
        <v>196</v>
      </c>
      <c r="M125" s="695" t="s">
        <v>196</v>
      </c>
      <c r="N125" s="697">
        <v>0</v>
      </c>
      <c r="O125" s="697">
        <f t="shared" ref="O125:O131" si="76">IF(0.5*(MAX(L125:N125)-MIN(L125:N125))=0,0.00001,0.5*(MAX(L125:N125)-MIN(L125:N125)))</f>
        <v>1.0000000000000001E-5</v>
      </c>
      <c r="P125" s="698">
        <f>K125*$Y$17</f>
        <v>0</v>
      </c>
      <c r="Q125" s="688">
        <f>0.23/100</f>
        <v>2.3E-3</v>
      </c>
      <c r="R125" s="1374"/>
      <c r="S125" s="695">
        <v>0</v>
      </c>
      <c r="T125" s="695" t="s">
        <v>196</v>
      </c>
      <c r="U125" s="695" t="s">
        <v>196</v>
      </c>
      <c r="V125" s="697">
        <v>0</v>
      </c>
      <c r="W125" s="697">
        <f t="shared" ref="W125:W131" si="77">IF(0.5*(MAX(T125:V125)-MIN(T125:V125))=0,0.00001,0.5*(MAX(T125:V125)-MIN(T125:V125)))</f>
        <v>1.0000000000000001E-5</v>
      </c>
      <c r="X125" s="698">
        <f>S125*$Y$17</f>
        <v>0</v>
      </c>
      <c r="Y125" s="343">
        <f>0.23/100</f>
        <v>2.3E-3</v>
      </c>
      <c r="Z125" s="395"/>
      <c r="AA125" s="709"/>
      <c r="AB125" s="709"/>
      <c r="AC125" s="710"/>
      <c r="AD125" s="711"/>
    </row>
    <row r="126" spans="2:30">
      <c r="B126" s="1374"/>
      <c r="C126" s="721">
        <v>50</v>
      </c>
      <c r="D126" s="695" t="s">
        <v>196</v>
      </c>
      <c r="E126" s="695" t="s">
        <v>196</v>
      </c>
      <c r="F126" s="697">
        <v>0</v>
      </c>
      <c r="G126" s="697">
        <f t="shared" si="75"/>
        <v>1.0000000000000001E-5</v>
      </c>
      <c r="H126" s="698">
        <f t="shared" ref="H126:H130" si="78">C126*$Y$17</f>
        <v>0.11499999999999999</v>
      </c>
      <c r="I126" s="688"/>
      <c r="J126" s="1374"/>
      <c r="K126" s="695">
        <v>50</v>
      </c>
      <c r="L126" s="695" t="s">
        <v>196</v>
      </c>
      <c r="M126" s="695" t="s">
        <v>196</v>
      </c>
      <c r="N126" s="697">
        <v>0.4</v>
      </c>
      <c r="O126" s="697">
        <f t="shared" si="76"/>
        <v>1.0000000000000001E-5</v>
      </c>
      <c r="P126" s="698">
        <f t="shared" ref="P126:P130" si="79">K126*$Y$17</f>
        <v>0.11499999999999999</v>
      </c>
      <c r="Q126" s="688"/>
      <c r="R126" s="1374"/>
      <c r="S126" s="695">
        <v>50</v>
      </c>
      <c r="T126" s="695" t="s">
        <v>196</v>
      </c>
      <c r="U126" s="695" t="s">
        <v>196</v>
      </c>
      <c r="V126" s="697">
        <v>0</v>
      </c>
      <c r="W126" s="697">
        <f t="shared" si="77"/>
        <v>1.0000000000000001E-5</v>
      </c>
      <c r="X126" s="698">
        <f t="shared" ref="X126:X130" si="80">S126*$Y$17</f>
        <v>0.11499999999999999</v>
      </c>
      <c r="Z126" s="395"/>
      <c r="AA126" s="709"/>
      <c r="AB126" s="709"/>
      <c r="AC126" s="710"/>
      <c r="AD126" s="711"/>
    </row>
    <row r="127" spans="2:30">
      <c r="B127" s="1374"/>
      <c r="C127" s="721">
        <v>100</v>
      </c>
      <c r="D127" s="695" t="s">
        <v>196</v>
      </c>
      <c r="E127" s="695" t="s">
        <v>196</v>
      </c>
      <c r="F127" s="697">
        <v>1.6</v>
      </c>
      <c r="G127" s="697">
        <f t="shared" si="75"/>
        <v>1.0000000000000001E-5</v>
      </c>
      <c r="H127" s="698">
        <f t="shared" si="78"/>
        <v>0.22999999999999998</v>
      </c>
      <c r="I127" s="688"/>
      <c r="J127" s="1374"/>
      <c r="K127" s="695">
        <v>100</v>
      </c>
      <c r="L127" s="695" t="s">
        <v>196</v>
      </c>
      <c r="M127" s="695" t="s">
        <v>196</v>
      </c>
      <c r="N127" s="697">
        <v>-0.2</v>
      </c>
      <c r="O127" s="697">
        <f t="shared" si="76"/>
        <v>1.0000000000000001E-5</v>
      </c>
      <c r="P127" s="698">
        <f t="shared" si="79"/>
        <v>0.22999999999999998</v>
      </c>
      <c r="Q127" s="688"/>
      <c r="R127" s="1374"/>
      <c r="S127" s="695">
        <v>100</v>
      </c>
      <c r="T127" s="695" t="s">
        <v>196</v>
      </c>
      <c r="U127" s="695" t="s">
        <v>196</v>
      </c>
      <c r="V127" s="697">
        <v>-0.4</v>
      </c>
      <c r="W127" s="697">
        <f t="shared" si="77"/>
        <v>1.0000000000000001E-5</v>
      </c>
      <c r="X127" s="698">
        <f t="shared" si="80"/>
        <v>0.22999999999999998</v>
      </c>
      <c r="Z127" s="395"/>
      <c r="AA127" s="709"/>
      <c r="AB127" s="709"/>
      <c r="AC127" s="710"/>
      <c r="AD127" s="711"/>
    </row>
    <row r="128" spans="2:30">
      <c r="B128" s="1374"/>
      <c r="C128" s="721">
        <v>200</v>
      </c>
      <c r="D128" s="695" t="s">
        <v>196</v>
      </c>
      <c r="E128" s="695" t="s">
        <v>196</v>
      </c>
      <c r="F128" s="697">
        <v>2</v>
      </c>
      <c r="G128" s="697">
        <f t="shared" si="75"/>
        <v>1.0000000000000001E-5</v>
      </c>
      <c r="H128" s="698">
        <f t="shared" si="78"/>
        <v>0.45999999999999996</v>
      </c>
      <c r="I128" s="688"/>
      <c r="J128" s="1374"/>
      <c r="K128" s="695">
        <v>200</v>
      </c>
      <c r="L128" s="695" t="s">
        <v>196</v>
      </c>
      <c r="M128" s="695" t="s">
        <v>196</v>
      </c>
      <c r="N128" s="697">
        <v>2.8</v>
      </c>
      <c r="O128" s="697">
        <f t="shared" si="76"/>
        <v>1.0000000000000001E-5</v>
      </c>
      <c r="P128" s="698">
        <f t="shared" si="79"/>
        <v>0.45999999999999996</v>
      </c>
      <c r="Q128" s="688"/>
      <c r="R128" s="1374"/>
      <c r="S128" s="695">
        <v>200</v>
      </c>
      <c r="T128" s="695" t="s">
        <v>196</v>
      </c>
      <c r="U128" s="695" t="s">
        <v>196</v>
      </c>
      <c r="V128" s="697">
        <v>1.8</v>
      </c>
      <c r="W128" s="697">
        <f t="shared" si="77"/>
        <v>1.0000000000000001E-5</v>
      </c>
      <c r="X128" s="698">
        <f t="shared" si="80"/>
        <v>0.45999999999999996</v>
      </c>
      <c r="Z128" s="395"/>
      <c r="AA128" s="709"/>
      <c r="AB128" s="709"/>
      <c r="AC128" s="710"/>
      <c r="AD128" s="711"/>
    </row>
    <row r="129" spans="2:30">
      <c r="B129" s="1374"/>
      <c r="C129" s="721">
        <v>500</v>
      </c>
      <c r="D129" s="695" t="s">
        <v>196</v>
      </c>
      <c r="E129" s="695" t="s">
        <v>196</v>
      </c>
      <c r="F129" s="697">
        <v>4</v>
      </c>
      <c r="G129" s="697">
        <f t="shared" si="75"/>
        <v>1.0000000000000001E-5</v>
      </c>
      <c r="H129" s="698">
        <f t="shared" si="78"/>
        <v>1.1499999999999999</v>
      </c>
      <c r="I129" s="688"/>
      <c r="J129" s="1374"/>
      <c r="K129" s="695">
        <v>500</v>
      </c>
      <c r="L129" s="695" t="s">
        <v>196</v>
      </c>
      <c r="M129" s="695" t="s">
        <v>196</v>
      </c>
      <c r="N129" s="697">
        <v>2</v>
      </c>
      <c r="O129" s="697">
        <f t="shared" si="76"/>
        <v>1.0000000000000001E-5</v>
      </c>
      <c r="P129" s="698">
        <f t="shared" si="79"/>
        <v>1.1499999999999999</v>
      </c>
      <c r="Q129" s="688"/>
      <c r="R129" s="1374"/>
      <c r="S129" s="695">
        <v>500</v>
      </c>
      <c r="T129" s="695" t="s">
        <v>196</v>
      </c>
      <c r="U129" s="695" t="s">
        <v>196</v>
      </c>
      <c r="V129" s="697">
        <v>2</v>
      </c>
      <c r="W129" s="697">
        <f t="shared" si="77"/>
        <v>1.0000000000000001E-5</v>
      </c>
      <c r="X129" s="698">
        <f t="shared" si="80"/>
        <v>1.1499999999999999</v>
      </c>
      <c r="Z129" s="395"/>
      <c r="AA129" s="709"/>
      <c r="AB129" s="709"/>
      <c r="AC129" s="710"/>
      <c r="AD129" s="711"/>
    </row>
    <row r="130" spans="2:30">
      <c r="B130" s="1374"/>
      <c r="C130" s="721">
        <v>1000</v>
      </c>
      <c r="D130" s="695" t="s">
        <v>196</v>
      </c>
      <c r="E130" s="695" t="s">
        <v>196</v>
      </c>
      <c r="F130" s="697">
        <v>10</v>
      </c>
      <c r="G130" s="697">
        <f t="shared" si="75"/>
        <v>1.0000000000000001E-5</v>
      </c>
      <c r="H130" s="698">
        <f t="shared" si="78"/>
        <v>2.2999999999999998</v>
      </c>
      <c r="I130" s="688"/>
      <c r="J130" s="1374"/>
      <c r="K130" s="695">
        <v>1000</v>
      </c>
      <c r="L130" s="695" t="s">
        <v>196</v>
      </c>
      <c r="M130" s="695" t="s">
        <v>196</v>
      </c>
      <c r="N130" s="697">
        <v>8</v>
      </c>
      <c r="O130" s="697">
        <f t="shared" si="76"/>
        <v>1.0000000000000001E-5</v>
      </c>
      <c r="P130" s="698">
        <f t="shared" si="79"/>
        <v>2.2999999999999998</v>
      </c>
      <c r="Q130" s="688"/>
      <c r="R130" s="1374"/>
      <c r="S130" s="695">
        <v>1000</v>
      </c>
      <c r="T130" s="695" t="s">
        <v>196</v>
      </c>
      <c r="U130" s="695" t="s">
        <v>196</v>
      </c>
      <c r="V130" s="697">
        <v>10</v>
      </c>
      <c r="W130" s="697">
        <f t="shared" si="77"/>
        <v>1.0000000000000001E-5</v>
      </c>
      <c r="X130" s="698">
        <f t="shared" si="80"/>
        <v>2.2999999999999998</v>
      </c>
      <c r="Z130" s="395"/>
      <c r="AA130" s="709"/>
      <c r="AB130" s="709"/>
      <c r="AC130" s="710"/>
      <c r="AD130" s="711"/>
    </row>
    <row r="131" spans="2:30" ht="13.8" thickBot="1">
      <c r="B131" s="1374"/>
      <c r="C131" s="721">
        <v>2000</v>
      </c>
      <c r="D131" s="695" t="s">
        <v>196</v>
      </c>
      <c r="E131" s="695" t="s">
        <v>196</v>
      </c>
      <c r="F131" s="697">
        <v>10</v>
      </c>
      <c r="G131" s="697">
        <f t="shared" si="75"/>
        <v>1.0000000000000001E-5</v>
      </c>
      <c r="H131" s="698">
        <f>C131*$Y$17</f>
        <v>4.5999999999999996</v>
      </c>
      <c r="I131" s="688"/>
      <c r="J131" s="1374"/>
      <c r="K131" s="695">
        <v>1200</v>
      </c>
      <c r="L131" s="695" t="s">
        <v>196</v>
      </c>
      <c r="M131" s="695" t="s">
        <v>196</v>
      </c>
      <c r="N131" s="697">
        <v>14</v>
      </c>
      <c r="O131" s="697">
        <f t="shared" si="76"/>
        <v>1.0000000000000001E-5</v>
      </c>
      <c r="P131" s="698">
        <f>K131*$Y$17</f>
        <v>2.76</v>
      </c>
      <c r="Q131" s="688"/>
      <c r="R131" s="1374"/>
      <c r="S131" s="695">
        <v>1200</v>
      </c>
      <c r="T131" s="695" t="s">
        <v>196</v>
      </c>
      <c r="U131" s="695" t="s">
        <v>196</v>
      </c>
      <c r="V131" s="697">
        <v>9</v>
      </c>
      <c r="W131" s="697">
        <f t="shared" si="77"/>
        <v>1.0000000000000001E-5</v>
      </c>
      <c r="X131" s="698">
        <f>S131*$Y$17</f>
        <v>2.76</v>
      </c>
      <c r="Z131" s="395"/>
      <c r="AA131" s="709"/>
      <c r="AB131" s="709"/>
      <c r="AC131" s="710"/>
      <c r="AD131" s="711"/>
    </row>
    <row r="132" spans="2:30" ht="14.4">
      <c r="B132" s="1374"/>
      <c r="C132" s="1376" t="s">
        <v>200</v>
      </c>
      <c r="D132" s="1377"/>
      <c r="E132" s="1377"/>
      <c r="F132" s="1377"/>
      <c r="G132" s="1378" t="s">
        <v>182</v>
      </c>
      <c r="H132" s="1379" t="s">
        <v>183</v>
      </c>
      <c r="I132" s="691"/>
      <c r="J132" s="1374"/>
      <c r="K132" s="1376" t="s">
        <v>200</v>
      </c>
      <c r="L132" s="1377"/>
      <c r="M132" s="1377"/>
      <c r="N132" s="1377"/>
      <c r="O132" s="1378" t="s">
        <v>182</v>
      </c>
      <c r="P132" s="1379" t="s">
        <v>183</v>
      </c>
      <c r="Q132" s="691"/>
      <c r="R132" s="1374"/>
      <c r="S132" s="1376" t="s">
        <v>200</v>
      </c>
      <c r="T132" s="1377"/>
      <c r="U132" s="1377"/>
      <c r="V132" s="1377"/>
      <c r="W132" s="1378" t="s">
        <v>182</v>
      </c>
      <c r="X132" s="1379" t="s">
        <v>183</v>
      </c>
      <c r="Z132" s="395"/>
      <c r="AA132" s="709"/>
      <c r="AB132" s="709"/>
      <c r="AC132" s="710"/>
      <c r="AD132" s="711"/>
    </row>
    <row r="133" spans="2:30">
      <c r="B133" s="1374"/>
      <c r="C133" s="692" t="s">
        <v>201</v>
      </c>
      <c r="D133" s="1369" t="s">
        <v>185</v>
      </c>
      <c r="E133" s="1369"/>
      <c r="F133" s="1369"/>
      <c r="G133" s="1369"/>
      <c r="H133" s="1380"/>
      <c r="I133" s="691"/>
      <c r="J133" s="1374"/>
      <c r="K133" s="692" t="s">
        <v>201</v>
      </c>
      <c r="L133" s="1369" t="s">
        <v>185</v>
      </c>
      <c r="M133" s="1369"/>
      <c r="N133" s="1369"/>
      <c r="O133" s="1369"/>
      <c r="P133" s="1380"/>
      <c r="Q133" s="691"/>
      <c r="R133" s="1374"/>
      <c r="S133" s="692" t="s">
        <v>201</v>
      </c>
      <c r="T133" s="1369" t="s">
        <v>185</v>
      </c>
      <c r="U133" s="1369"/>
      <c r="V133" s="1369"/>
      <c r="W133" s="1369"/>
      <c r="X133" s="1380"/>
      <c r="Z133" s="395"/>
      <c r="AA133" s="709"/>
      <c r="AB133" s="709"/>
      <c r="AC133" s="710"/>
      <c r="AD133" s="711"/>
    </row>
    <row r="134" spans="2:30" ht="14.4">
      <c r="B134" s="1374"/>
      <c r="C134" s="693" t="s">
        <v>170</v>
      </c>
      <c r="D134" s="694">
        <f>D124</f>
        <v>2016</v>
      </c>
      <c r="E134" s="694">
        <f t="shared" ref="E134:F134" si="81">E124</f>
        <v>2016</v>
      </c>
      <c r="F134" s="694">
        <f t="shared" si="81"/>
        <v>2021</v>
      </c>
      <c r="G134" s="1369"/>
      <c r="H134" s="1380"/>
      <c r="I134" s="691"/>
      <c r="J134" s="1374"/>
      <c r="K134" s="693" t="s">
        <v>170</v>
      </c>
      <c r="L134" s="694">
        <f>L124</f>
        <v>2016</v>
      </c>
      <c r="M134" s="694">
        <f t="shared" ref="M134:N134" si="82">M124</f>
        <v>2016</v>
      </c>
      <c r="N134" s="694">
        <f t="shared" si="82"/>
        <v>2021</v>
      </c>
      <c r="O134" s="1369"/>
      <c r="P134" s="1380"/>
      <c r="Q134" s="691"/>
      <c r="R134" s="1374"/>
      <c r="S134" s="693" t="s">
        <v>170</v>
      </c>
      <c r="T134" s="694">
        <f>T124</f>
        <v>2016</v>
      </c>
      <c r="U134" s="694">
        <f t="shared" ref="U134:V134" si="83">U124</f>
        <v>2016</v>
      </c>
      <c r="V134" s="694">
        <f t="shared" si="83"/>
        <v>2021</v>
      </c>
      <c r="W134" s="1369"/>
      <c r="X134" s="1380"/>
      <c r="Z134" s="395"/>
      <c r="AA134" s="709"/>
      <c r="AB134" s="709"/>
      <c r="AC134" s="710"/>
      <c r="AD134" s="711"/>
    </row>
    <row r="135" spans="2:30">
      <c r="B135" s="1374"/>
      <c r="C135" s="721">
        <v>0</v>
      </c>
      <c r="D135" s="700" t="s">
        <v>196</v>
      </c>
      <c r="E135" s="700" t="s">
        <v>196</v>
      </c>
      <c r="F135" s="700">
        <v>1.0000000000000001E-5</v>
      </c>
      <c r="G135" s="697">
        <f>IF(0.5*(MAX(D135:F135)-MIN(D135:F135))=0,0.00001,0.5*(MAX(D135:F135)-MIN(D135:F135)))</f>
        <v>1.0000000000000001E-5</v>
      </c>
      <c r="H135" s="701">
        <f>C135*$Y$27</f>
        <v>0</v>
      </c>
      <c r="I135" s="714">
        <f>0.29/100</f>
        <v>2.8999999999999998E-3</v>
      </c>
      <c r="J135" s="1374"/>
      <c r="K135" s="695">
        <v>0</v>
      </c>
      <c r="L135" s="700" t="s">
        <v>196</v>
      </c>
      <c r="M135" s="700" t="s">
        <v>196</v>
      </c>
      <c r="N135" s="700">
        <v>1.0000000000000001E-5</v>
      </c>
      <c r="O135" s="697">
        <f>IF(0.5*(MAX(L135:N135)-MIN(L135:N135))=0,0.00001,0.5*(MAX(L135:N135)-MIN(L135:N135)))</f>
        <v>1.0000000000000001E-5</v>
      </c>
      <c r="P135" s="701">
        <f>K135*$Y$27</f>
        <v>0</v>
      </c>
      <c r="Q135" s="714">
        <f>0.29/100</f>
        <v>2.8999999999999998E-3</v>
      </c>
      <c r="R135" s="1374"/>
      <c r="S135" s="695">
        <v>0</v>
      </c>
      <c r="T135" s="700" t="s">
        <v>196</v>
      </c>
      <c r="U135" s="700" t="s">
        <v>196</v>
      </c>
      <c r="V135" s="700">
        <v>1.0000000000000001E-5</v>
      </c>
      <c r="W135" s="697">
        <f>IF(0.5*(MAX(T135:V135)-MIN(T135:V135))=0,0.00001,0.5*(MAX(T135:V135)-MIN(T135:V135)))</f>
        <v>1.0000000000000001E-5</v>
      </c>
      <c r="X135" s="701">
        <f>S135*$Y$27</f>
        <v>0</v>
      </c>
      <c r="Y135" s="343">
        <f>0.29/100</f>
        <v>2.8999999999999998E-3</v>
      </c>
      <c r="Z135" s="395"/>
      <c r="AA135" s="709"/>
      <c r="AB135" s="709"/>
      <c r="AC135" s="710"/>
      <c r="AD135" s="711"/>
    </row>
    <row r="136" spans="2:30">
      <c r="B136" s="1374"/>
      <c r="C136" s="721">
        <v>5</v>
      </c>
      <c r="D136" s="700" t="s">
        <v>196</v>
      </c>
      <c r="E136" s="700" t="s">
        <v>196</v>
      </c>
      <c r="F136" s="700">
        <v>1.0000000000000001E-5</v>
      </c>
      <c r="G136" s="697">
        <f t="shared" ref="G136:G143" si="84">IF(0.5*(MAX(D136:F136)-MIN(D136:F136))=0,0.00001,0.5*(MAX(D136:F136)-MIN(D136:F136)))</f>
        <v>1.0000000000000001E-5</v>
      </c>
      <c r="H136" s="701">
        <f t="shared" ref="H136:H143" si="85">C136*$Y$27</f>
        <v>1.4499999999999999E-2</v>
      </c>
      <c r="I136" s="688"/>
      <c r="J136" s="1374"/>
      <c r="K136" s="695">
        <v>5</v>
      </c>
      <c r="L136" s="700" t="s">
        <v>196</v>
      </c>
      <c r="M136" s="700" t="s">
        <v>196</v>
      </c>
      <c r="N136" s="700">
        <v>1.0000000000000001E-5</v>
      </c>
      <c r="O136" s="697">
        <f t="shared" ref="O136:O143" si="86">IF(0.5*(MAX(L136:N136)-MIN(L136:N136))=0,0.00001,0.5*(MAX(L136:N136)-MIN(L136:N136)))</f>
        <v>1.0000000000000001E-5</v>
      </c>
      <c r="P136" s="701">
        <f t="shared" ref="P136:P143" si="87">K136*$Y$27</f>
        <v>1.4499999999999999E-2</v>
      </c>
      <c r="Q136" s="688"/>
      <c r="R136" s="1374"/>
      <c r="S136" s="695">
        <v>5</v>
      </c>
      <c r="T136" s="700" t="s">
        <v>196</v>
      </c>
      <c r="U136" s="700" t="s">
        <v>196</v>
      </c>
      <c r="V136" s="700">
        <v>1.0000000000000001E-5</v>
      </c>
      <c r="W136" s="697">
        <f t="shared" ref="W136:W143" si="88">IF(0.5*(MAX(T136:V136)-MIN(T136:V136))=0,0.00001,0.5*(MAX(T136:V136)-MIN(T136:V136)))</f>
        <v>1.0000000000000001E-5</v>
      </c>
      <c r="X136" s="701">
        <f t="shared" ref="X136:X143" si="89">S136*$Y$27</f>
        <v>1.4499999999999999E-2</v>
      </c>
      <c r="Z136" s="395"/>
      <c r="AA136" s="709"/>
      <c r="AB136" s="709"/>
      <c r="AC136" s="710"/>
      <c r="AD136" s="711"/>
    </row>
    <row r="137" spans="2:30">
      <c r="B137" s="1374"/>
      <c r="C137" s="721">
        <v>10</v>
      </c>
      <c r="D137" s="700" t="s">
        <v>196</v>
      </c>
      <c r="E137" s="700" t="s">
        <v>196</v>
      </c>
      <c r="F137" s="700">
        <v>1.0000000000000001E-5</v>
      </c>
      <c r="G137" s="697">
        <f t="shared" si="84"/>
        <v>1.0000000000000001E-5</v>
      </c>
      <c r="H137" s="701">
        <f t="shared" si="85"/>
        <v>2.8999999999999998E-2</v>
      </c>
      <c r="I137" s="688"/>
      <c r="J137" s="1374"/>
      <c r="K137" s="695">
        <v>10</v>
      </c>
      <c r="L137" s="700" t="s">
        <v>196</v>
      </c>
      <c r="M137" s="700" t="s">
        <v>196</v>
      </c>
      <c r="N137" s="700">
        <v>1.0000000000000001E-5</v>
      </c>
      <c r="O137" s="697">
        <f t="shared" si="86"/>
        <v>1.0000000000000001E-5</v>
      </c>
      <c r="P137" s="701">
        <f t="shared" si="87"/>
        <v>2.8999999999999998E-2</v>
      </c>
      <c r="Q137" s="688"/>
      <c r="R137" s="1374"/>
      <c r="S137" s="695">
        <v>10</v>
      </c>
      <c r="T137" s="700" t="s">
        <v>196</v>
      </c>
      <c r="U137" s="700" t="s">
        <v>196</v>
      </c>
      <c r="V137" s="700">
        <v>1.0000000000000001E-5</v>
      </c>
      <c r="W137" s="697">
        <f t="shared" si="88"/>
        <v>1.0000000000000001E-5</v>
      </c>
      <c r="X137" s="701">
        <f t="shared" si="89"/>
        <v>2.8999999999999998E-2</v>
      </c>
      <c r="Z137" s="395"/>
      <c r="AA137" s="709"/>
      <c r="AB137" s="709"/>
      <c r="AC137" s="710"/>
      <c r="AD137" s="711"/>
    </row>
    <row r="138" spans="2:30">
      <c r="B138" s="1374"/>
      <c r="C138" s="721">
        <v>25</v>
      </c>
      <c r="D138" s="700" t="s">
        <v>196</v>
      </c>
      <c r="E138" s="700" t="s">
        <v>196</v>
      </c>
      <c r="F138" s="700">
        <v>1.0000000000000001E-5</v>
      </c>
      <c r="G138" s="697">
        <f t="shared" si="84"/>
        <v>1.0000000000000001E-5</v>
      </c>
      <c r="H138" s="701">
        <f t="shared" si="85"/>
        <v>7.2499999999999995E-2</v>
      </c>
      <c r="I138" s="688"/>
      <c r="J138" s="1374"/>
      <c r="K138" s="695">
        <v>25</v>
      </c>
      <c r="L138" s="700" t="s">
        <v>196</v>
      </c>
      <c r="M138" s="700" t="s">
        <v>196</v>
      </c>
      <c r="N138" s="700">
        <v>1.0000000000000001E-5</v>
      </c>
      <c r="O138" s="697">
        <f t="shared" si="86"/>
        <v>1.0000000000000001E-5</v>
      </c>
      <c r="P138" s="701">
        <f t="shared" si="87"/>
        <v>7.2499999999999995E-2</v>
      </c>
      <c r="Q138" s="688"/>
      <c r="R138" s="1374"/>
      <c r="S138" s="695">
        <v>25</v>
      </c>
      <c r="T138" s="700" t="s">
        <v>196</v>
      </c>
      <c r="U138" s="700" t="s">
        <v>196</v>
      </c>
      <c r="V138" s="700">
        <v>1.0000000000000001E-5</v>
      </c>
      <c r="W138" s="697">
        <f t="shared" si="88"/>
        <v>1.0000000000000001E-5</v>
      </c>
      <c r="X138" s="701">
        <f t="shared" si="89"/>
        <v>7.2499999999999995E-2</v>
      </c>
      <c r="Z138" s="395"/>
      <c r="AA138" s="709"/>
      <c r="AB138" s="709"/>
      <c r="AC138" s="710"/>
      <c r="AD138" s="711"/>
    </row>
    <row r="139" spans="2:30">
      <c r="B139" s="1374"/>
      <c r="C139" s="721">
        <v>50</v>
      </c>
      <c r="D139" s="700" t="s">
        <v>196</v>
      </c>
      <c r="E139" s="700" t="s">
        <v>196</v>
      </c>
      <c r="F139" s="700">
        <v>1.0000000000000001E-5</v>
      </c>
      <c r="G139" s="697">
        <f t="shared" si="84"/>
        <v>1.0000000000000001E-5</v>
      </c>
      <c r="H139" s="701">
        <f t="shared" si="85"/>
        <v>0.14499999999999999</v>
      </c>
      <c r="I139" s="688"/>
      <c r="J139" s="1374"/>
      <c r="K139" s="695">
        <v>50</v>
      </c>
      <c r="L139" s="700" t="s">
        <v>196</v>
      </c>
      <c r="M139" s="700" t="s">
        <v>196</v>
      </c>
      <c r="N139" s="700">
        <v>1.0000000000000001E-5</v>
      </c>
      <c r="O139" s="697">
        <f t="shared" si="86"/>
        <v>1.0000000000000001E-5</v>
      </c>
      <c r="P139" s="701">
        <f t="shared" si="87"/>
        <v>0.14499999999999999</v>
      </c>
      <c r="Q139" s="688"/>
      <c r="R139" s="1374"/>
      <c r="S139" s="695">
        <v>50</v>
      </c>
      <c r="T139" s="700" t="s">
        <v>196</v>
      </c>
      <c r="U139" s="700" t="s">
        <v>196</v>
      </c>
      <c r="V139" s="700">
        <v>1.0000000000000001E-5</v>
      </c>
      <c r="W139" s="697">
        <f t="shared" si="88"/>
        <v>1.0000000000000001E-5</v>
      </c>
      <c r="X139" s="701">
        <f t="shared" si="89"/>
        <v>0.14499999999999999</v>
      </c>
      <c r="Z139" s="395"/>
      <c r="AA139" s="709"/>
      <c r="AB139" s="709"/>
      <c r="AC139" s="710"/>
      <c r="AD139" s="711"/>
    </row>
    <row r="140" spans="2:30">
      <c r="B140" s="1374"/>
      <c r="C140" s="721">
        <v>100</v>
      </c>
      <c r="D140" s="700" t="s">
        <v>196</v>
      </c>
      <c r="E140" s="700" t="s">
        <v>196</v>
      </c>
      <c r="F140" s="700">
        <v>1.0000000000000001E-5</v>
      </c>
      <c r="G140" s="697">
        <f t="shared" si="84"/>
        <v>1.0000000000000001E-5</v>
      </c>
      <c r="H140" s="701">
        <f t="shared" si="85"/>
        <v>0.28999999999999998</v>
      </c>
      <c r="I140" s="688"/>
      <c r="J140" s="1374"/>
      <c r="K140" s="695">
        <v>100</v>
      </c>
      <c r="L140" s="700" t="s">
        <v>196</v>
      </c>
      <c r="M140" s="700" t="s">
        <v>196</v>
      </c>
      <c r="N140" s="700">
        <v>1.0000000000000001E-5</v>
      </c>
      <c r="O140" s="697">
        <f t="shared" si="86"/>
        <v>1.0000000000000001E-5</v>
      </c>
      <c r="P140" s="701">
        <f t="shared" si="87"/>
        <v>0.28999999999999998</v>
      </c>
      <c r="Q140" s="688"/>
      <c r="R140" s="1374"/>
      <c r="S140" s="695">
        <v>100</v>
      </c>
      <c r="T140" s="700" t="s">
        <v>196</v>
      </c>
      <c r="U140" s="700" t="s">
        <v>196</v>
      </c>
      <c r="V140" s="700">
        <v>1.0000000000000001E-5</v>
      </c>
      <c r="W140" s="697">
        <f t="shared" si="88"/>
        <v>1.0000000000000001E-5</v>
      </c>
      <c r="X140" s="701">
        <f t="shared" si="89"/>
        <v>0.28999999999999998</v>
      </c>
      <c r="Z140" s="395"/>
      <c r="AA140" s="709"/>
      <c r="AB140" s="709"/>
      <c r="AC140" s="710"/>
      <c r="AD140" s="711"/>
    </row>
    <row r="141" spans="2:30">
      <c r="B141" s="1374"/>
      <c r="C141" s="721">
        <v>250</v>
      </c>
      <c r="D141" s="700" t="s">
        <v>196</v>
      </c>
      <c r="E141" s="700" t="s">
        <v>196</v>
      </c>
      <c r="F141" s="700">
        <v>1.0000000000000001E-5</v>
      </c>
      <c r="G141" s="697">
        <f t="shared" si="84"/>
        <v>1.0000000000000001E-5</v>
      </c>
      <c r="H141" s="701">
        <f t="shared" si="85"/>
        <v>0.72499999999999998</v>
      </c>
      <c r="I141" s="688"/>
      <c r="J141" s="1374"/>
      <c r="K141" s="695">
        <v>250</v>
      </c>
      <c r="L141" s="700" t="s">
        <v>196</v>
      </c>
      <c r="M141" s="700" t="s">
        <v>196</v>
      </c>
      <c r="N141" s="700">
        <v>1.0000000000000001E-5</v>
      </c>
      <c r="O141" s="697">
        <f t="shared" si="86"/>
        <v>1.0000000000000001E-5</v>
      </c>
      <c r="P141" s="701">
        <f t="shared" si="87"/>
        <v>0.72499999999999998</v>
      </c>
      <c r="Q141" s="688"/>
      <c r="R141" s="1374"/>
      <c r="S141" s="695">
        <v>250</v>
      </c>
      <c r="T141" s="700" t="s">
        <v>196</v>
      </c>
      <c r="U141" s="700" t="s">
        <v>196</v>
      </c>
      <c r="V141" s="700">
        <v>1.0000000000000001E-5</v>
      </c>
      <c r="W141" s="697">
        <f t="shared" si="88"/>
        <v>1.0000000000000001E-5</v>
      </c>
      <c r="X141" s="701">
        <f t="shared" si="89"/>
        <v>0.72499999999999998</v>
      </c>
      <c r="Z141" s="395"/>
      <c r="AA141" s="709"/>
      <c r="AB141" s="709"/>
      <c r="AC141" s="710"/>
      <c r="AD141" s="711"/>
    </row>
    <row r="142" spans="2:30">
      <c r="B142" s="1374"/>
      <c r="C142" s="721">
        <v>500</v>
      </c>
      <c r="D142" s="700" t="s">
        <v>196</v>
      </c>
      <c r="E142" s="700" t="s">
        <v>196</v>
      </c>
      <c r="F142" s="700">
        <v>1.0000000000000001E-5</v>
      </c>
      <c r="G142" s="697">
        <f t="shared" si="84"/>
        <v>1.0000000000000001E-5</v>
      </c>
      <c r="H142" s="701">
        <f t="shared" si="85"/>
        <v>1.45</v>
      </c>
      <c r="I142" s="688"/>
      <c r="J142" s="1374"/>
      <c r="K142" s="695">
        <v>500</v>
      </c>
      <c r="L142" s="700" t="s">
        <v>196</v>
      </c>
      <c r="M142" s="700" t="s">
        <v>196</v>
      </c>
      <c r="N142" s="700">
        <v>1.0000000000000001E-5</v>
      </c>
      <c r="O142" s="697">
        <f t="shared" si="86"/>
        <v>1.0000000000000001E-5</v>
      </c>
      <c r="P142" s="701">
        <f t="shared" si="87"/>
        <v>1.45</v>
      </c>
      <c r="Q142" s="688"/>
      <c r="R142" s="1374"/>
      <c r="S142" s="695">
        <v>500</v>
      </c>
      <c r="T142" s="700" t="s">
        <v>196</v>
      </c>
      <c r="U142" s="700" t="s">
        <v>196</v>
      </c>
      <c r="V142" s="700">
        <v>1.0000000000000001E-5</v>
      </c>
      <c r="W142" s="697">
        <f t="shared" si="88"/>
        <v>1.0000000000000001E-5</v>
      </c>
      <c r="X142" s="701">
        <f t="shared" si="89"/>
        <v>1.45</v>
      </c>
      <c r="Z142" s="395"/>
      <c r="AA142" s="709"/>
      <c r="AB142" s="709"/>
      <c r="AC142" s="710"/>
      <c r="AD142" s="711"/>
    </row>
    <row r="143" spans="2:30" ht="13.8" thickBot="1">
      <c r="B143" s="1375"/>
      <c r="C143" s="722">
        <v>1000</v>
      </c>
      <c r="D143" s="704" t="s">
        <v>196</v>
      </c>
      <c r="E143" s="704" t="s">
        <v>196</v>
      </c>
      <c r="F143" s="704">
        <v>1.0000000000000001E-5</v>
      </c>
      <c r="G143" s="723">
        <f t="shared" si="84"/>
        <v>1.0000000000000001E-5</v>
      </c>
      <c r="H143" s="705">
        <f t="shared" si="85"/>
        <v>2.9</v>
      </c>
      <c r="I143" s="688"/>
      <c r="J143" s="1375"/>
      <c r="K143" s="703">
        <v>1000</v>
      </c>
      <c r="L143" s="704" t="s">
        <v>196</v>
      </c>
      <c r="M143" s="704" t="s">
        <v>196</v>
      </c>
      <c r="N143" s="704">
        <v>1.0000000000000001E-5</v>
      </c>
      <c r="O143" s="723">
        <f t="shared" si="86"/>
        <v>1.0000000000000001E-5</v>
      </c>
      <c r="P143" s="705">
        <f t="shared" si="87"/>
        <v>2.9</v>
      </c>
      <c r="Q143" s="688"/>
      <c r="R143" s="1375"/>
      <c r="S143" s="703">
        <v>1000</v>
      </c>
      <c r="T143" s="704" t="s">
        <v>196</v>
      </c>
      <c r="U143" s="704" t="s">
        <v>196</v>
      </c>
      <c r="V143" s="704">
        <v>1.0000000000000001E-5</v>
      </c>
      <c r="W143" s="723">
        <f t="shared" si="88"/>
        <v>1.0000000000000001E-5</v>
      </c>
      <c r="X143" s="705">
        <f t="shared" si="89"/>
        <v>2.9</v>
      </c>
      <c r="Z143" s="395"/>
      <c r="AA143" s="709"/>
      <c r="AB143" s="709"/>
      <c r="AC143" s="710"/>
      <c r="AD143" s="711"/>
    </row>
    <row r="144" spans="2:30">
      <c r="C144" s="395"/>
      <c r="D144" s="709"/>
      <c r="E144" s="709"/>
      <c r="F144" s="709"/>
      <c r="G144" s="710"/>
      <c r="H144" s="711"/>
      <c r="I144" s="711"/>
      <c r="K144" s="395"/>
      <c r="L144" s="709"/>
      <c r="M144" s="709"/>
      <c r="N144" s="709"/>
      <c r="O144" s="710"/>
      <c r="P144" s="711"/>
      <c r="Q144" s="711"/>
      <c r="S144" s="395"/>
      <c r="T144" s="709"/>
      <c r="U144" s="709"/>
      <c r="V144" s="709"/>
      <c r="W144" s="710"/>
      <c r="X144" s="711"/>
      <c r="Z144" s="395"/>
      <c r="AA144" s="709"/>
      <c r="AB144" s="709"/>
      <c r="AC144" s="710"/>
      <c r="AD144" s="711"/>
    </row>
    <row r="145" spans="2:32">
      <c r="C145" s="395"/>
      <c r="D145" s="709"/>
      <c r="E145" s="709"/>
      <c r="F145" s="709"/>
      <c r="G145" s="710"/>
      <c r="H145" s="711"/>
      <c r="I145" s="711"/>
      <c r="K145" s="395"/>
      <c r="L145" s="709"/>
      <c r="M145" s="709"/>
      <c r="N145" s="709"/>
      <c r="O145" s="710"/>
      <c r="P145" s="711"/>
      <c r="Q145" s="711"/>
      <c r="S145" s="395"/>
      <c r="T145" s="709"/>
      <c r="U145" s="709"/>
      <c r="V145" s="709"/>
      <c r="W145" s="710"/>
      <c r="X145" s="711"/>
      <c r="Z145" s="395"/>
      <c r="AA145" s="709"/>
      <c r="AB145" s="709"/>
      <c r="AC145" s="710"/>
      <c r="AD145" s="711"/>
    </row>
    <row r="146" spans="2:32">
      <c r="C146" s="395"/>
      <c r="D146" s="709"/>
      <c r="E146" s="709"/>
      <c r="F146" s="709"/>
      <c r="G146" s="710"/>
      <c r="H146" s="711"/>
      <c r="I146" s="711"/>
      <c r="K146" s="395"/>
      <c r="L146" s="709"/>
      <c r="M146" s="709"/>
      <c r="N146" s="709"/>
      <c r="O146" s="710"/>
      <c r="P146" s="711"/>
      <c r="Q146" s="711"/>
      <c r="S146" s="395"/>
      <c r="T146" s="709"/>
      <c r="U146" s="709"/>
      <c r="V146" s="709"/>
      <c r="W146" s="710"/>
      <c r="X146" s="711"/>
      <c r="Z146" s="395"/>
      <c r="AA146" s="709"/>
      <c r="AB146" s="709"/>
      <c r="AC146" s="710"/>
      <c r="AD146" s="711"/>
    </row>
    <row r="147" spans="2:32">
      <c r="K147" s="395"/>
      <c r="L147" s="709"/>
      <c r="M147" s="709"/>
      <c r="N147" s="709"/>
      <c r="O147" s="710"/>
      <c r="P147" s="711"/>
      <c r="Q147" s="711"/>
      <c r="S147" s="395"/>
      <c r="T147" s="709"/>
      <c r="U147" s="709"/>
      <c r="V147" s="709"/>
      <c r="W147" s="710"/>
      <c r="X147" s="711"/>
      <c r="Z147" s="395"/>
      <c r="AA147" s="709"/>
      <c r="AB147" s="709"/>
      <c r="AC147" s="710"/>
      <c r="AD147" s="711"/>
    </row>
    <row r="148" spans="2:32">
      <c r="K148" s="395"/>
      <c r="L148" s="709"/>
      <c r="M148" s="709"/>
      <c r="N148" s="709"/>
      <c r="O148" s="710"/>
      <c r="P148" s="711"/>
      <c r="Q148" s="711"/>
      <c r="S148" s="395"/>
      <c r="T148" s="709"/>
      <c r="U148" s="709"/>
      <c r="V148" s="709"/>
      <c r="W148" s="710"/>
      <c r="X148" s="711"/>
      <c r="Z148" s="395"/>
      <c r="AA148" s="709"/>
      <c r="AB148" s="709"/>
      <c r="AC148" s="710"/>
      <c r="AD148" s="711"/>
    </row>
    <row r="149" spans="2:32">
      <c r="K149" s="395"/>
      <c r="L149" s="709"/>
      <c r="M149" s="709"/>
      <c r="N149" s="709"/>
      <c r="O149" s="710"/>
      <c r="P149" s="711"/>
      <c r="Q149" s="711"/>
      <c r="S149" s="395"/>
      <c r="T149" s="709"/>
      <c r="U149" s="709"/>
      <c r="V149" s="709"/>
      <c r="W149" s="710"/>
      <c r="X149" s="711"/>
      <c r="Z149" s="395"/>
      <c r="AA149" s="709"/>
      <c r="AB149" s="709"/>
      <c r="AC149" s="710"/>
      <c r="AD149" s="711"/>
    </row>
    <row r="150" spans="2:32" ht="13.8" thickBot="1">
      <c r="K150" s="395"/>
      <c r="L150" s="709"/>
      <c r="M150" s="709"/>
      <c r="N150" s="709"/>
      <c r="O150" s="710"/>
      <c r="P150" s="711"/>
      <c r="Q150" s="711"/>
      <c r="S150" s="395"/>
      <c r="T150" s="709"/>
      <c r="U150" s="709"/>
      <c r="V150" s="709"/>
      <c r="W150" s="710"/>
      <c r="X150" s="711"/>
      <c r="Z150" s="395"/>
      <c r="AA150" s="709"/>
      <c r="AB150" s="709"/>
      <c r="AC150" s="710"/>
      <c r="AD150" s="711"/>
    </row>
    <row r="151" spans="2:32" ht="57" customHeight="1">
      <c r="B151" s="1399">
        <f>IF($L$161=$L$162,B2,IF($L$161=$L$163,J2,IF($L$161=$L$164,R2,IF($L$161=$L$165,B38,IF($L$161=$L$166,J38,IF($L$161=$L$167,R38,IF($L$161=$L$168,B74,IF($L$161=$L$169,J74,IF($L$161=$L$170,R74,IF($L$161=$L$171,B110,IF($L$161=$L$172,J110,R110)))))))))))</f>
        <v>4</v>
      </c>
      <c r="C151" s="1402" t="str">
        <f>IF($L$161=$L$162,C2,IF($L$161=$L$163,K2,IF($L$161=$L$164,S2,IF($L$161=$L$165,C38,IF($L$161=$L$166,K38,IF($L$161=$L$167,S38,IF($L$161=$L$168,C74,IF($L$161=$L$169,K74,IF($L$161=$L$170,S74,IF($L$161=$L$171,C110,IF($L$161=$L$172,K110,S110)))))))))))</f>
        <v>Medical Scope Meter, Merk : Fluke, Model 190M-4, SN : 48832901 CH : B</v>
      </c>
      <c r="D151" s="1403"/>
      <c r="E151" s="1403"/>
      <c r="F151" s="1403"/>
      <c r="G151" s="1403"/>
      <c r="H151" s="1403"/>
      <c r="I151" s="724"/>
      <c r="K151" s="725"/>
      <c r="L151" s="725"/>
      <c r="M151" s="726"/>
      <c r="N151" s="725"/>
      <c r="O151" s="727"/>
      <c r="P151" s="727"/>
      <c r="Q151" s="728"/>
      <c r="R151" s="376"/>
      <c r="S151" s="726"/>
      <c r="T151" s="726"/>
      <c r="U151" s="726"/>
      <c r="V151" s="728"/>
      <c r="W151" s="726"/>
      <c r="X151" s="726"/>
      <c r="Y151" s="726"/>
      <c r="Z151" s="726"/>
      <c r="AA151" s="726"/>
      <c r="AB151" s="729"/>
      <c r="AC151" s="726"/>
      <c r="AD151" s="729"/>
      <c r="AE151" s="726"/>
      <c r="AF151" s="726"/>
    </row>
    <row r="152" spans="2:32" ht="22.5" customHeight="1">
      <c r="B152" s="1400"/>
      <c r="C152" s="1404" t="str">
        <f t="shared" ref="C152:H167" si="90">IF($L$161=$L$162,C3,IF($L$161=$L$163,K3,IF($L$161=$L$164,S3,IF($L$161=$L$165,C39,IF($L$161=$L$166,K39,IF($L$161=$L$167,S39,IF($L$161=$L$168,C75,IF($L$161=$L$169,K75,IF($L$161=$L$170,S75,IF($L$161=$L$171,C111,IF($L$161=$L$172,K111,S111)))))))))))</f>
        <v>KOREKSI VOLT/DIVISION</v>
      </c>
      <c r="D152" s="1405"/>
      <c r="E152" s="1405"/>
      <c r="F152" s="1406"/>
      <c r="G152" s="730" t="str">
        <f>IF($L$161=$L$162,G3,IF($L$161=$L$163,O3,IF($L$161=$L$164,W3,IF($L$161=$L$165,G39,IF($L$161=$L$166,O39,IF($L$161=$L$167,W39,IF($L$161=$L$168,G75,IF($L$161=$L$169,O75,IF($L$161=$L$170,W75,IF($L$161=$L$171,G111,IF($L$161=$L$172,O111,W111)))))))))))</f>
        <v>DRIFT</v>
      </c>
      <c r="H152" s="730" t="str">
        <f>IF($L$161=$L$162,H3,IF($L$161=$L$163,P3,IF($L$161=$L$164,X3,IF($L$161=$L$165,H39,IF($L$161=$L$166,P39,IF($L$161=$L$167,X39,IF($L$161=$L$168,H75,IF($L$161=$L$169,P75,IF($L$161=$L$170,X75,IF($L$161=$L$171,H111,IF($L$161=$L$172,P111,X111)))))))))))</f>
        <v>U95</v>
      </c>
      <c r="I152" s="731"/>
      <c r="K152" s="725"/>
      <c r="L152" s="725"/>
      <c r="M152" s="726"/>
      <c r="N152" s="725"/>
      <c r="O152" s="727"/>
      <c r="P152" s="727"/>
      <c r="Q152" s="728"/>
      <c r="R152" s="376"/>
      <c r="S152" s="732"/>
      <c r="T152" s="732"/>
      <c r="U152" s="732"/>
      <c r="V152" s="733"/>
      <c r="W152" s="732"/>
      <c r="X152" s="732"/>
      <c r="Y152" s="734"/>
      <c r="Z152" s="735"/>
      <c r="AA152" s="732"/>
      <c r="AB152" s="736"/>
      <c r="AC152" s="736"/>
      <c r="AD152" s="737"/>
      <c r="AE152" s="733"/>
      <c r="AF152" s="738"/>
    </row>
    <row r="153" spans="2:32" ht="15.75" customHeight="1">
      <c r="B153" s="1400"/>
      <c r="C153" s="739" t="str">
        <f t="shared" si="90"/>
        <v>Setting Volt</v>
      </c>
      <c r="D153" s="1407" t="str">
        <f t="shared" si="90"/>
        <v>Tahun</v>
      </c>
      <c r="E153" s="1408"/>
      <c r="F153" s="1409"/>
      <c r="G153" s="730"/>
      <c r="H153" s="730"/>
      <c r="I153" s="731"/>
      <c r="K153" s="725"/>
      <c r="L153" s="725"/>
      <c r="M153" s="726"/>
      <c r="N153" s="725"/>
      <c r="O153" s="727"/>
      <c r="P153" s="727"/>
      <c r="Q153" s="728"/>
      <c r="R153" s="376"/>
      <c r="S153" s="732"/>
      <c r="T153" s="732"/>
      <c r="U153" s="732"/>
      <c r="V153" s="733"/>
      <c r="W153" s="732"/>
      <c r="X153" s="732"/>
      <c r="Y153" s="734"/>
      <c r="Z153" s="735"/>
      <c r="AA153" s="732"/>
      <c r="AB153" s="736"/>
      <c r="AC153" s="736"/>
      <c r="AD153" s="737"/>
      <c r="AE153" s="733"/>
      <c r="AF153" s="740"/>
    </row>
    <row r="154" spans="2:32" ht="15.75" customHeight="1">
      <c r="B154" s="1400"/>
      <c r="C154" s="739" t="str">
        <f t="shared" si="90"/>
        <v>V</v>
      </c>
      <c r="D154" s="730">
        <f t="shared" si="90"/>
        <v>2016</v>
      </c>
      <c r="E154" s="730">
        <f t="shared" si="90"/>
        <v>2016</v>
      </c>
      <c r="F154" s="730">
        <f t="shared" si="90"/>
        <v>2021</v>
      </c>
      <c r="G154" s="730"/>
      <c r="H154" s="730"/>
      <c r="I154" s="731"/>
      <c r="K154" s="741"/>
      <c r="L154" s="742"/>
      <c r="M154" s="742"/>
      <c r="N154" s="743"/>
      <c r="O154" s="744"/>
      <c r="P154" s="744"/>
      <c r="Q154" s="744"/>
      <c r="R154" s="376"/>
      <c r="S154" s="732"/>
      <c r="T154" s="732"/>
      <c r="U154" s="732"/>
      <c r="V154" s="733"/>
      <c r="W154" s="732"/>
      <c r="X154" s="732"/>
      <c r="Y154" s="734"/>
      <c r="Z154" s="735"/>
      <c r="AA154" s="732"/>
      <c r="AB154" s="736"/>
      <c r="AC154" s="736"/>
      <c r="AD154" s="737"/>
      <c r="AE154" s="733"/>
      <c r="AF154" s="738"/>
    </row>
    <row r="155" spans="2:32" ht="15.75" customHeight="1">
      <c r="B155" s="1400"/>
      <c r="C155" s="739">
        <f t="shared" si="90"/>
        <v>0</v>
      </c>
      <c r="D155" s="745" t="str">
        <f t="shared" si="90"/>
        <v>-</v>
      </c>
      <c r="E155" s="745" t="str">
        <f t="shared" si="90"/>
        <v>-</v>
      </c>
      <c r="F155" s="966">
        <f t="shared" si="90"/>
        <v>1.0000000000000001E-5</v>
      </c>
      <c r="G155" s="745">
        <f t="shared" si="90"/>
        <v>1.0000000000000001E-5</v>
      </c>
      <c r="H155" s="745">
        <f t="shared" si="90"/>
        <v>0</v>
      </c>
      <c r="I155" s="710"/>
      <c r="K155" s="741"/>
      <c r="L155" s="742"/>
      <c r="M155" s="742"/>
      <c r="N155" s="743"/>
      <c r="O155" s="744"/>
      <c r="P155" s="744"/>
      <c r="Q155" s="744"/>
      <c r="R155" s="376"/>
      <c r="S155" s="732"/>
      <c r="T155" s="732"/>
      <c r="U155" s="732"/>
      <c r="V155" s="733"/>
      <c r="W155" s="732"/>
      <c r="X155" s="732"/>
      <c r="Y155" s="734"/>
      <c r="Z155" s="735"/>
      <c r="AA155" s="732"/>
      <c r="AB155" s="736"/>
      <c r="AC155" s="736"/>
      <c r="AD155" s="737"/>
      <c r="AE155" s="733"/>
      <c r="AF155" s="740"/>
    </row>
    <row r="156" spans="2:32" ht="15.75" customHeight="1">
      <c r="B156" s="1400"/>
      <c r="C156" s="739">
        <f t="shared" si="90"/>
        <v>1</v>
      </c>
      <c r="D156" s="745" t="str">
        <f t="shared" si="90"/>
        <v>-</v>
      </c>
      <c r="E156" s="745" t="str">
        <f t="shared" si="90"/>
        <v>-</v>
      </c>
      <c r="F156" s="745">
        <f t="shared" si="90"/>
        <v>1.0000000000000001E-5</v>
      </c>
      <c r="G156" s="745">
        <f t="shared" si="90"/>
        <v>1.0000000000000001E-5</v>
      </c>
      <c r="H156" s="745">
        <f t="shared" si="90"/>
        <v>2.8999999999999998E-3</v>
      </c>
      <c r="I156" s="710"/>
      <c r="K156" s="741"/>
      <c r="L156" s="742"/>
      <c r="M156" s="742"/>
      <c r="N156" s="743"/>
      <c r="O156" s="744"/>
      <c r="P156" s="744"/>
      <c r="Q156" s="744"/>
      <c r="R156" s="376"/>
      <c r="S156" s="732"/>
      <c r="T156" s="732"/>
      <c r="U156" s="732"/>
      <c r="V156" s="733"/>
      <c r="W156" s="732"/>
      <c r="X156" s="732"/>
      <c r="Y156" s="734"/>
      <c r="Z156" s="735"/>
      <c r="AA156" s="732"/>
      <c r="AB156" s="736"/>
      <c r="AC156" s="736"/>
      <c r="AD156" s="737"/>
      <c r="AE156" s="733"/>
      <c r="AF156" s="740"/>
    </row>
    <row r="157" spans="2:32" ht="15.75" customHeight="1">
      <c r="B157" s="1400"/>
      <c r="C157" s="739">
        <f t="shared" si="90"/>
        <v>10</v>
      </c>
      <c r="D157" s="745" t="str">
        <f t="shared" si="90"/>
        <v>-</v>
      </c>
      <c r="E157" s="745" t="str">
        <f t="shared" si="90"/>
        <v>-</v>
      </c>
      <c r="F157" s="745">
        <f t="shared" si="90"/>
        <v>1.0000000000000001E-5</v>
      </c>
      <c r="G157" s="745">
        <f t="shared" si="90"/>
        <v>1.0000000000000001E-5</v>
      </c>
      <c r="H157" s="745">
        <f t="shared" si="90"/>
        <v>2.8999999999999998E-2</v>
      </c>
      <c r="I157" s="710"/>
      <c r="K157" s="741"/>
      <c r="L157" s="742"/>
      <c r="M157" s="742"/>
      <c r="N157" s="743"/>
      <c r="O157" s="744"/>
      <c r="P157" s="744"/>
      <c r="Q157" s="744"/>
      <c r="R157" s="376"/>
      <c r="S157" s="376"/>
      <c r="T157" s="376"/>
      <c r="U157" s="376"/>
      <c r="V157" s="376"/>
      <c r="W157" s="376"/>
      <c r="X157" s="376"/>
      <c r="Y157" s="376"/>
      <c r="Z157" s="746"/>
      <c r="AA157" s="747"/>
      <c r="AB157" s="747"/>
      <c r="AC157" s="748"/>
      <c r="AD157" s="749"/>
      <c r="AE157" s="376"/>
      <c r="AF157" s="376"/>
    </row>
    <row r="158" spans="2:32" ht="15.75" customHeight="1">
      <c r="B158" s="1400"/>
      <c r="C158" s="739">
        <f t="shared" si="90"/>
        <v>15</v>
      </c>
      <c r="D158" s="745" t="str">
        <f t="shared" si="90"/>
        <v>-</v>
      </c>
      <c r="E158" s="745" t="str">
        <f t="shared" si="90"/>
        <v>-</v>
      </c>
      <c r="F158" s="745">
        <f t="shared" si="90"/>
        <v>1.0000000000000001E-5</v>
      </c>
      <c r="G158" s="745">
        <f t="shared" si="90"/>
        <v>1.0000000000000001E-5</v>
      </c>
      <c r="H158" s="745">
        <f t="shared" si="90"/>
        <v>4.3499999999999997E-2</v>
      </c>
      <c r="I158" s="710"/>
      <c r="K158" s="741"/>
      <c r="L158" s="742"/>
      <c r="M158" s="742"/>
      <c r="N158" s="743"/>
      <c r="O158" s="744"/>
      <c r="P158" s="744"/>
      <c r="Q158" s="744"/>
      <c r="R158" s="376"/>
      <c r="S158" s="376"/>
      <c r="T158" s="376"/>
      <c r="U158" s="376"/>
      <c r="V158" s="376"/>
      <c r="W158" s="376"/>
      <c r="X158" s="376"/>
      <c r="Y158" s="376"/>
      <c r="Z158" s="746"/>
      <c r="AA158" s="747"/>
      <c r="AB158" s="747"/>
      <c r="AC158" s="748"/>
      <c r="AD158" s="376"/>
      <c r="AE158" s="376"/>
      <c r="AF158" s="376"/>
    </row>
    <row r="159" spans="2:32" ht="15.75" customHeight="1">
      <c r="B159" s="1400"/>
      <c r="C159" s="739">
        <f t="shared" si="90"/>
        <v>20</v>
      </c>
      <c r="D159" s="745" t="str">
        <f t="shared" si="90"/>
        <v>-</v>
      </c>
      <c r="E159" s="745" t="str">
        <f t="shared" si="90"/>
        <v>-</v>
      </c>
      <c r="F159" s="745">
        <f t="shared" si="90"/>
        <v>1.0000000000000001E-5</v>
      </c>
      <c r="G159" s="745">
        <f t="shared" si="90"/>
        <v>1.0000000000000001E-5</v>
      </c>
      <c r="H159" s="745">
        <f t="shared" si="90"/>
        <v>5.7999999999999996E-2</v>
      </c>
      <c r="I159" s="710"/>
      <c r="K159" s="376"/>
      <c r="L159" s="376"/>
      <c r="M159" s="376"/>
      <c r="N159" s="376"/>
      <c r="O159" s="376"/>
      <c r="P159" s="376"/>
      <c r="Q159" s="376"/>
      <c r="R159" s="376"/>
      <c r="S159" s="376"/>
      <c r="T159" s="376"/>
      <c r="U159" s="376"/>
      <c r="V159" s="376"/>
      <c r="W159" s="376"/>
      <c r="X159" s="376"/>
      <c r="Y159" s="376"/>
      <c r="Z159" s="746"/>
      <c r="AA159" s="747"/>
      <c r="AB159" s="747"/>
      <c r="AC159" s="748"/>
      <c r="AD159" s="376"/>
      <c r="AE159" s="376"/>
      <c r="AF159" s="376"/>
    </row>
    <row r="160" spans="2:32" ht="15.75" customHeight="1">
      <c r="B160" s="1400"/>
      <c r="C160" s="739">
        <f t="shared" si="90"/>
        <v>30</v>
      </c>
      <c r="D160" s="745" t="str">
        <f t="shared" si="90"/>
        <v>-</v>
      </c>
      <c r="E160" s="745" t="str">
        <f t="shared" si="90"/>
        <v>-</v>
      </c>
      <c r="F160" s="745">
        <f t="shared" si="90"/>
        <v>1.0000000000000001E-5</v>
      </c>
      <c r="G160" s="745">
        <f t="shared" si="90"/>
        <v>1.0000000000000001E-5</v>
      </c>
      <c r="H160" s="745">
        <f t="shared" si="90"/>
        <v>8.6999999999999994E-2</v>
      </c>
      <c r="I160" s="710"/>
      <c r="K160" s="395"/>
      <c r="L160" s="709"/>
      <c r="M160" s="709"/>
      <c r="N160" s="709"/>
      <c r="O160" s="710"/>
      <c r="P160" s="711"/>
      <c r="Q160" s="711"/>
      <c r="S160" s="395"/>
      <c r="T160" s="709"/>
      <c r="U160" s="709"/>
      <c r="V160" s="709"/>
      <c r="W160" s="710"/>
      <c r="X160" s="711"/>
      <c r="Z160" s="395"/>
      <c r="AA160" s="709"/>
      <c r="AB160" s="709"/>
      <c r="AC160" s="710"/>
    </row>
    <row r="161" spans="2:36" ht="15.75" customHeight="1">
      <c r="B161" s="1400"/>
      <c r="C161" s="739">
        <f t="shared" si="90"/>
        <v>50</v>
      </c>
      <c r="D161" s="745" t="str">
        <f t="shared" si="90"/>
        <v>-</v>
      </c>
      <c r="E161" s="745" t="str">
        <f t="shared" si="90"/>
        <v>-</v>
      </c>
      <c r="F161" s="745">
        <f t="shared" si="90"/>
        <v>1.0000000000000001E-5</v>
      </c>
      <c r="G161" s="745">
        <f t="shared" si="90"/>
        <v>1.0000000000000001E-5</v>
      </c>
      <c r="H161" s="745">
        <f t="shared" si="90"/>
        <v>0.14499999999999999</v>
      </c>
      <c r="I161" s="710"/>
      <c r="K161" s="395"/>
      <c r="L161" s="750" t="str">
        <f>[1]ID!B83</f>
        <v>Medical Scope Meter, Merk : Fluke, Model 190M-4, SN : 48832901 CH : B</v>
      </c>
      <c r="M161" s="751"/>
      <c r="N161" s="751"/>
      <c r="O161" s="751"/>
      <c r="P161" s="751"/>
      <c r="Q161" s="751"/>
      <c r="R161" s="751"/>
      <c r="S161" s="751"/>
      <c r="T161" s="751"/>
      <c r="U161" s="1410" t="s">
        <v>306</v>
      </c>
      <c r="V161" s="1410"/>
      <c r="W161" s="1410"/>
      <c r="X161" s="752"/>
      <c r="Y161" s="1411">
        <f>L174</f>
        <v>4</v>
      </c>
      <c r="Z161" s="1412"/>
      <c r="AA161" s="1412"/>
      <c r="AB161" s="1412"/>
      <c r="AC161" s="1412"/>
      <c r="AD161" s="1412"/>
      <c r="AE161" s="1412"/>
      <c r="AF161" s="1412"/>
      <c r="AG161" s="1412"/>
      <c r="AH161" s="1412"/>
      <c r="AI161" s="1412"/>
      <c r="AJ161" s="1413"/>
    </row>
    <row r="162" spans="2:36" ht="15.75" customHeight="1">
      <c r="B162" s="1400"/>
      <c r="C162" s="739">
        <f t="shared" si="90"/>
        <v>100</v>
      </c>
      <c r="D162" s="745" t="str">
        <f t="shared" si="90"/>
        <v>-</v>
      </c>
      <c r="E162" s="745" t="str">
        <f t="shared" si="90"/>
        <v>-</v>
      </c>
      <c r="F162" s="745">
        <f t="shared" si="90"/>
        <v>1.0000000000000001E-5</v>
      </c>
      <c r="G162" s="745">
        <f t="shared" si="90"/>
        <v>1.0000000000000001E-5</v>
      </c>
      <c r="H162" s="745">
        <f t="shared" si="90"/>
        <v>0.28999999999999998</v>
      </c>
      <c r="I162" s="710"/>
      <c r="K162" s="395"/>
      <c r="L162" s="750" t="str">
        <f>C2</f>
        <v>Medical Scope Meter, Merk : Fluke, Model 190M-2, SN :  27782606 CH : A</v>
      </c>
      <c r="M162" s="753"/>
      <c r="N162" s="754"/>
      <c r="O162" s="754"/>
      <c r="P162" s="754"/>
      <c r="Q162" s="754"/>
      <c r="R162" s="754"/>
      <c r="S162" s="754"/>
      <c r="T162" s="754"/>
      <c r="U162" s="755">
        <f>D5</f>
        <v>2016</v>
      </c>
      <c r="V162" s="755">
        <f t="shared" ref="V162:W162" si="91">E5</f>
        <v>2016</v>
      </c>
      <c r="W162" s="755">
        <f t="shared" si="91"/>
        <v>2018</v>
      </c>
      <c r="X162" s="756">
        <v>1</v>
      </c>
      <c r="Y162" s="757">
        <v>1</v>
      </c>
      <c r="Z162" s="758" t="s">
        <v>398</v>
      </c>
      <c r="AA162" s="759"/>
      <c r="AB162" s="759"/>
      <c r="AC162" s="759"/>
      <c r="AD162" s="760"/>
      <c r="AE162" s="760"/>
      <c r="AF162" s="760"/>
      <c r="AG162" s="760"/>
      <c r="AH162" s="760"/>
      <c r="AI162" s="761"/>
      <c r="AJ162" s="762"/>
    </row>
    <row r="163" spans="2:36" ht="15.75" customHeight="1">
      <c r="B163" s="1400"/>
      <c r="C163" s="1404" t="str">
        <f t="shared" si="90"/>
        <v>KOREKSI TIME/DIVISION</v>
      </c>
      <c r="D163" s="1405"/>
      <c r="E163" s="1405"/>
      <c r="F163" s="1406"/>
      <c r="G163" s="730" t="str">
        <f t="shared" si="90"/>
        <v>DRIFT</v>
      </c>
      <c r="H163" s="730" t="str">
        <f t="shared" si="90"/>
        <v>U95</v>
      </c>
      <c r="I163" s="731"/>
      <c r="K163" s="395"/>
      <c r="L163" s="750" t="str">
        <f>K2</f>
        <v>Medical Scope Meter, Merk : Fluke, Model 190M-2, SN :  27782606 CH : B</v>
      </c>
      <c r="M163" s="753"/>
      <c r="N163" s="754"/>
      <c r="O163" s="754"/>
      <c r="P163" s="754"/>
      <c r="Q163" s="754"/>
      <c r="R163" s="754"/>
      <c r="S163" s="754"/>
      <c r="T163" s="754"/>
      <c r="U163" s="755">
        <f>L5</f>
        <v>2016</v>
      </c>
      <c r="V163" s="755">
        <f t="shared" ref="V163:W163" si="92">M5</f>
        <v>2016</v>
      </c>
      <c r="W163" s="755">
        <f t="shared" si="92"/>
        <v>2018</v>
      </c>
      <c r="X163" s="756">
        <v>2</v>
      </c>
      <c r="Y163" s="757">
        <v>2</v>
      </c>
      <c r="Z163" s="758" t="s">
        <v>398</v>
      </c>
      <c r="AA163" s="759"/>
      <c r="AB163" s="759"/>
      <c r="AC163" s="759"/>
      <c r="AD163" s="760"/>
      <c r="AE163" s="760"/>
      <c r="AF163" s="760"/>
      <c r="AG163" s="760"/>
      <c r="AH163" s="760"/>
      <c r="AI163" s="761"/>
      <c r="AJ163" s="762"/>
    </row>
    <row r="164" spans="2:36" ht="15.75" customHeight="1">
      <c r="B164" s="1400"/>
      <c r="C164" s="739" t="str">
        <f t="shared" si="90"/>
        <v>Setting Time</v>
      </c>
      <c r="D164" s="1407" t="str">
        <f t="shared" si="90"/>
        <v>Tahun</v>
      </c>
      <c r="E164" s="1408"/>
      <c r="F164" s="1409"/>
      <c r="G164" s="730"/>
      <c r="H164" s="730"/>
      <c r="I164" s="731"/>
      <c r="K164" s="395"/>
      <c r="L164" s="750" t="str">
        <f>S2</f>
        <v>Medical Scope Meter, Merk : Fluke, Model 190M-4, SN : 48832901 CH : A</v>
      </c>
      <c r="M164" s="753"/>
      <c r="N164" s="754"/>
      <c r="O164" s="754"/>
      <c r="P164" s="754"/>
      <c r="Q164" s="754"/>
      <c r="R164" s="754"/>
      <c r="S164" s="754"/>
      <c r="T164" s="754"/>
      <c r="U164" s="755">
        <f>T5</f>
        <v>2016</v>
      </c>
      <c r="V164" s="755">
        <f t="shared" ref="V164:W164" si="93">U5</f>
        <v>2016</v>
      </c>
      <c r="W164" s="755">
        <f t="shared" si="93"/>
        <v>2021</v>
      </c>
      <c r="X164" s="756">
        <v>3</v>
      </c>
      <c r="Y164" s="757">
        <v>3</v>
      </c>
      <c r="Z164" s="758" t="s">
        <v>398</v>
      </c>
      <c r="AA164" s="759"/>
      <c r="AB164" s="759"/>
      <c r="AC164" s="759"/>
      <c r="AD164" s="760"/>
      <c r="AE164" s="760"/>
      <c r="AF164" s="760"/>
      <c r="AG164" s="760"/>
      <c r="AH164" s="760"/>
      <c r="AI164" s="761"/>
      <c r="AJ164" s="762"/>
    </row>
    <row r="165" spans="2:36" ht="15.75" customHeight="1">
      <c r="B165" s="1400"/>
      <c r="C165" s="739" t="str">
        <f t="shared" si="90"/>
        <v>us</v>
      </c>
      <c r="D165" s="730">
        <f t="shared" si="90"/>
        <v>2016</v>
      </c>
      <c r="E165" s="730">
        <f t="shared" si="90"/>
        <v>2016</v>
      </c>
      <c r="F165" s="730">
        <f t="shared" si="90"/>
        <v>2021</v>
      </c>
      <c r="G165" s="730"/>
      <c r="H165" s="730"/>
      <c r="I165" s="731"/>
      <c r="K165" s="395"/>
      <c r="L165" s="750" t="str">
        <f>C38</f>
        <v>Medical Scope Meter, Merk : Fluke, Model 190M-4, SN : 48832901 CH : B</v>
      </c>
      <c r="M165" s="753"/>
      <c r="N165" s="754"/>
      <c r="O165" s="754"/>
      <c r="P165" s="754"/>
      <c r="Q165" s="754"/>
      <c r="R165" s="754"/>
      <c r="S165" s="754"/>
      <c r="T165" s="754"/>
      <c r="U165" s="755">
        <f>D41</f>
        <v>2016</v>
      </c>
      <c r="V165" s="755">
        <f t="shared" ref="V165:W165" si="94">E41</f>
        <v>2016</v>
      </c>
      <c r="W165" s="755">
        <f t="shared" si="94"/>
        <v>2021</v>
      </c>
      <c r="X165" s="756">
        <v>4</v>
      </c>
      <c r="Y165" s="757">
        <v>4</v>
      </c>
      <c r="Z165" s="758" t="s">
        <v>398</v>
      </c>
      <c r="AA165" s="763"/>
      <c r="AB165" s="763"/>
      <c r="AC165" s="763"/>
      <c r="AD165" s="764"/>
      <c r="AE165" s="764"/>
      <c r="AF165" s="764"/>
      <c r="AG165" s="764"/>
      <c r="AH165" s="764"/>
      <c r="AI165" s="761"/>
      <c r="AJ165" s="762"/>
    </row>
    <row r="166" spans="2:36" ht="15.75" customHeight="1">
      <c r="B166" s="1400"/>
      <c r="C166" s="739">
        <f t="shared" si="90"/>
        <v>0</v>
      </c>
      <c r="D166" s="745" t="str">
        <f t="shared" si="90"/>
        <v>-</v>
      </c>
      <c r="E166" s="745" t="str">
        <f t="shared" si="90"/>
        <v>-</v>
      </c>
      <c r="F166" s="745">
        <f t="shared" si="90"/>
        <v>0</v>
      </c>
      <c r="G166" s="745">
        <f t="shared" si="90"/>
        <v>1.0000000000000001E-5</v>
      </c>
      <c r="H166" s="745">
        <f t="shared" si="90"/>
        <v>0</v>
      </c>
      <c r="I166" s="710"/>
      <c r="K166" s="395"/>
      <c r="L166" s="750" t="str">
        <f>K38</f>
        <v>Medical Scope Meter, Merk : Fluke, Model 190M-4, SN : 48832901 CH : C</v>
      </c>
      <c r="M166" s="753"/>
      <c r="N166" s="754"/>
      <c r="O166" s="754"/>
      <c r="P166" s="754"/>
      <c r="Q166" s="754"/>
      <c r="R166" s="754"/>
      <c r="S166" s="754"/>
      <c r="T166" s="754"/>
      <c r="U166" s="755">
        <f>L41</f>
        <v>2016</v>
      </c>
      <c r="V166" s="755">
        <f t="shared" ref="V166:W166" si="95">M41</f>
        <v>2016</v>
      </c>
      <c r="W166" s="755">
        <f t="shared" si="95"/>
        <v>2021</v>
      </c>
      <c r="X166" s="756">
        <v>5</v>
      </c>
      <c r="Y166" s="757">
        <v>5</v>
      </c>
      <c r="Z166" s="758" t="s">
        <v>398</v>
      </c>
      <c r="AA166" s="763"/>
      <c r="AB166" s="763"/>
      <c r="AC166" s="763"/>
      <c r="AD166" s="764"/>
      <c r="AE166" s="764"/>
      <c r="AF166" s="764"/>
      <c r="AG166" s="764"/>
      <c r="AH166" s="764"/>
      <c r="AI166" s="761"/>
      <c r="AJ166" s="762"/>
    </row>
    <row r="167" spans="2:36" ht="15.75" customHeight="1">
      <c r="B167" s="1400"/>
      <c r="C167" s="739">
        <f t="shared" si="90"/>
        <v>50</v>
      </c>
      <c r="D167" s="745" t="str">
        <f t="shared" si="90"/>
        <v>-</v>
      </c>
      <c r="E167" s="745" t="str">
        <f t="shared" si="90"/>
        <v>-</v>
      </c>
      <c r="F167" s="745">
        <f t="shared" si="90"/>
        <v>0.4</v>
      </c>
      <c r="G167" s="745">
        <f t="shared" si="90"/>
        <v>1.0000000000000001E-5</v>
      </c>
      <c r="H167" s="745">
        <f t="shared" si="90"/>
        <v>0.11499999999999999</v>
      </c>
      <c r="I167" s="710"/>
      <c r="L167" s="750" t="str">
        <f>S38</f>
        <v>Medical Scope Meter, Merk : Fluke, Model 190M-4, SN : 48832901 CH : D</v>
      </c>
      <c r="M167" s="753"/>
      <c r="N167" s="754"/>
      <c r="O167" s="754"/>
      <c r="P167" s="754"/>
      <c r="Q167" s="754"/>
      <c r="R167" s="754"/>
      <c r="S167" s="754"/>
      <c r="T167" s="754"/>
      <c r="U167" s="755">
        <f>T41</f>
        <v>2016</v>
      </c>
      <c r="V167" s="755">
        <f t="shared" ref="V167:W167" si="96">U41</f>
        <v>2016</v>
      </c>
      <c r="W167" s="755">
        <f t="shared" si="96"/>
        <v>2021</v>
      </c>
      <c r="X167" s="756">
        <v>6</v>
      </c>
      <c r="Y167" s="757">
        <v>6</v>
      </c>
      <c r="Z167" s="758" t="s">
        <v>398</v>
      </c>
      <c r="AA167" s="759"/>
      <c r="AB167" s="759"/>
      <c r="AC167" s="759"/>
      <c r="AD167" s="760"/>
      <c r="AE167" s="760"/>
      <c r="AF167" s="760"/>
      <c r="AG167" s="760"/>
      <c r="AH167" s="760"/>
      <c r="AI167" s="761"/>
      <c r="AJ167" s="762"/>
    </row>
    <row r="168" spans="2:36" ht="15.75" customHeight="1">
      <c r="B168" s="1400"/>
      <c r="C168" s="739">
        <f t="shared" ref="C168:H183" si="97">IF($L$161=$L$162,C19,IF($L$161=$L$163,K19,IF($L$161=$L$164,S19,IF($L$161=$L$165,C55,IF($L$161=$L$166,K55,IF($L$161=$L$167,S55,IF($L$161=$L$168,C91,IF($L$161=$L$169,K91,IF($L$161=$L$170,S91,IF($L$161=$L$171,C127,IF($L$161=$L$172,K127,S127)))))))))))</f>
        <v>100</v>
      </c>
      <c r="D168" s="745" t="str">
        <f t="shared" si="97"/>
        <v>-</v>
      </c>
      <c r="E168" s="745" t="str">
        <f t="shared" si="97"/>
        <v>-</v>
      </c>
      <c r="F168" s="745">
        <f t="shared" si="97"/>
        <v>1</v>
      </c>
      <c r="G168" s="745">
        <f t="shared" si="97"/>
        <v>1.0000000000000001E-5</v>
      </c>
      <c r="H168" s="745">
        <f t="shared" si="97"/>
        <v>0.22999999999999998</v>
      </c>
      <c r="I168" s="710"/>
      <c r="L168" s="750" t="str">
        <f>C74</f>
        <v>Medical Scope Meter, Merk : Fluke, Model 190M-4, SN : 48762901 CH : A</v>
      </c>
      <c r="M168" s="765"/>
      <c r="N168" s="765"/>
      <c r="O168" s="765"/>
      <c r="P168" s="765"/>
      <c r="Q168" s="765"/>
      <c r="R168" s="765"/>
      <c r="S168" s="765"/>
      <c r="T168" s="765"/>
      <c r="U168" s="755">
        <f>D77</f>
        <v>2016</v>
      </c>
      <c r="V168" s="755">
        <f t="shared" ref="V168:W168" si="98">E77</f>
        <v>2016</v>
      </c>
      <c r="W168" s="755">
        <f t="shared" si="98"/>
        <v>2021</v>
      </c>
      <c r="X168" s="756">
        <v>7</v>
      </c>
      <c r="Y168" s="757">
        <v>7</v>
      </c>
      <c r="Z168" s="758" t="s">
        <v>398</v>
      </c>
      <c r="AA168" s="763"/>
      <c r="AB168" s="763"/>
      <c r="AC168" s="763"/>
      <c r="AD168" s="764"/>
      <c r="AE168" s="764"/>
      <c r="AF168" s="764"/>
      <c r="AG168" s="764"/>
      <c r="AH168" s="764"/>
      <c r="AI168" s="766"/>
      <c r="AJ168" s="767"/>
    </row>
    <row r="169" spans="2:36" ht="15.75" customHeight="1">
      <c r="B169" s="1400"/>
      <c r="C169" s="739">
        <f t="shared" si="97"/>
        <v>200</v>
      </c>
      <c r="D169" s="745" t="str">
        <f t="shared" si="97"/>
        <v>-</v>
      </c>
      <c r="E169" s="745" t="str">
        <f t="shared" si="97"/>
        <v>-</v>
      </c>
      <c r="F169" s="745">
        <f t="shared" si="97"/>
        <v>1.2</v>
      </c>
      <c r="G169" s="745">
        <f t="shared" si="97"/>
        <v>1.0000000000000001E-5</v>
      </c>
      <c r="H169" s="745">
        <f t="shared" si="97"/>
        <v>0.45999999999999996</v>
      </c>
      <c r="I169" s="710"/>
      <c r="L169" s="750" t="str">
        <f>K74</f>
        <v>Medical Scope Meter, Merk : Fluke, Model 190M-4, SN : 48762901 CH : B</v>
      </c>
      <c r="M169" s="765"/>
      <c r="N169" s="765"/>
      <c r="O169" s="765"/>
      <c r="P169" s="765"/>
      <c r="Q169" s="765"/>
      <c r="R169" s="765"/>
      <c r="S169" s="765"/>
      <c r="T169" s="765"/>
      <c r="U169" s="755">
        <f>L77</f>
        <v>2016</v>
      </c>
      <c r="V169" s="755">
        <f t="shared" ref="V169:W169" si="99">M77</f>
        <v>2016</v>
      </c>
      <c r="W169" s="755">
        <f t="shared" si="99"/>
        <v>2021</v>
      </c>
      <c r="X169" s="756">
        <v>8</v>
      </c>
      <c r="Y169" s="757">
        <v>8</v>
      </c>
      <c r="Z169" s="758" t="s">
        <v>398</v>
      </c>
      <c r="AA169" s="763"/>
      <c r="AB169" s="763"/>
      <c r="AC169" s="763"/>
      <c r="AD169" s="764"/>
      <c r="AE169" s="764"/>
      <c r="AF169" s="764"/>
      <c r="AG169" s="764"/>
      <c r="AH169" s="764"/>
      <c r="AI169" s="766"/>
      <c r="AJ169" s="767"/>
    </row>
    <row r="170" spans="2:36" ht="15.75" customHeight="1">
      <c r="B170" s="1400"/>
      <c r="C170" s="739">
        <f t="shared" si="97"/>
        <v>500</v>
      </c>
      <c r="D170" s="745" t="str">
        <f t="shared" si="97"/>
        <v>-</v>
      </c>
      <c r="E170" s="745" t="str">
        <f t="shared" si="97"/>
        <v>-</v>
      </c>
      <c r="F170" s="745">
        <f t="shared" si="97"/>
        <v>6</v>
      </c>
      <c r="G170" s="745">
        <f t="shared" si="97"/>
        <v>1.0000000000000001E-5</v>
      </c>
      <c r="H170" s="745">
        <f t="shared" si="97"/>
        <v>1.1499999999999999</v>
      </c>
      <c r="I170" s="710"/>
      <c r="L170" s="750" t="str">
        <f>S74</f>
        <v>Medical Scope Meter, Merk : Fluke, Model 190M-4, SN : 48762901 CH : C</v>
      </c>
      <c r="M170" s="765"/>
      <c r="N170" s="765"/>
      <c r="O170" s="765"/>
      <c r="P170" s="765"/>
      <c r="Q170" s="765"/>
      <c r="R170" s="765"/>
      <c r="S170" s="765"/>
      <c r="T170" s="765"/>
      <c r="U170" s="755">
        <f>T77</f>
        <v>2016</v>
      </c>
      <c r="V170" s="755">
        <f t="shared" ref="V170:W170" si="100">U77</f>
        <v>2016</v>
      </c>
      <c r="W170" s="755">
        <f t="shared" si="100"/>
        <v>2021</v>
      </c>
      <c r="X170" s="756">
        <v>9</v>
      </c>
      <c r="Y170" s="757">
        <v>9</v>
      </c>
      <c r="Z170" s="758" t="s">
        <v>398</v>
      </c>
      <c r="AA170" s="763"/>
      <c r="AB170" s="763"/>
      <c r="AC170" s="763"/>
      <c r="AD170" s="764"/>
      <c r="AE170" s="764"/>
      <c r="AF170" s="764"/>
      <c r="AG170" s="764"/>
      <c r="AH170" s="764"/>
      <c r="AI170" s="766"/>
      <c r="AJ170" s="767"/>
    </row>
    <row r="171" spans="2:36" ht="15.75" customHeight="1">
      <c r="B171" s="1400"/>
      <c r="C171" s="739">
        <f t="shared" si="97"/>
        <v>1000</v>
      </c>
      <c r="D171" s="745" t="str">
        <f t="shared" si="97"/>
        <v>-</v>
      </c>
      <c r="E171" s="745" t="str">
        <f t="shared" si="97"/>
        <v>-</v>
      </c>
      <c r="F171" s="745">
        <f t="shared" si="97"/>
        <v>6</v>
      </c>
      <c r="G171" s="745">
        <f t="shared" si="97"/>
        <v>1.0000000000000001E-5</v>
      </c>
      <c r="H171" s="745">
        <f t="shared" si="97"/>
        <v>2.2999999999999998</v>
      </c>
      <c r="I171" s="710"/>
      <c r="L171" s="750" t="str">
        <f>C110</f>
        <v>Medical Scope Meter, Merk : Fluke, Model 190M-4, SN : 48762901 CH : D</v>
      </c>
      <c r="M171" s="765"/>
      <c r="N171" s="765"/>
      <c r="O171" s="765"/>
      <c r="P171" s="765"/>
      <c r="Q171" s="765"/>
      <c r="R171" s="765"/>
      <c r="S171" s="765"/>
      <c r="T171" s="765"/>
      <c r="U171" s="755">
        <f>D124</f>
        <v>2016</v>
      </c>
      <c r="V171" s="755">
        <f t="shared" ref="V171:W171" si="101">E124</f>
        <v>2016</v>
      </c>
      <c r="W171" s="755">
        <f t="shared" si="101"/>
        <v>2021</v>
      </c>
      <c r="X171" s="756">
        <v>10</v>
      </c>
      <c r="Y171" s="757">
        <v>10</v>
      </c>
      <c r="Z171" s="758" t="s">
        <v>398</v>
      </c>
      <c r="AA171" s="763"/>
      <c r="AB171" s="763"/>
      <c r="AC171" s="763"/>
      <c r="AD171" s="764"/>
      <c r="AE171" s="764"/>
      <c r="AF171" s="764"/>
      <c r="AG171" s="764"/>
      <c r="AH171" s="764"/>
      <c r="AI171" s="766"/>
      <c r="AJ171" s="767"/>
    </row>
    <row r="172" spans="2:36" ht="15.75" customHeight="1">
      <c r="B172" s="1400"/>
      <c r="C172" s="739">
        <f t="shared" si="97"/>
        <v>1200</v>
      </c>
      <c r="D172" s="745" t="str">
        <f t="shared" si="97"/>
        <v>-</v>
      </c>
      <c r="E172" s="745" t="str">
        <f t="shared" si="97"/>
        <v>-</v>
      </c>
      <c r="F172" s="745">
        <f t="shared" si="97"/>
        <v>0</v>
      </c>
      <c r="G172" s="745">
        <f t="shared" si="97"/>
        <v>1.0000000000000001E-5</v>
      </c>
      <c r="H172" s="745">
        <f t="shared" si="97"/>
        <v>2.76</v>
      </c>
      <c r="I172" s="710"/>
      <c r="L172" s="768" t="str">
        <f>K110</f>
        <v>X</v>
      </c>
      <c r="M172" s="765"/>
      <c r="N172" s="765"/>
      <c r="O172" s="765"/>
      <c r="P172" s="765"/>
      <c r="Q172" s="765"/>
      <c r="R172" s="765"/>
      <c r="S172" s="765"/>
      <c r="T172" s="765"/>
      <c r="U172" s="755">
        <f>L113</f>
        <v>2016</v>
      </c>
      <c r="V172" s="755">
        <f t="shared" ref="V172:W172" si="102">M113</f>
        <v>2016</v>
      </c>
      <c r="W172" s="755">
        <f t="shared" si="102"/>
        <v>2021</v>
      </c>
      <c r="X172" s="756">
        <v>11</v>
      </c>
      <c r="Y172" s="769">
        <v>11</v>
      </c>
      <c r="Z172" s="758" t="s">
        <v>398</v>
      </c>
      <c r="AA172" s="763"/>
      <c r="AB172" s="763"/>
      <c r="AC172" s="763"/>
      <c r="AD172" s="764"/>
      <c r="AE172" s="764"/>
      <c r="AF172" s="764"/>
      <c r="AG172" s="764"/>
      <c r="AH172" s="764"/>
      <c r="AI172" s="766"/>
      <c r="AJ172" s="767"/>
    </row>
    <row r="173" spans="2:36" ht="15" customHeight="1">
      <c r="B173" s="1400"/>
      <c r="C173" s="1404" t="str">
        <f t="shared" si="97"/>
        <v>KOREKSI FREQUENCY</v>
      </c>
      <c r="D173" s="1405"/>
      <c r="E173" s="1405"/>
      <c r="F173" s="1406"/>
      <c r="G173" s="730" t="str">
        <f t="shared" si="97"/>
        <v>DRIFT</v>
      </c>
      <c r="H173" s="730" t="str">
        <f t="shared" si="97"/>
        <v>U95</v>
      </c>
      <c r="I173" s="731"/>
      <c r="J173" s="770"/>
      <c r="K173" s="770"/>
      <c r="L173" s="768" t="str">
        <f>S110</f>
        <v>Y</v>
      </c>
      <c r="M173" s="765"/>
      <c r="N173" s="765"/>
      <c r="O173" s="765"/>
      <c r="P173" s="765"/>
      <c r="Q173" s="765"/>
      <c r="R173" s="765"/>
      <c r="S173" s="765"/>
      <c r="T173" s="765"/>
      <c r="U173" s="771">
        <f>T113</f>
        <v>2016</v>
      </c>
      <c r="V173" s="771">
        <f t="shared" ref="V173:W173" si="103">U113</f>
        <v>2016</v>
      </c>
      <c r="W173" s="771">
        <f t="shared" si="103"/>
        <v>2021</v>
      </c>
      <c r="X173" s="756">
        <v>12</v>
      </c>
      <c r="Y173" s="769">
        <v>12</v>
      </c>
      <c r="Z173" s="758" t="s">
        <v>398</v>
      </c>
      <c r="AA173" s="763"/>
      <c r="AB173" s="763"/>
      <c r="AC173" s="763"/>
      <c r="AD173" s="764"/>
      <c r="AE173" s="764"/>
      <c r="AF173" s="764"/>
      <c r="AG173" s="764"/>
      <c r="AH173" s="764"/>
      <c r="AI173" s="766"/>
      <c r="AJ173" s="767"/>
    </row>
    <row r="174" spans="2:36" ht="15.75" customHeight="1">
      <c r="B174" s="1400"/>
      <c r="C174" s="739" t="str">
        <f t="shared" si="97"/>
        <v>Setting Frequency</v>
      </c>
      <c r="D174" s="1407" t="str">
        <f t="shared" si="97"/>
        <v>Tahun</v>
      </c>
      <c r="E174" s="1408"/>
      <c r="F174" s="1409"/>
      <c r="G174" s="730"/>
      <c r="H174" s="730"/>
      <c r="I174" s="731"/>
      <c r="J174" s="770"/>
      <c r="K174" s="770"/>
      <c r="L174" s="750">
        <f>VLOOKUP(L161,L162:X173,13,(FALSE))</f>
        <v>4</v>
      </c>
      <c r="M174" s="750"/>
      <c r="N174" s="750"/>
      <c r="O174" s="750"/>
      <c r="P174" s="750"/>
      <c r="Q174" s="750"/>
      <c r="R174" s="750"/>
      <c r="S174" s="750"/>
      <c r="T174" s="750"/>
      <c r="U174" s="750"/>
      <c r="V174" s="750"/>
      <c r="W174" s="750"/>
      <c r="X174" s="750"/>
      <c r="Y174" s="1395" t="str">
        <f>VLOOKUP(Y161,Y162:AJ173,2,(FALSE))</f>
        <v>Hasil kalibrasi Intensitas Therapy dan Frekuensi tertelusur ke Satuan Internasional melalui PT. KALIMAN (LK-032-IDN)</v>
      </c>
      <c r="Z174" s="1396"/>
      <c r="AA174" s="1396"/>
      <c r="AB174" s="1396"/>
      <c r="AC174" s="1396"/>
      <c r="AD174" s="1396"/>
      <c r="AE174" s="1396"/>
      <c r="AF174" s="1396"/>
      <c r="AG174" s="1396"/>
      <c r="AH174" s="1396"/>
      <c r="AI174" s="1396"/>
      <c r="AJ174" s="1397"/>
    </row>
    <row r="175" spans="2:36" ht="15.75" customHeight="1">
      <c r="B175" s="1400"/>
      <c r="C175" s="739" t="str">
        <f t="shared" si="97"/>
        <v>Hz</v>
      </c>
      <c r="D175" s="730">
        <f t="shared" si="97"/>
        <v>2016</v>
      </c>
      <c r="E175" s="730">
        <f t="shared" si="97"/>
        <v>2016</v>
      </c>
      <c r="F175" s="730">
        <f t="shared" si="97"/>
        <v>2021</v>
      </c>
      <c r="G175" s="730"/>
      <c r="H175" s="730"/>
      <c r="I175" s="731"/>
      <c r="J175" s="770"/>
      <c r="K175" s="770"/>
    </row>
    <row r="176" spans="2:36" ht="15.75" customHeight="1">
      <c r="B176" s="1400"/>
      <c r="C176" s="739">
        <f t="shared" si="97"/>
        <v>0</v>
      </c>
      <c r="D176" s="772" t="str">
        <f t="shared" si="97"/>
        <v>-</v>
      </c>
      <c r="E176" s="772" t="str">
        <f t="shared" si="97"/>
        <v>-</v>
      </c>
      <c r="F176" s="772">
        <f t="shared" si="97"/>
        <v>1.0000000000000001E-5</v>
      </c>
      <c r="G176" s="772">
        <f t="shared" si="97"/>
        <v>1.0000000000000001E-5</v>
      </c>
      <c r="H176" s="772">
        <f t="shared" si="97"/>
        <v>0</v>
      </c>
      <c r="I176" s="773"/>
      <c r="J176" s="770"/>
      <c r="K176" s="770"/>
    </row>
    <row r="177" spans="2:18" ht="15.75" customHeight="1">
      <c r="B177" s="1400"/>
      <c r="C177" s="739">
        <f t="shared" si="97"/>
        <v>5</v>
      </c>
      <c r="D177" s="772" t="str">
        <f t="shared" si="97"/>
        <v>-</v>
      </c>
      <c r="E177" s="772" t="str">
        <f t="shared" si="97"/>
        <v>-</v>
      </c>
      <c r="F177" s="772">
        <f t="shared" si="97"/>
        <v>1.0000000000000001E-5</v>
      </c>
      <c r="G177" s="772">
        <f t="shared" si="97"/>
        <v>1.0000000000000001E-5</v>
      </c>
      <c r="H177" s="772">
        <f t="shared" si="97"/>
        <v>1.4499999999999999E-2</v>
      </c>
      <c r="I177" s="773"/>
      <c r="J177" s="770"/>
      <c r="K177" s="770"/>
    </row>
    <row r="178" spans="2:18" ht="15.75" customHeight="1">
      <c r="B178" s="1400"/>
      <c r="C178" s="739">
        <f t="shared" si="97"/>
        <v>10</v>
      </c>
      <c r="D178" s="772" t="str">
        <f t="shared" si="97"/>
        <v>-</v>
      </c>
      <c r="E178" s="772" t="str">
        <f t="shared" si="97"/>
        <v>-</v>
      </c>
      <c r="F178" s="772">
        <f t="shared" si="97"/>
        <v>1.0000000000000001E-5</v>
      </c>
      <c r="G178" s="772">
        <f t="shared" si="97"/>
        <v>1.0000000000000001E-5</v>
      </c>
      <c r="H178" s="772">
        <f t="shared" si="97"/>
        <v>2.8999999999999998E-2</v>
      </c>
      <c r="I178" s="773"/>
      <c r="J178" s="770"/>
      <c r="K178" s="770"/>
      <c r="L178" s="1389" t="s">
        <v>101</v>
      </c>
      <c r="M178" s="1389" t="s">
        <v>335</v>
      </c>
      <c r="N178" s="1389" t="s">
        <v>233</v>
      </c>
      <c r="O178" s="1392" t="s">
        <v>305</v>
      </c>
      <c r="P178" s="1392" t="s">
        <v>303</v>
      </c>
    </row>
    <row r="179" spans="2:18" ht="15.75" customHeight="1">
      <c r="B179" s="1400"/>
      <c r="C179" s="739">
        <f t="shared" si="97"/>
        <v>25</v>
      </c>
      <c r="D179" s="772" t="str">
        <f t="shared" si="97"/>
        <v>-</v>
      </c>
      <c r="E179" s="772" t="str">
        <f t="shared" si="97"/>
        <v>-</v>
      </c>
      <c r="F179" s="772">
        <f t="shared" si="97"/>
        <v>1.0000000000000001E-5</v>
      </c>
      <c r="G179" s="772">
        <f t="shared" si="97"/>
        <v>1.0000000000000001E-5</v>
      </c>
      <c r="H179" s="772">
        <f t="shared" si="97"/>
        <v>7.2499999999999995E-2</v>
      </c>
      <c r="I179" s="773"/>
      <c r="J179" s="770"/>
      <c r="K179" s="770"/>
      <c r="L179" s="1390"/>
      <c r="M179" s="1390"/>
      <c r="N179" s="1390"/>
      <c r="O179" s="1393"/>
      <c r="P179" s="1393"/>
      <c r="Q179" s="728"/>
      <c r="R179" s="1398"/>
    </row>
    <row r="180" spans="2:18" ht="15.75" customHeight="1">
      <c r="B180" s="1400"/>
      <c r="C180" s="739">
        <f t="shared" si="97"/>
        <v>50</v>
      </c>
      <c r="D180" s="772" t="str">
        <f t="shared" si="97"/>
        <v>-</v>
      </c>
      <c r="E180" s="772" t="str">
        <f t="shared" si="97"/>
        <v>-</v>
      </c>
      <c r="F180" s="772">
        <f t="shared" si="97"/>
        <v>1.0000000000000001E-5</v>
      </c>
      <c r="G180" s="772">
        <f t="shared" si="97"/>
        <v>1.0000000000000001E-5</v>
      </c>
      <c r="H180" s="772">
        <f t="shared" si="97"/>
        <v>0.14499999999999999</v>
      </c>
      <c r="I180" s="773"/>
      <c r="J180" s="770"/>
      <c r="K180" s="770"/>
      <c r="L180" s="1391"/>
      <c r="M180" s="1391"/>
      <c r="N180" s="1391"/>
      <c r="O180" s="1394"/>
      <c r="P180" s="1394"/>
      <c r="Q180" s="728"/>
      <c r="R180" s="1398"/>
    </row>
    <row r="181" spans="2:18" ht="15.75" customHeight="1">
      <c r="B181" s="1400"/>
      <c r="C181" s="739">
        <f t="shared" si="97"/>
        <v>100</v>
      </c>
      <c r="D181" s="772" t="str">
        <f t="shared" si="97"/>
        <v>-</v>
      </c>
      <c r="E181" s="772" t="str">
        <f t="shared" si="97"/>
        <v>-</v>
      </c>
      <c r="F181" s="772">
        <f t="shared" si="97"/>
        <v>1.0000000000000001E-5</v>
      </c>
      <c r="G181" s="772">
        <f t="shared" si="97"/>
        <v>1.0000000000000001E-5</v>
      </c>
      <c r="H181" s="772">
        <f t="shared" si="97"/>
        <v>0.28999999999999998</v>
      </c>
      <c r="I181" s="773"/>
      <c r="J181" s="770"/>
      <c r="K181" s="770"/>
      <c r="L181" s="774">
        <f>D190</f>
        <v>10.00004000016</v>
      </c>
      <c r="M181" s="775">
        <f>(FORECAST(L181,$F$155:$F$162,$C$155:$C$162))</f>
        <v>1.0000000000000001E-5</v>
      </c>
      <c r="N181" s="776">
        <f>SCOPE!F190</f>
        <v>10.00005000016</v>
      </c>
      <c r="O181" s="777">
        <f>(FORECAST(N181,$G$155:$G$162,$C$155:$C$162))</f>
        <v>1.0000000000000001E-5</v>
      </c>
      <c r="P181" s="777">
        <f>(FORECAST(N181,$H$155:$H$162,$C$155:$C$162))</f>
        <v>2.9000145000463988E-2</v>
      </c>
      <c r="Q181" s="728"/>
      <c r="R181" s="1398"/>
    </row>
    <row r="182" spans="2:18" ht="15.75" customHeight="1">
      <c r="B182" s="1400"/>
      <c r="C182" s="739">
        <f t="shared" si="97"/>
        <v>250</v>
      </c>
      <c r="D182" s="772" t="str">
        <f t="shared" si="97"/>
        <v>-</v>
      </c>
      <c r="E182" s="772" t="str">
        <f t="shared" si="97"/>
        <v>-</v>
      </c>
      <c r="F182" s="772">
        <f t="shared" si="97"/>
        <v>1.0000000000000001E-5</v>
      </c>
      <c r="G182" s="772">
        <f t="shared" si="97"/>
        <v>1.0000000000000001E-5</v>
      </c>
      <c r="H182" s="772">
        <f t="shared" si="97"/>
        <v>0.72499999999999998</v>
      </c>
      <c r="I182" s="773"/>
      <c r="J182" s="770"/>
      <c r="K182" s="770"/>
      <c r="L182" s="774">
        <f t="shared" ref="L182:L186" si="104">D191</f>
        <v>19.999913335426619</v>
      </c>
      <c r="M182" s="775">
        <f>(FORECAST(L182,$F$155:$F$162,$C$155:$C$162))</f>
        <v>1.0000000000000001E-5</v>
      </c>
      <c r="N182" s="776">
        <f>SCOPE!F191</f>
        <v>19.999923335426619</v>
      </c>
      <c r="O182" s="777">
        <f t="shared" ref="O182:O185" si="105">(FORECAST(N182,$G$155:$G$162,$C$155:$C$162))</f>
        <v>1.0000000000000001E-5</v>
      </c>
      <c r="P182" s="777">
        <f t="shared" ref="P182:P185" si="106">(FORECAST(N182,$H$155:$H$162,$C$155:$C$162))</f>
        <v>5.7999777672737188E-2</v>
      </c>
      <c r="Q182" s="744"/>
      <c r="R182" s="744"/>
    </row>
    <row r="183" spans="2:18" ht="15.75" customHeight="1">
      <c r="B183" s="1400"/>
      <c r="C183" s="739">
        <f t="shared" si="97"/>
        <v>500</v>
      </c>
      <c r="D183" s="772" t="str">
        <f t="shared" si="97"/>
        <v>-</v>
      </c>
      <c r="E183" s="772" t="str">
        <f t="shared" si="97"/>
        <v>-</v>
      </c>
      <c r="F183" s="772">
        <f t="shared" si="97"/>
        <v>1.0000000000000001E-5</v>
      </c>
      <c r="G183" s="772">
        <f t="shared" si="97"/>
        <v>1.0000000000000001E-5</v>
      </c>
      <c r="H183" s="772">
        <f t="shared" si="97"/>
        <v>1.45</v>
      </c>
      <c r="I183" s="773"/>
      <c r="J183" s="770"/>
      <c r="K183" s="770"/>
      <c r="L183" s="774">
        <f t="shared" si="104"/>
        <v>29.999870003139932</v>
      </c>
      <c r="M183" s="775">
        <f t="shared" ref="M183:M185" si="107">(FORECAST(L183,$F$155:$F$162,$C$155:$C$162))</f>
        <v>1.0000000000000001E-5</v>
      </c>
      <c r="N183" s="776">
        <f>SCOPE!F192</f>
        <v>29.999880003139932</v>
      </c>
      <c r="O183" s="777">
        <f t="shared" si="105"/>
        <v>1.0000000000000001E-5</v>
      </c>
      <c r="P183" s="777">
        <f t="shared" si="106"/>
        <v>8.6999652009105796E-2</v>
      </c>
      <c r="Q183" s="744"/>
      <c r="R183" s="744"/>
    </row>
    <row r="184" spans="2:18" ht="15.75" customHeight="1" thickBot="1">
      <c r="B184" s="1401"/>
      <c r="C184" s="739">
        <f t="shared" ref="C184:H184" si="108">IF($L$161=$L$162,C35,IF($L$161=$L$163,K35,IF($L$161=$L$164,S35,IF($L$161=$L$165,C71,IF($L$161=$L$166,K71,IF($L$161=$L$167,S71,IF($L$161=$L$168,C107,IF($L$161=$L$169,K107,IF($L$161=$L$170,S107,IF($L$161=$L$171,C143,IF($L$161=$L$172,K143,S143)))))))))))</f>
        <v>1000</v>
      </c>
      <c r="D184" s="772" t="str">
        <f t="shared" si="108"/>
        <v>-</v>
      </c>
      <c r="E184" s="772" t="str">
        <f t="shared" si="108"/>
        <v>-</v>
      </c>
      <c r="F184" s="772">
        <f t="shared" si="108"/>
        <v>1.0000000000000001E-5</v>
      </c>
      <c r="G184" s="772">
        <f t="shared" si="108"/>
        <v>1.0000000000000001E-5</v>
      </c>
      <c r="H184" s="772">
        <f t="shared" si="108"/>
        <v>2.9</v>
      </c>
      <c r="I184" s="773"/>
      <c r="J184" s="770"/>
      <c r="K184" s="770"/>
      <c r="L184" s="774">
        <f t="shared" si="104"/>
        <v>39.999826670853238</v>
      </c>
      <c r="M184" s="775">
        <f t="shared" si="107"/>
        <v>1.0000000000000001E-5</v>
      </c>
      <c r="N184" s="776">
        <f>SCOPE!F193</f>
        <v>39.999836670853242</v>
      </c>
      <c r="O184" s="777">
        <f t="shared" si="105"/>
        <v>1.0000000000000001E-5</v>
      </c>
      <c r="P184" s="777">
        <f t="shared" si="106"/>
        <v>0.11599952634547439</v>
      </c>
      <c r="Q184" s="744"/>
      <c r="R184" s="744"/>
    </row>
    <row r="185" spans="2:18">
      <c r="L185" s="774">
        <f t="shared" si="104"/>
        <v>49.999783338566552</v>
      </c>
      <c r="M185" s="775">
        <f t="shared" si="107"/>
        <v>1.0000000000000001E-5</v>
      </c>
      <c r="N185" s="776">
        <f>SCOPE!F194</f>
        <v>49.999793338566555</v>
      </c>
      <c r="O185" s="777">
        <f t="shared" si="105"/>
        <v>1.0000000000000001E-5</v>
      </c>
      <c r="P185" s="777">
        <f t="shared" si="106"/>
        <v>0.14499940068184303</v>
      </c>
      <c r="Q185" s="744"/>
      <c r="R185" s="744"/>
    </row>
    <row r="186" spans="2:18">
      <c r="L186" s="774">
        <f t="shared" si="104"/>
        <v>60</v>
      </c>
      <c r="M186" s="775">
        <f>(FORECAST(L186,$F$176:$F$184,$C$176:$C$184))</f>
        <v>1.0000000000000001E-5</v>
      </c>
      <c r="N186" s="776">
        <f>L186+M186</f>
        <v>60.000010000000003</v>
      </c>
      <c r="O186" s="777">
        <f>(FORECAST(N186,$G$176:$G$184,$C$176:$C$184))</f>
        <v>1.0000000000000001E-5</v>
      </c>
      <c r="P186" s="777">
        <f>(FORECAST(N186,$H$176:$H$184,$C$176:$C$184))</f>
        <v>0.17400002900000008</v>
      </c>
      <c r="Q186" s="744"/>
      <c r="R186" s="744"/>
    </row>
    <row r="188" spans="2:18">
      <c r="C188" s="778" t="s">
        <v>402</v>
      </c>
      <c r="D188" s="779"/>
      <c r="E188" s="779"/>
      <c r="F188" s="779"/>
      <c r="G188" s="119"/>
      <c r="H188" s="119"/>
      <c r="I188" s="119"/>
      <c r="J188" s="119"/>
      <c r="K188" s="119"/>
      <c r="L188" s="119"/>
      <c r="M188" s="119"/>
      <c r="N188" s="119"/>
    </row>
    <row r="189" spans="2:18" ht="40.799999999999997">
      <c r="C189" s="780" t="s">
        <v>48</v>
      </c>
      <c r="D189" s="780" t="s">
        <v>336</v>
      </c>
      <c r="E189" s="781" t="s">
        <v>300</v>
      </c>
      <c r="F189" s="780" t="s">
        <v>337</v>
      </c>
      <c r="G189" s="780" t="s">
        <v>99</v>
      </c>
      <c r="H189" s="780" t="s">
        <v>338</v>
      </c>
      <c r="I189" s="780" t="s">
        <v>301</v>
      </c>
      <c r="J189" s="780" t="s">
        <v>206</v>
      </c>
      <c r="K189" s="780" t="s">
        <v>205</v>
      </c>
      <c r="L189" s="782" t="s">
        <v>302</v>
      </c>
      <c r="M189" s="780" t="s">
        <v>339</v>
      </c>
      <c r="N189" s="780" t="s">
        <v>340</v>
      </c>
      <c r="O189" s="783"/>
    </row>
    <row r="190" spans="2:18">
      <c r="C190" s="784">
        <f>ID!C32</f>
        <v>10</v>
      </c>
      <c r="D190" s="784">
        <f>ID!J32</f>
        <v>10.00004000016</v>
      </c>
      <c r="E190" s="786">
        <f>SCOPE!M181</f>
        <v>1.0000000000000001E-5</v>
      </c>
      <c r="F190" s="784">
        <f t="shared" ref="F190:F194" si="109">D190+E190</f>
        <v>10.00005000016</v>
      </c>
      <c r="G190" s="787">
        <f>ID!L32</f>
        <v>1.0000000000000001E-5</v>
      </c>
      <c r="H190" s="785">
        <f>0.5*0.1</f>
        <v>0.05</v>
      </c>
      <c r="I190" s="784">
        <f>C190-F190</f>
        <v>-5.0000159999896709E-5</v>
      </c>
      <c r="J190" s="788">
        <f t="shared" ref="J190:J195" si="110">(I190/C190)*100</f>
        <v>-5.0000159999896709E-4</v>
      </c>
      <c r="K190" s="789">
        <f>F190-C190</f>
        <v>5.0000159999896709E-5</v>
      </c>
      <c r="L190" s="790">
        <f t="shared" ref="L190:L195" si="111">(F190-C190)/C190*100</f>
        <v>5.0000159999896709E-4</v>
      </c>
      <c r="M190" s="791">
        <f>SCOPE!O181</f>
        <v>1.0000000000000001E-5</v>
      </c>
      <c r="N190" s="792"/>
      <c r="O190" s="744"/>
    </row>
    <row r="191" spans="2:18">
      <c r="C191" s="784">
        <f>ID!C33</f>
        <v>20</v>
      </c>
      <c r="D191" s="784">
        <f>ID!J33</f>
        <v>19.999913335426619</v>
      </c>
      <c r="E191" s="786">
        <f>SCOPE!M182</f>
        <v>1.0000000000000001E-5</v>
      </c>
      <c r="F191" s="784">
        <f t="shared" si="109"/>
        <v>19.999923335426619</v>
      </c>
      <c r="G191" s="787">
        <f>ID!L33</f>
        <v>1.0000000000000001E-5</v>
      </c>
      <c r="H191" s="785">
        <f t="shared" ref="H191:H195" si="112">0.5*0.1</f>
        <v>0.05</v>
      </c>
      <c r="I191" s="784">
        <f t="shared" ref="I191:I195" si="113">C191-F191</f>
        <v>7.6664573381179935E-5</v>
      </c>
      <c r="J191" s="788">
        <f t="shared" si="110"/>
        <v>3.8332286690589962E-4</v>
      </c>
      <c r="K191" s="789">
        <f t="shared" ref="K191:K194" si="114">F191-C191</f>
        <v>-7.6664573381179935E-5</v>
      </c>
      <c r="L191" s="790">
        <f t="shared" si="111"/>
        <v>-3.8332286690589962E-4</v>
      </c>
      <c r="M191" s="791">
        <f>SCOPE!O182</f>
        <v>1.0000000000000001E-5</v>
      </c>
      <c r="N191" s="793"/>
      <c r="O191" s="794"/>
    </row>
    <row r="192" spans="2:18">
      <c r="C192" s="784">
        <f>ID!C34</f>
        <v>30</v>
      </c>
      <c r="D192" s="784">
        <f>ID!J34</f>
        <v>29.999870003139932</v>
      </c>
      <c r="E192" s="786">
        <f>SCOPE!M183</f>
        <v>1.0000000000000001E-5</v>
      </c>
      <c r="F192" s="784">
        <f t="shared" si="109"/>
        <v>29.999880003139932</v>
      </c>
      <c r="G192" s="787">
        <f>ID!L34</f>
        <v>1.0000000000000001E-5</v>
      </c>
      <c r="H192" s="785">
        <f t="shared" si="112"/>
        <v>0.05</v>
      </c>
      <c r="I192" s="784">
        <f t="shared" si="113"/>
        <v>1.199968600680279E-4</v>
      </c>
      <c r="J192" s="788">
        <f t="shared" si="110"/>
        <v>3.9998953356009303E-4</v>
      </c>
      <c r="K192" s="789">
        <f t="shared" si="114"/>
        <v>-1.199968600680279E-4</v>
      </c>
      <c r="L192" s="790">
        <f t="shared" si="111"/>
        <v>-3.9998953356009303E-4</v>
      </c>
      <c r="M192" s="791">
        <f>SCOPE!O183</f>
        <v>1.0000000000000001E-5</v>
      </c>
      <c r="N192" s="792"/>
      <c r="O192" s="744"/>
    </row>
    <row r="193" spans="1:16">
      <c r="C193" s="784">
        <f>ID!C35</f>
        <v>40</v>
      </c>
      <c r="D193" s="784">
        <f>ID!J35</f>
        <v>39.999826670853238</v>
      </c>
      <c r="E193" s="786">
        <f>SCOPE!M184</f>
        <v>1.0000000000000001E-5</v>
      </c>
      <c r="F193" s="784">
        <f t="shared" si="109"/>
        <v>39.999836670853242</v>
      </c>
      <c r="G193" s="787">
        <f>ID!L35</f>
        <v>1.0000000000000001E-5</v>
      </c>
      <c r="H193" s="785">
        <f t="shared" si="112"/>
        <v>0.05</v>
      </c>
      <c r="I193" s="784">
        <f t="shared" si="113"/>
        <v>1.6332914675842858E-4</v>
      </c>
      <c r="J193" s="788">
        <f t="shared" si="110"/>
        <v>4.0832286689607145E-4</v>
      </c>
      <c r="K193" s="789">
        <f t="shared" si="114"/>
        <v>-1.6332914675842858E-4</v>
      </c>
      <c r="L193" s="790">
        <f t="shared" si="111"/>
        <v>-4.0832286689607145E-4</v>
      </c>
      <c r="M193" s="791">
        <f>SCOPE!O184</f>
        <v>1.0000000000000001E-5</v>
      </c>
      <c r="N193" s="793"/>
      <c r="O193" s="794"/>
    </row>
    <row r="194" spans="1:16">
      <c r="C194" s="784">
        <f>ID!C36</f>
        <v>50</v>
      </c>
      <c r="D194" s="784">
        <f>ID!J36</f>
        <v>49.999783338566552</v>
      </c>
      <c r="E194" s="786">
        <f>SCOPE!M185</f>
        <v>1.0000000000000001E-5</v>
      </c>
      <c r="F194" s="784">
        <f t="shared" si="109"/>
        <v>49.999793338566555</v>
      </c>
      <c r="G194" s="787">
        <f>ID!L36</f>
        <v>1.0000000000000001E-5</v>
      </c>
      <c r="H194" s="785">
        <f t="shared" si="112"/>
        <v>0.05</v>
      </c>
      <c r="I194" s="784">
        <f t="shared" si="113"/>
        <v>2.0666143344527654E-4</v>
      </c>
      <c r="J194" s="788">
        <f t="shared" si="110"/>
        <v>4.1332286689055309E-4</v>
      </c>
      <c r="K194" s="789">
        <f t="shared" si="114"/>
        <v>-2.0666143344527654E-4</v>
      </c>
      <c r="L194" s="790">
        <f t="shared" si="111"/>
        <v>-4.1332286689055309E-4</v>
      </c>
      <c r="M194" s="791">
        <f>SCOPE!O185</f>
        <v>1.0000000000000001E-5</v>
      </c>
      <c r="N194" s="793"/>
      <c r="O194" s="794"/>
    </row>
    <row r="195" spans="1:16">
      <c r="A195" s="1388"/>
      <c r="B195" s="1388"/>
      <c r="C195" s="788">
        <v>60</v>
      </c>
      <c r="D195" s="788">
        <f>ID!J37</f>
        <v>60</v>
      </c>
      <c r="E195" s="795">
        <f>SCOPE!M186</f>
        <v>1.0000000000000001E-5</v>
      </c>
      <c r="F195" s="788">
        <f>D195+E195</f>
        <v>60.000010000000003</v>
      </c>
      <c r="G195" s="787">
        <f>ID!L37</f>
        <v>1.0000000000000001E-5</v>
      </c>
      <c r="H195" s="785">
        <f t="shared" si="112"/>
        <v>0.05</v>
      </c>
      <c r="I195" s="784">
        <f t="shared" si="113"/>
        <v>-1.0000000003174137E-5</v>
      </c>
      <c r="J195" s="788">
        <f t="shared" si="110"/>
        <v>-1.6666666671956893E-5</v>
      </c>
      <c r="K195" s="789">
        <f>F195-C195</f>
        <v>1.0000000003174137E-5</v>
      </c>
      <c r="L195" s="790">
        <f t="shared" si="111"/>
        <v>1.6666666671956893E-5</v>
      </c>
      <c r="M195" s="791">
        <f>SCOPE!O186</f>
        <v>1.0000000000000001E-5</v>
      </c>
      <c r="N195" s="793"/>
    </row>
    <row r="196" spans="1:16">
      <c r="A196" s="1388"/>
      <c r="B196" s="1388"/>
    </row>
    <row r="199" spans="1:16" ht="12.45" customHeight="1">
      <c r="L199" s="1389" t="s">
        <v>101</v>
      </c>
      <c r="M199" s="1389" t="s">
        <v>335</v>
      </c>
      <c r="N199" s="1389" t="s">
        <v>233</v>
      </c>
      <c r="O199" s="1392" t="s">
        <v>305</v>
      </c>
      <c r="P199" s="1392" t="s">
        <v>303</v>
      </c>
    </row>
    <row r="200" spans="1:16">
      <c r="L200" s="1390"/>
      <c r="M200" s="1390"/>
      <c r="N200" s="1390"/>
      <c r="O200" s="1393"/>
      <c r="P200" s="1393"/>
    </row>
    <row r="201" spans="1:16">
      <c r="L201" s="1391"/>
      <c r="M201" s="1391"/>
      <c r="N201" s="1391"/>
      <c r="O201" s="1394"/>
      <c r="P201" s="1394"/>
    </row>
    <row r="202" spans="1:16">
      <c r="L202" s="774">
        <f>D210</f>
        <v>10.00004000016</v>
      </c>
      <c r="M202" s="775">
        <f>(FORECAST(L202,$F$155:$F$162,$C$155:$C$162))</f>
        <v>1.0000000000000001E-5</v>
      </c>
      <c r="N202" s="776">
        <f>F210</f>
        <v>10.00005000016</v>
      </c>
      <c r="O202" s="777">
        <f>(FORECAST(N202,$G$155:$G$162,$C$155:$C$162))</f>
        <v>1.0000000000000001E-5</v>
      </c>
      <c r="P202" s="777">
        <f>(FORECAST(N202,$H$155:$H$162,$C$155:$C$162))</f>
        <v>2.9000145000463988E-2</v>
      </c>
    </row>
    <row r="203" spans="1:16">
      <c r="L203" s="774">
        <f t="shared" ref="L203:L206" si="115">D211</f>
        <v>20.000080000320001</v>
      </c>
      <c r="M203" s="775">
        <f>(FORECAST(L203,$F$155:$F$162,$C$155:$C$162))</f>
        <v>1.0000000000000001E-5</v>
      </c>
      <c r="N203" s="776">
        <f t="shared" ref="N203:N207" si="116">F211</f>
        <v>20.00009000032</v>
      </c>
      <c r="O203" s="777">
        <f t="shared" ref="O203:O206" si="117">(FORECAST(N203,$G$155:$G$162,$C$155:$C$162))</f>
        <v>1.0000000000000001E-5</v>
      </c>
      <c r="P203" s="777">
        <f t="shared" ref="P203:P206" si="118">(FORECAST(N203,$H$155:$H$162,$C$155:$C$162))</f>
        <v>5.8000261000927991E-2</v>
      </c>
    </row>
    <row r="204" spans="1:16">
      <c r="L204" s="774">
        <f t="shared" si="115"/>
        <v>30.000120000479999</v>
      </c>
      <c r="M204" s="775">
        <f t="shared" ref="M204:M206" si="119">(FORECAST(L204,$F$155:$F$162,$C$155:$C$162))</f>
        <v>1.0000000000000001E-5</v>
      </c>
      <c r="N204" s="776">
        <f t="shared" si="116"/>
        <v>30.000130000479999</v>
      </c>
      <c r="O204" s="777">
        <f t="shared" si="117"/>
        <v>1.0000000000000001E-5</v>
      </c>
      <c r="P204" s="777">
        <f t="shared" si="118"/>
        <v>8.7000377001391987E-2</v>
      </c>
    </row>
    <row r="205" spans="1:16">
      <c r="L205" s="774">
        <f t="shared" si="115"/>
        <v>40.000160000640001</v>
      </c>
      <c r="M205" s="775">
        <f>(FORECAST(L205,$F$155:$F$162,$C$155:$C$162))</f>
        <v>1.0000000000000001E-5</v>
      </c>
      <c r="N205" s="776">
        <f t="shared" si="116"/>
        <v>40.000170000640004</v>
      </c>
      <c r="O205" s="777">
        <f t="shared" si="117"/>
        <v>1.0000000000000001E-5</v>
      </c>
      <c r="P205" s="777">
        <f t="shared" si="118"/>
        <v>0.11600049300185601</v>
      </c>
    </row>
    <row r="206" spans="1:16">
      <c r="L206" s="774">
        <f t="shared" si="115"/>
        <v>50.000200000800014</v>
      </c>
      <c r="M206" s="775">
        <f t="shared" si="119"/>
        <v>1.0000000000000001E-5</v>
      </c>
      <c r="N206" s="776">
        <f t="shared" si="116"/>
        <v>50.000210000800017</v>
      </c>
      <c r="O206" s="777">
        <f t="shared" si="117"/>
        <v>1.0000000000000001E-5</v>
      </c>
      <c r="P206" s="777">
        <f t="shared" si="118"/>
        <v>0.14500060900232004</v>
      </c>
    </row>
    <row r="207" spans="1:16">
      <c r="L207" s="774">
        <f>D215</f>
        <v>60</v>
      </c>
      <c r="M207" s="775">
        <f>(FORECAST(L207,$F$176:$F$184,$C$176:$C$184))</f>
        <v>1.0000000000000001E-5</v>
      </c>
      <c r="N207" s="776">
        <f t="shared" si="116"/>
        <v>60.000010000000003</v>
      </c>
      <c r="O207" s="777">
        <f>(FORECAST(N207,$G$176:$G$184,$C$176:$C$184))</f>
        <v>1.0000000000000001E-5</v>
      </c>
      <c r="P207" s="777">
        <f>(FORECAST(N207,$H$176:$H$184,$C$176:$C$184))</f>
        <v>0.17400002900000008</v>
      </c>
    </row>
    <row r="208" spans="1:16">
      <c r="C208" s="778" t="s">
        <v>403</v>
      </c>
      <c r="D208" s="779"/>
      <c r="E208" s="779"/>
      <c r="F208" s="779"/>
      <c r="G208" s="119"/>
      <c r="H208" s="119"/>
      <c r="I208" s="119"/>
      <c r="J208" s="119"/>
      <c r="K208" s="119"/>
      <c r="L208" s="119"/>
      <c r="M208" s="119"/>
      <c r="N208" s="119"/>
    </row>
    <row r="209" spans="3:18" ht="40.799999999999997">
      <c r="C209" s="780" t="s">
        <v>48</v>
      </c>
      <c r="D209" s="780" t="s">
        <v>336</v>
      </c>
      <c r="E209" s="781" t="s">
        <v>300</v>
      </c>
      <c r="F209" s="780" t="s">
        <v>337</v>
      </c>
      <c r="G209" s="780" t="s">
        <v>99</v>
      </c>
      <c r="H209" s="780" t="s">
        <v>338</v>
      </c>
      <c r="I209" s="780" t="s">
        <v>301</v>
      </c>
      <c r="J209" s="780" t="s">
        <v>206</v>
      </c>
      <c r="K209" s="780" t="s">
        <v>205</v>
      </c>
      <c r="L209" s="782" t="s">
        <v>302</v>
      </c>
      <c r="M209" s="780" t="s">
        <v>339</v>
      </c>
      <c r="N209" s="780" t="s">
        <v>183</v>
      </c>
    </row>
    <row r="210" spans="3:18">
      <c r="C210" s="784">
        <f>ID!C42</f>
        <v>10</v>
      </c>
      <c r="D210" s="784">
        <f>ID!J42</f>
        <v>10.00004000016</v>
      </c>
      <c r="E210" s="796">
        <f>SCOPE!M202</f>
        <v>1.0000000000000001E-5</v>
      </c>
      <c r="F210" s="784">
        <f t="shared" ref="F210:F215" si="120">D210+E210</f>
        <v>10.00005000016</v>
      </c>
      <c r="G210" s="787">
        <f>[1]ID!L62</f>
        <v>0</v>
      </c>
      <c r="H210" s="797">
        <f>0.5*[1]ID!$L$58</f>
        <v>0.05</v>
      </c>
      <c r="I210" s="784">
        <f>C210-F210</f>
        <v>-5.0000159999896709E-5</v>
      </c>
      <c r="J210" s="788">
        <f>(I210/C210)*100</f>
        <v>-5.0000159999896709E-4</v>
      </c>
      <c r="K210" s="798">
        <f t="shared" ref="K210:K215" si="121">F210-C210</f>
        <v>5.0000159999896709E-5</v>
      </c>
      <c r="L210" s="790">
        <f>(F210-C210)/C210*100</f>
        <v>5.0000159999896709E-4</v>
      </c>
      <c r="M210" s="791">
        <f>SCOPE!O202</f>
        <v>1.0000000000000001E-5</v>
      </c>
      <c r="N210" s="799"/>
    </row>
    <row r="211" spans="3:18">
      <c r="C211" s="784">
        <f>ID!C43</f>
        <v>20</v>
      </c>
      <c r="D211" s="784">
        <f>ID!J43</f>
        <v>20.000080000320001</v>
      </c>
      <c r="E211" s="796">
        <f>SCOPE!M203</f>
        <v>1.0000000000000001E-5</v>
      </c>
      <c r="F211" s="784">
        <f t="shared" si="120"/>
        <v>20.00009000032</v>
      </c>
      <c r="G211" s="787">
        <f>[1]ID!L63</f>
        <v>0</v>
      </c>
      <c r="H211" s="797">
        <f>0.5*[1]ID!$L$58</f>
        <v>0.05</v>
      </c>
      <c r="I211" s="784">
        <f>C211-F211</f>
        <v>-9.0000320000171996E-5</v>
      </c>
      <c r="J211" s="788">
        <f>(I211/C211)*100</f>
        <v>-4.5000160000085998E-4</v>
      </c>
      <c r="K211" s="798">
        <f t="shared" si="121"/>
        <v>9.0000320000171996E-5</v>
      </c>
      <c r="L211" s="790">
        <f>(F211-C211)/C211*100</f>
        <v>4.5000160000085998E-4</v>
      </c>
      <c r="M211" s="791">
        <f>SCOPE!O203</f>
        <v>1.0000000000000001E-5</v>
      </c>
      <c r="N211" s="800"/>
    </row>
    <row r="212" spans="3:18">
      <c r="C212" s="784">
        <f>ID!C44</f>
        <v>30</v>
      </c>
      <c r="D212" s="784">
        <f>ID!J44</f>
        <v>30.000120000479999</v>
      </c>
      <c r="E212" s="796">
        <f>SCOPE!M204</f>
        <v>1.0000000000000001E-5</v>
      </c>
      <c r="F212" s="784">
        <f t="shared" si="120"/>
        <v>30.000130000479999</v>
      </c>
      <c r="G212" s="787">
        <f>[1]ID!L64</f>
        <v>0</v>
      </c>
      <c r="H212" s="797">
        <f>0.5*[1]ID!$L$58</f>
        <v>0.05</v>
      </c>
      <c r="I212" s="784">
        <f>C212-F212</f>
        <v>-1.3000047999867093E-4</v>
      </c>
      <c r="J212" s="788">
        <f>(I212/C212)*100</f>
        <v>-4.333349333289031E-4</v>
      </c>
      <c r="K212" s="798">
        <f t="shared" si="121"/>
        <v>1.3000047999867093E-4</v>
      </c>
      <c r="L212" s="790">
        <f>(F212-C212)/C212*100</f>
        <v>4.333349333289031E-4</v>
      </c>
      <c r="M212" s="791">
        <f>SCOPE!O204</f>
        <v>1.0000000000000001E-5</v>
      </c>
      <c r="N212" s="799"/>
    </row>
    <row r="213" spans="3:18">
      <c r="C213" s="784">
        <f>ID!C45</f>
        <v>40</v>
      </c>
      <c r="D213" s="784">
        <f>ID!J45</f>
        <v>40.000160000640001</v>
      </c>
      <c r="E213" s="796">
        <f>SCOPE!M205</f>
        <v>1.0000000000000001E-5</v>
      </c>
      <c r="F213" s="784">
        <f t="shared" si="120"/>
        <v>40.000170000640004</v>
      </c>
      <c r="G213" s="787">
        <f>[1]ID!L65</f>
        <v>0</v>
      </c>
      <c r="H213" s="797">
        <f>0.5*[1]ID!$L$58</f>
        <v>0.05</v>
      </c>
      <c r="I213" s="784">
        <f>C213-F213</f>
        <v>-1.7000064000427528E-4</v>
      </c>
      <c r="J213" s="788">
        <f>(I213/C213)*100</f>
        <v>-4.2500160001068826E-4</v>
      </c>
      <c r="K213" s="798">
        <f t="shared" si="121"/>
        <v>1.7000064000427528E-4</v>
      </c>
      <c r="L213" s="790">
        <f>(F213-C213)/C213*100</f>
        <v>4.2500160001068826E-4</v>
      </c>
      <c r="M213" s="791">
        <f>SCOPE!O205</f>
        <v>1.0000000000000001E-5</v>
      </c>
      <c r="N213" s="799"/>
    </row>
    <row r="214" spans="3:18">
      <c r="C214" s="784">
        <f>ID!C46</f>
        <v>50</v>
      </c>
      <c r="D214" s="784">
        <f>ID!J46</f>
        <v>50.000200000800014</v>
      </c>
      <c r="E214" s="796">
        <f>SCOPE!M206</f>
        <v>1.0000000000000001E-5</v>
      </c>
      <c r="F214" s="784">
        <f t="shared" si="120"/>
        <v>50.000210000800017</v>
      </c>
      <c r="G214" s="787">
        <f>[1]ID!L66</f>
        <v>0</v>
      </c>
      <c r="H214" s="797">
        <f>0.5*[1]ID!$L$58</f>
        <v>0.05</v>
      </c>
      <c r="I214" s="784">
        <f>C214-F214</f>
        <v>-2.1000080001698507E-4</v>
      </c>
      <c r="J214" s="788">
        <f>(I214/C214)*100</f>
        <v>-4.2000160003397019E-4</v>
      </c>
      <c r="K214" s="798">
        <f t="shared" si="121"/>
        <v>2.1000080001698507E-4</v>
      </c>
      <c r="L214" s="790">
        <f>(F214-C214)/C214*100</f>
        <v>4.2000160003397019E-4</v>
      </c>
      <c r="M214" s="791">
        <f>SCOPE!O206</f>
        <v>1.0000000000000001E-5</v>
      </c>
      <c r="N214" s="800"/>
    </row>
    <row r="215" spans="3:18">
      <c r="C215" s="788">
        <v>60</v>
      </c>
      <c r="D215" s="784">
        <f>ID!J47</f>
        <v>60</v>
      </c>
      <c r="E215" s="795">
        <f>SCOPE!M206</f>
        <v>1.0000000000000001E-5</v>
      </c>
      <c r="F215" s="788">
        <f t="shared" si="120"/>
        <v>60.000010000000003</v>
      </c>
      <c r="G215" s="787">
        <f>ID!L57</f>
        <v>0</v>
      </c>
      <c r="H215" s="785">
        <f t="shared" ref="H215" si="122">0.5*0.1</f>
        <v>0.05</v>
      </c>
      <c r="I215" s="784">
        <f t="shared" ref="I215" si="123">C215-F215</f>
        <v>-1.0000000003174137E-5</v>
      </c>
      <c r="J215" s="788">
        <f t="shared" ref="J215" si="124">(I215/C215)*100</f>
        <v>-1.6666666671956893E-5</v>
      </c>
      <c r="K215" s="798">
        <f t="shared" si="121"/>
        <v>1.0000000003174137E-5</v>
      </c>
      <c r="L215" s="790">
        <f t="shared" ref="L215" si="125">(F215-C215)/C215*100</f>
        <v>1.6666666671956893E-5</v>
      </c>
      <c r="M215" s="791">
        <f>SCOPE!O206</f>
        <v>1.0000000000000001E-5</v>
      </c>
      <c r="N215" s="793"/>
    </row>
    <row r="218" spans="3:18">
      <c r="C218" s="376"/>
      <c r="D218" s="376"/>
      <c r="E218" s="376"/>
      <c r="F218" s="376"/>
      <c r="G218" s="376"/>
      <c r="H218" s="376"/>
      <c r="I218" s="376"/>
      <c r="J218" s="376"/>
      <c r="K218" s="376"/>
      <c r="L218" s="376"/>
      <c r="M218" s="376"/>
      <c r="N218" s="376"/>
      <c r="O218" s="376"/>
      <c r="P218" s="376"/>
      <c r="Q218" s="376"/>
      <c r="R218" s="376"/>
    </row>
    <row r="219" spans="3:18">
      <c r="C219" s="376"/>
      <c r="D219" s="376"/>
      <c r="E219" s="376"/>
      <c r="F219" s="376"/>
      <c r="G219" s="376"/>
      <c r="H219" s="376"/>
      <c r="I219" s="376"/>
      <c r="J219" s="376"/>
      <c r="K219" s="376"/>
      <c r="L219" s="376"/>
      <c r="M219" s="376"/>
      <c r="N219" s="376"/>
      <c r="O219" s="376"/>
      <c r="P219" s="376"/>
      <c r="Q219" s="376"/>
      <c r="R219" s="376"/>
    </row>
    <row r="220" spans="3:18">
      <c r="C220" s="376"/>
      <c r="D220" s="376"/>
      <c r="E220" s="376"/>
      <c r="F220" s="376"/>
      <c r="G220" s="376"/>
      <c r="H220" s="376"/>
      <c r="I220" s="376"/>
      <c r="J220" s="376"/>
      <c r="K220" s="376"/>
      <c r="L220" s="376"/>
      <c r="M220" s="376"/>
      <c r="N220" s="376"/>
      <c r="O220" s="376"/>
      <c r="P220" s="376"/>
      <c r="Q220" s="376"/>
      <c r="R220" s="376"/>
    </row>
    <row r="221" spans="3:18">
      <c r="C221" s="376"/>
      <c r="D221" s="376"/>
      <c r="E221" s="376"/>
      <c r="F221" s="376"/>
      <c r="G221" s="376"/>
      <c r="H221" s="376"/>
      <c r="I221" s="376"/>
      <c r="J221" s="376"/>
      <c r="K221" s="376"/>
      <c r="L221" s="376"/>
      <c r="M221" s="376"/>
      <c r="N221" s="376"/>
      <c r="O221" s="376"/>
      <c r="P221" s="376"/>
      <c r="Q221" s="376"/>
      <c r="R221" s="376"/>
    </row>
    <row r="222" spans="3:18">
      <c r="C222" s="376"/>
      <c r="D222" s="376"/>
      <c r="E222" s="376"/>
      <c r="F222" s="376"/>
      <c r="G222" s="376"/>
      <c r="H222" s="376"/>
      <c r="I222" s="376"/>
      <c r="J222" s="376"/>
      <c r="K222" s="376"/>
      <c r="L222" s="376"/>
      <c r="M222" s="376"/>
      <c r="N222" s="376"/>
      <c r="O222" s="376"/>
      <c r="P222" s="376"/>
      <c r="Q222" s="376"/>
      <c r="R222" s="376"/>
    </row>
    <row r="223" spans="3:18">
      <c r="C223" s="376"/>
      <c r="D223" s="376"/>
      <c r="E223" s="376"/>
      <c r="F223" s="376"/>
      <c r="G223" s="376"/>
      <c r="H223" s="376"/>
      <c r="I223" s="376"/>
      <c r="J223" s="376"/>
      <c r="K223" s="376"/>
      <c r="L223" s="376"/>
      <c r="M223" s="376"/>
      <c r="N223" s="376"/>
      <c r="O223" s="376"/>
      <c r="P223" s="376"/>
      <c r="Q223" s="376"/>
      <c r="R223" s="376"/>
    </row>
    <row r="224" spans="3:18">
      <c r="C224" s="376"/>
      <c r="D224" s="376"/>
      <c r="E224" s="376"/>
      <c r="F224" s="376"/>
      <c r="G224" s="376"/>
      <c r="H224" s="376"/>
      <c r="I224" s="376"/>
      <c r="J224" s="376"/>
      <c r="K224" s="376"/>
      <c r="L224" s="376"/>
      <c r="M224" s="376"/>
      <c r="N224" s="376"/>
      <c r="O224" s="376"/>
      <c r="P224" s="376"/>
      <c r="Q224" s="376"/>
      <c r="R224" s="376"/>
    </row>
    <row r="225" spans="3:18">
      <c r="C225" s="376"/>
      <c r="D225" s="376"/>
      <c r="E225" s="376"/>
      <c r="F225" s="376"/>
      <c r="G225" s="376"/>
      <c r="H225" s="376"/>
      <c r="I225" s="376"/>
      <c r="J225" s="376"/>
      <c r="K225" s="376"/>
      <c r="L225" s="376"/>
      <c r="M225" s="376"/>
      <c r="N225" s="376"/>
      <c r="O225" s="376"/>
      <c r="P225" s="376"/>
      <c r="Q225" s="376"/>
      <c r="R225" s="376"/>
    </row>
    <row r="226" spans="3:18">
      <c r="C226" s="376"/>
      <c r="D226" s="376"/>
      <c r="E226" s="376"/>
      <c r="F226" s="376"/>
      <c r="G226" s="376"/>
      <c r="H226" s="376"/>
      <c r="I226" s="376"/>
      <c r="J226" s="376"/>
      <c r="K226" s="376"/>
      <c r="L226" s="376"/>
      <c r="M226" s="376"/>
      <c r="N226" s="376"/>
      <c r="O226" s="376"/>
      <c r="P226" s="376"/>
      <c r="Q226" s="376"/>
      <c r="R226" s="376"/>
    </row>
    <row r="227" spans="3:18">
      <c r="C227" s="376"/>
      <c r="D227" s="376"/>
      <c r="E227" s="376"/>
      <c r="F227" s="376"/>
      <c r="G227" s="376"/>
      <c r="H227" s="376"/>
      <c r="I227" s="376"/>
      <c r="J227" s="376"/>
      <c r="K227" s="376"/>
      <c r="L227" s="376"/>
      <c r="M227" s="376"/>
      <c r="N227" s="376"/>
      <c r="O227" s="376"/>
      <c r="P227" s="376"/>
      <c r="Q227" s="376"/>
      <c r="R227" s="376"/>
    </row>
    <row r="228" spans="3:18">
      <c r="C228" s="376"/>
      <c r="D228" s="376"/>
      <c r="E228" s="376"/>
      <c r="F228" s="376"/>
      <c r="G228" s="376"/>
      <c r="H228" s="376"/>
      <c r="I228" s="376"/>
      <c r="J228" s="376"/>
      <c r="K228" s="376"/>
      <c r="L228" s="376"/>
      <c r="M228" s="376"/>
      <c r="N228" s="376"/>
      <c r="O228" s="376"/>
      <c r="P228" s="376"/>
      <c r="Q228" s="376"/>
      <c r="R228" s="376"/>
    </row>
    <row r="229" spans="3:18">
      <c r="C229" s="376"/>
      <c r="D229" s="376"/>
      <c r="E229" s="376"/>
      <c r="F229" s="376"/>
      <c r="G229" s="376"/>
      <c r="H229" s="376"/>
      <c r="I229" s="376"/>
      <c r="J229" s="376"/>
      <c r="K229" s="376"/>
      <c r="L229" s="376"/>
      <c r="M229" s="376"/>
      <c r="N229" s="376"/>
      <c r="O229" s="376"/>
      <c r="P229" s="376"/>
      <c r="Q229" s="376"/>
      <c r="R229" s="376"/>
    </row>
    <row r="230" spans="3:18">
      <c r="C230" s="376"/>
      <c r="D230" s="376"/>
      <c r="E230" s="376"/>
      <c r="F230" s="376"/>
      <c r="G230" s="376"/>
      <c r="H230" s="376"/>
      <c r="I230" s="376"/>
      <c r="J230" s="376"/>
      <c r="K230" s="376"/>
      <c r="L230" s="376"/>
      <c r="M230" s="376"/>
      <c r="N230" s="376"/>
      <c r="O230" s="376"/>
      <c r="P230" s="376"/>
      <c r="Q230" s="376"/>
      <c r="R230" s="376"/>
    </row>
    <row r="231" spans="3:18">
      <c r="C231" s="376"/>
      <c r="D231" s="376"/>
      <c r="E231" s="376"/>
      <c r="F231" s="376"/>
      <c r="G231" s="376"/>
      <c r="H231" s="376"/>
      <c r="I231" s="376"/>
      <c r="J231" s="376"/>
      <c r="K231" s="376"/>
      <c r="L231" s="376"/>
      <c r="M231" s="376"/>
      <c r="N231" s="376"/>
      <c r="O231" s="376"/>
      <c r="P231" s="376"/>
      <c r="Q231" s="376"/>
      <c r="R231" s="376"/>
    </row>
    <row r="232" spans="3:18">
      <c r="C232" s="376"/>
      <c r="D232" s="376"/>
      <c r="E232" s="376"/>
      <c r="F232" s="376"/>
      <c r="G232" s="376"/>
      <c r="H232" s="376"/>
      <c r="I232" s="376"/>
      <c r="J232" s="376"/>
      <c r="K232" s="376"/>
      <c r="L232" s="376"/>
      <c r="M232" s="376"/>
      <c r="N232" s="376"/>
      <c r="O232" s="376"/>
      <c r="P232" s="376"/>
      <c r="Q232" s="376"/>
      <c r="R232" s="376"/>
    </row>
    <row r="233" spans="3:18">
      <c r="C233" s="376"/>
      <c r="D233" s="376"/>
      <c r="E233" s="376"/>
      <c r="F233" s="376"/>
      <c r="G233" s="376"/>
      <c r="H233" s="376"/>
      <c r="I233" s="376"/>
      <c r="J233" s="376"/>
      <c r="K233" s="376"/>
      <c r="L233" s="376"/>
      <c r="M233" s="376"/>
      <c r="N233" s="376"/>
      <c r="O233" s="376"/>
      <c r="P233" s="376"/>
      <c r="Q233" s="376"/>
      <c r="R233" s="376"/>
    </row>
  </sheetData>
  <mergeCells count="179">
    <mergeCell ref="A195:B196"/>
    <mergeCell ref="L199:L201"/>
    <mergeCell ref="M199:M201"/>
    <mergeCell ref="N199:N201"/>
    <mergeCell ref="O199:O201"/>
    <mergeCell ref="P199:P201"/>
    <mergeCell ref="Y174:AJ174"/>
    <mergeCell ref="L178:L180"/>
    <mergeCell ref="M178:M180"/>
    <mergeCell ref="N178:N180"/>
    <mergeCell ref="O178:O180"/>
    <mergeCell ref="P178:P180"/>
    <mergeCell ref="R179:R181"/>
    <mergeCell ref="B151:B184"/>
    <mergeCell ref="C151:H151"/>
    <mergeCell ref="C152:F152"/>
    <mergeCell ref="D153:F153"/>
    <mergeCell ref="U161:W161"/>
    <mergeCell ref="Y161:AJ161"/>
    <mergeCell ref="C163:F163"/>
    <mergeCell ref="D164:F164"/>
    <mergeCell ref="C173:F173"/>
    <mergeCell ref="D174:F174"/>
    <mergeCell ref="X122:X124"/>
    <mergeCell ref="D123:F123"/>
    <mergeCell ref="L123:N123"/>
    <mergeCell ref="T123:V123"/>
    <mergeCell ref="C132:F132"/>
    <mergeCell ref="G132:G134"/>
    <mergeCell ref="H132:H134"/>
    <mergeCell ref="K132:N132"/>
    <mergeCell ref="O132:O134"/>
    <mergeCell ref="G122:G124"/>
    <mergeCell ref="H122:H124"/>
    <mergeCell ref="K122:N122"/>
    <mergeCell ref="O122:O124"/>
    <mergeCell ref="P122:P124"/>
    <mergeCell ref="S122:V122"/>
    <mergeCell ref="S111:V111"/>
    <mergeCell ref="W111:W113"/>
    <mergeCell ref="X111:X113"/>
    <mergeCell ref="D112:F112"/>
    <mergeCell ref="L112:N112"/>
    <mergeCell ref="T112:V112"/>
    <mergeCell ref="B110:B143"/>
    <mergeCell ref="J110:J143"/>
    <mergeCell ref="R110:R143"/>
    <mergeCell ref="C111:F111"/>
    <mergeCell ref="G111:G113"/>
    <mergeCell ref="H111:H113"/>
    <mergeCell ref="K111:N111"/>
    <mergeCell ref="O111:O113"/>
    <mergeCell ref="P111:P113"/>
    <mergeCell ref="C122:F122"/>
    <mergeCell ref="P132:P134"/>
    <mergeCell ref="S132:V132"/>
    <mergeCell ref="W132:W134"/>
    <mergeCell ref="X132:X134"/>
    <mergeCell ref="D133:F133"/>
    <mergeCell ref="L133:N133"/>
    <mergeCell ref="T133:V133"/>
    <mergeCell ref="W122:W124"/>
    <mergeCell ref="X86:X88"/>
    <mergeCell ref="D87:F87"/>
    <mergeCell ref="L87:N87"/>
    <mergeCell ref="T87:V87"/>
    <mergeCell ref="C96:F96"/>
    <mergeCell ref="G96:G98"/>
    <mergeCell ref="H96:H98"/>
    <mergeCell ref="K96:N96"/>
    <mergeCell ref="O96:O98"/>
    <mergeCell ref="G86:G88"/>
    <mergeCell ref="H86:H88"/>
    <mergeCell ref="K86:N86"/>
    <mergeCell ref="O86:O88"/>
    <mergeCell ref="P86:P88"/>
    <mergeCell ref="S86:V86"/>
    <mergeCell ref="S75:V75"/>
    <mergeCell ref="W75:W77"/>
    <mergeCell ref="X75:X77"/>
    <mergeCell ref="D76:F76"/>
    <mergeCell ref="L76:N76"/>
    <mergeCell ref="T76:V76"/>
    <mergeCell ref="B74:B107"/>
    <mergeCell ref="J74:J107"/>
    <mergeCell ref="R74:R107"/>
    <mergeCell ref="C75:F75"/>
    <mergeCell ref="G75:G77"/>
    <mergeCell ref="H75:H77"/>
    <mergeCell ref="K75:N75"/>
    <mergeCell ref="O75:O77"/>
    <mergeCell ref="P75:P77"/>
    <mergeCell ref="C86:F86"/>
    <mergeCell ref="P96:P98"/>
    <mergeCell ref="S96:V96"/>
    <mergeCell ref="W96:W98"/>
    <mergeCell ref="X96:X98"/>
    <mergeCell ref="D97:F97"/>
    <mergeCell ref="L97:N97"/>
    <mergeCell ref="T97:V97"/>
    <mergeCell ref="W86:W88"/>
    <mergeCell ref="X50:X52"/>
    <mergeCell ref="D51:F51"/>
    <mergeCell ref="L51:N51"/>
    <mergeCell ref="T51:V51"/>
    <mergeCell ref="C60:F60"/>
    <mergeCell ref="G60:G62"/>
    <mergeCell ref="H60:H62"/>
    <mergeCell ref="K60:N60"/>
    <mergeCell ref="O60:O62"/>
    <mergeCell ref="G50:G52"/>
    <mergeCell ref="H50:H52"/>
    <mergeCell ref="K50:N50"/>
    <mergeCell ref="O50:O52"/>
    <mergeCell ref="P50:P52"/>
    <mergeCell ref="S50:V50"/>
    <mergeCell ref="S39:V39"/>
    <mergeCell ref="W39:W41"/>
    <mergeCell ref="X39:X41"/>
    <mergeCell ref="D40:F40"/>
    <mergeCell ref="L40:N40"/>
    <mergeCell ref="T40:V40"/>
    <mergeCell ref="B38:B71"/>
    <mergeCell ref="J38:J71"/>
    <mergeCell ref="R38:R71"/>
    <mergeCell ref="C39:F39"/>
    <mergeCell ref="G39:G41"/>
    <mergeCell ref="H39:H41"/>
    <mergeCell ref="K39:N39"/>
    <mergeCell ref="O39:O41"/>
    <mergeCell ref="P39:P41"/>
    <mergeCell ref="C50:F50"/>
    <mergeCell ref="P60:P62"/>
    <mergeCell ref="S60:V60"/>
    <mergeCell ref="W60:W62"/>
    <mergeCell ref="X60:X62"/>
    <mergeCell ref="D61:F61"/>
    <mergeCell ref="L61:N61"/>
    <mergeCell ref="T61:V61"/>
    <mergeCell ref="W50:W52"/>
    <mergeCell ref="X14:X16"/>
    <mergeCell ref="D15:F15"/>
    <mergeCell ref="L15:N15"/>
    <mergeCell ref="T15:V15"/>
    <mergeCell ref="C24:F24"/>
    <mergeCell ref="G24:G26"/>
    <mergeCell ref="H24:H26"/>
    <mergeCell ref="K24:N24"/>
    <mergeCell ref="O24:O26"/>
    <mergeCell ref="G14:G16"/>
    <mergeCell ref="H14:H16"/>
    <mergeCell ref="K14:N14"/>
    <mergeCell ref="O14:O16"/>
    <mergeCell ref="P14:P16"/>
    <mergeCell ref="S14:V14"/>
    <mergeCell ref="S3:V3"/>
    <mergeCell ref="W3:W5"/>
    <mergeCell ref="X3:X5"/>
    <mergeCell ref="D4:F4"/>
    <mergeCell ref="L4:N4"/>
    <mergeCell ref="T4:V4"/>
    <mergeCell ref="B2:B35"/>
    <mergeCell ref="J2:J35"/>
    <mergeCell ref="R2:R35"/>
    <mergeCell ref="C3:F3"/>
    <mergeCell ref="G3:G5"/>
    <mergeCell ref="H3:H5"/>
    <mergeCell ref="K3:N3"/>
    <mergeCell ref="O3:O5"/>
    <mergeCell ref="P3:P5"/>
    <mergeCell ref="C14:F14"/>
    <mergeCell ref="P24:P26"/>
    <mergeCell ref="S24:V24"/>
    <mergeCell ref="W24:W26"/>
    <mergeCell ref="X24:X26"/>
    <mergeCell ref="D25:F25"/>
    <mergeCell ref="L25:N25"/>
    <mergeCell ref="T25:V25"/>
    <mergeCell ref="W14:W16"/>
  </mergeCells>
  <dataValidations count="1">
    <dataValidation type="list" allowBlank="1" showInputMessage="1" showErrorMessage="1" sqref="M161" xr:uid="{DA99BEFB-00D4-49A5-873C-AAF8FADFA9B4}">
      <formula1>$L$162:$L$167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0F1C7-6D1E-40B0-8CA1-789F197EF72F}">
  <sheetPr>
    <tabColor theme="6" tint="0.39997558519241921"/>
  </sheetPr>
  <dimension ref="A1:AF250"/>
  <sheetViews>
    <sheetView view="pageBreakPreview" topLeftCell="A217" zoomScale="90" zoomScaleNormal="100" zoomScaleSheetLayoutView="90" workbookViewId="0">
      <selection activeCell="A231" sqref="A231"/>
    </sheetView>
  </sheetViews>
  <sheetFormatPr defaultColWidth="9.21875" defaultRowHeight="13.2"/>
  <cols>
    <col min="1" max="1" width="11.77734375" style="265" customWidth="1"/>
    <col min="2" max="2" width="9.21875" style="265" customWidth="1"/>
    <col min="3" max="3" width="9.21875" style="265"/>
    <col min="4" max="4" width="11" style="265" customWidth="1"/>
    <col min="5" max="5" width="10.21875" style="265" customWidth="1"/>
    <col min="6" max="6" width="9.21875" style="265" customWidth="1"/>
    <col min="7" max="7" width="10.21875" style="265" customWidth="1"/>
    <col min="8" max="8" width="11.21875" style="265" customWidth="1"/>
    <col min="9" max="9" width="9.21875" style="265" customWidth="1"/>
    <col min="10" max="10" width="9.21875" style="265"/>
    <col min="11" max="11" width="10.5546875" style="265" customWidth="1"/>
    <col min="12" max="13" width="10.21875" style="265" customWidth="1"/>
    <col min="14" max="14" width="10.5546875" style="265" customWidth="1"/>
    <col min="15" max="15" width="12.21875" style="265" customWidth="1"/>
    <col min="16" max="16" width="9.21875" style="265" customWidth="1"/>
    <col min="17" max="16384" width="9.21875" style="265"/>
  </cols>
  <sheetData>
    <row r="1" spans="1:32" ht="15.6">
      <c r="A1" s="1425" t="s">
        <v>269</v>
      </c>
      <c r="B1" s="1426"/>
      <c r="C1" s="1426"/>
      <c r="D1" s="1426"/>
      <c r="E1" s="1426"/>
      <c r="F1" s="1426"/>
      <c r="G1" s="1426"/>
      <c r="H1" s="1426"/>
      <c r="I1" s="1426"/>
      <c r="J1" s="1426"/>
      <c r="K1" s="1426"/>
      <c r="L1" s="1426"/>
      <c r="M1" s="1426"/>
      <c r="N1" s="1426"/>
      <c r="O1" s="1426"/>
      <c r="P1" s="1426"/>
      <c r="Q1" s="1426"/>
      <c r="R1" s="1426"/>
      <c r="S1" s="1426"/>
      <c r="T1" s="1427"/>
      <c r="U1" s="520"/>
      <c r="V1" s="521"/>
      <c r="W1" s="521"/>
      <c r="X1" s="521"/>
      <c r="Y1" s="521"/>
      <c r="Z1" s="521"/>
      <c r="AA1" s="521"/>
      <c r="AB1" s="521"/>
      <c r="AC1" s="521"/>
      <c r="AD1" s="521"/>
      <c r="AE1" s="521"/>
      <c r="AF1" s="521"/>
    </row>
    <row r="2" spans="1:32" ht="15.75" customHeight="1">
      <c r="A2" s="1428" t="s">
        <v>270</v>
      </c>
      <c r="B2" s="1429"/>
      <c r="C2" s="1430"/>
      <c r="D2" s="1430"/>
      <c r="E2" s="1431" t="s">
        <v>182</v>
      </c>
      <c r="F2" s="1432" t="s">
        <v>271</v>
      </c>
      <c r="G2" s="522"/>
      <c r="H2" s="1430" t="s">
        <v>272</v>
      </c>
      <c r="I2" s="1430"/>
      <c r="J2" s="1430"/>
      <c r="K2" s="1430"/>
      <c r="L2" s="1431" t="s">
        <v>182</v>
      </c>
      <c r="M2" s="1432" t="str">
        <f>F2</f>
        <v>U95 STD</v>
      </c>
      <c r="N2" s="523"/>
      <c r="O2" s="1430" t="s">
        <v>273</v>
      </c>
      <c r="P2" s="1430"/>
      <c r="Q2" s="1430"/>
      <c r="R2" s="1430"/>
      <c r="S2" s="1431" t="s">
        <v>182</v>
      </c>
      <c r="T2" s="1433" t="str">
        <f>M2</f>
        <v>U95 STD</v>
      </c>
      <c r="V2" s="524"/>
      <c r="W2" s="524"/>
      <c r="X2" s="524"/>
      <c r="Y2" s="525"/>
      <c r="Z2" s="526"/>
      <c r="AA2" s="527"/>
      <c r="AB2" s="528"/>
      <c r="AC2" s="528"/>
      <c r="AD2" s="528"/>
      <c r="AE2" s="525"/>
      <c r="AF2" s="526"/>
    </row>
    <row r="3" spans="1:32" ht="12.75" customHeight="1">
      <c r="A3" s="529" t="s">
        <v>274</v>
      </c>
      <c r="B3" s="1414" t="s">
        <v>185</v>
      </c>
      <c r="C3" s="1415"/>
      <c r="D3" s="1416"/>
      <c r="E3" s="1431"/>
      <c r="F3" s="1432"/>
      <c r="G3" s="530"/>
      <c r="H3" s="531" t="str">
        <f>A3</f>
        <v>Timer</v>
      </c>
      <c r="I3" s="1414" t="s">
        <v>185</v>
      </c>
      <c r="J3" s="1415"/>
      <c r="K3" s="1416"/>
      <c r="L3" s="1431"/>
      <c r="M3" s="1432"/>
      <c r="N3" s="523"/>
      <c r="O3" s="531" t="str">
        <f>H3</f>
        <v>Timer</v>
      </c>
      <c r="P3" s="1414" t="s">
        <v>185</v>
      </c>
      <c r="Q3" s="1415"/>
      <c r="R3" s="1416"/>
      <c r="S3" s="1431"/>
      <c r="T3" s="1433"/>
      <c r="V3" s="532"/>
      <c r="W3" s="525"/>
      <c r="X3" s="525"/>
      <c r="Y3" s="525"/>
      <c r="Z3" s="526"/>
      <c r="AA3" s="527"/>
      <c r="AB3" s="532"/>
      <c r="AC3" s="525"/>
      <c r="AD3" s="525"/>
      <c r="AE3" s="525"/>
      <c r="AF3" s="526"/>
    </row>
    <row r="4" spans="1:32" ht="12.75" customHeight="1">
      <c r="A4" s="533" t="s">
        <v>174</v>
      </c>
      <c r="B4" s="534">
        <v>2023</v>
      </c>
      <c r="C4" s="534">
        <v>2022</v>
      </c>
      <c r="D4" s="535">
        <v>2021</v>
      </c>
      <c r="E4" s="1431"/>
      <c r="F4" s="1432"/>
      <c r="G4" s="536" t="s">
        <v>46</v>
      </c>
      <c r="H4" s="537" t="str">
        <f>A4</f>
        <v>s</v>
      </c>
      <c r="I4" s="534">
        <v>2023</v>
      </c>
      <c r="J4" s="534">
        <v>2022</v>
      </c>
      <c r="K4" s="535">
        <v>2021</v>
      </c>
      <c r="L4" s="1431"/>
      <c r="M4" s="1432"/>
      <c r="N4" s="536" t="s">
        <v>46</v>
      </c>
      <c r="O4" s="537" t="str">
        <f>H4</f>
        <v>s</v>
      </c>
      <c r="P4" s="534">
        <v>2023</v>
      </c>
      <c r="Q4" s="534">
        <v>2022</v>
      </c>
      <c r="R4" s="535">
        <v>2019</v>
      </c>
      <c r="S4" s="1431"/>
      <c r="T4" s="1433"/>
      <c r="V4" s="538"/>
      <c r="W4" s="532"/>
      <c r="X4" s="539"/>
      <c r="Y4" s="525"/>
      <c r="Z4" s="526"/>
      <c r="AA4" s="527"/>
      <c r="AB4" s="538"/>
      <c r="AC4" s="532"/>
      <c r="AD4" s="532"/>
      <c r="AE4" s="525"/>
      <c r="AF4" s="526"/>
    </row>
    <row r="5" spans="1:32" ht="13.5" customHeight="1">
      <c r="A5" s="540">
        <v>0</v>
      </c>
      <c r="B5" s="541">
        <v>0</v>
      </c>
      <c r="C5" s="541">
        <v>0</v>
      </c>
      <c r="D5" s="542">
        <v>9.9999999999999995E-7</v>
      </c>
      <c r="E5" s="543">
        <f>IFERROR(IF(OR(C5="-",D5="-"),1/3*F5,0.5*(MAX(C5:D5)-MIN(C5:D5))),0)</f>
        <v>4.9999999999999998E-7</v>
      </c>
      <c r="F5" s="544">
        <v>0.12</v>
      </c>
      <c r="G5" s="536">
        <v>1</v>
      </c>
      <c r="H5" s="540">
        <v>0</v>
      </c>
      <c r="I5" s="545">
        <v>0</v>
      </c>
      <c r="J5" s="545">
        <v>0</v>
      </c>
      <c r="K5" s="546">
        <v>9.9999999999999995E-7</v>
      </c>
      <c r="L5" s="543">
        <f>IFERROR(IF(OR(J5="-",K5="-"),1/3*M5,0.5*(MAX(J5:K5)-MIN(J5:K5))),0)</f>
        <v>4.9999999999999998E-7</v>
      </c>
      <c r="M5" s="544">
        <v>0.121</v>
      </c>
      <c r="N5" s="536">
        <v>1</v>
      </c>
      <c r="O5" s="547">
        <v>0</v>
      </c>
      <c r="P5" s="545">
        <v>0</v>
      </c>
      <c r="Q5" s="545">
        <v>0</v>
      </c>
      <c r="R5" s="545">
        <v>0</v>
      </c>
      <c r="S5" s="543">
        <f>IFERROR(IF(OR(Q5="-",R5="-"),1/3*T5,0.5*(MAX(Q5:R5)-MIN(Q5:R5))),0)</f>
        <v>0</v>
      </c>
      <c r="T5" s="548">
        <v>0</v>
      </c>
      <c r="V5" s="549"/>
      <c r="W5" s="549"/>
      <c r="X5" s="550"/>
      <c r="Y5" s="551"/>
      <c r="Z5" s="552"/>
      <c r="AA5" s="527"/>
      <c r="AB5" s="549"/>
      <c r="AC5" s="549"/>
      <c r="AD5" s="552"/>
      <c r="AE5" s="551"/>
      <c r="AF5" s="552"/>
    </row>
    <row r="6" spans="1:32" ht="13.5" customHeight="1">
      <c r="A6" s="540">
        <v>10</v>
      </c>
      <c r="B6" s="541">
        <v>0.04</v>
      </c>
      <c r="C6" s="541">
        <v>0.01</v>
      </c>
      <c r="D6" s="542">
        <v>-1E-3</v>
      </c>
      <c r="E6" s="543">
        <f t="shared" ref="E6:E14" si="0">IFERROR(IF(OR(C6="-",D6="-"),1/3*F6,0.5*(MAX(C6:D6)-MIN(C6:D6))),0)</f>
        <v>5.4999999999999997E-3</v>
      </c>
      <c r="F6" s="544">
        <v>0.12</v>
      </c>
      <c r="G6" s="536">
        <v>2</v>
      </c>
      <c r="H6" s="540">
        <v>10</v>
      </c>
      <c r="I6" s="545">
        <v>2E-3</v>
      </c>
      <c r="J6" s="545">
        <v>0</v>
      </c>
      <c r="K6" s="553">
        <v>1E-3</v>
      </c>
      <c r="L6" s="543">
        <f t="shared" ref="L6:L15" si="1">IFERROR(IF(OR(J6="-",K6="-"),1/3*M6,0.5*(MAX(J6:K6)-MIN(J6:K6))),0)</f>
        <v>5.0000000000000001E-4</v>
      </c>
      <c r="M6" s="544">
        <v>0.121</v>
      </c>
      <c r="N6" s="536">
        <v>2</v>
      </c>
      <c r="O6" s="540">
        <v>10</v>
      </c>
      <c r="P6" s="545">
        <v>-2E-3</v>
      </c>
      <c r="Q6" s="545">
        <v>0</v>
      </c>
      <c r="R6" s="545" t="s">
        <v>196</v>
      </c>
      <c r="S6" s="543">
        <f t="shared" ref="S6:S15" si="2">IFERROR(IF(OR(Q6="-",R6="-"),1/3*T6,0.5*(MAX(Q6:R6)-MIN(Q6:R6))),0)</f>
        <v>3.9999999999999994E-2</v>
      </c>
      <c r="T6" s="548">
        <v>0.12</v>
      </c>
      <c r="V6" s="549"/>
      <c r="W6" s="549"/>
      <c r="X6" s="550"/>
      <c r="Y6" s="551"/>
      <c r="Z6" s="552"/>
      <c r="AA6" s="527"/>
      <c r="AB6" s="549"/>
      <c r="AC6" s="549"/>
      <c r="AD6" s="552"/>
      <c r="AE6" s="551"/>
      <c r="AF6" s="552"/>
    </row>
    <row r="7" spans="1:32" ht="13.5" customHeight="1">
      <c r="A7" s="540">
        <v>20</v>
      </c>
      <c r="B7" s="541" t="s">
        <v>196</v>
      </c>
      <c r="C7" s="541" t="s">
        <v>196</v>
      </c>
      <c r="D7" s="542">
        <v>-1E-3</v>
      </c>
      <c r="E7" s="543">
        <f t="shared" si="0"/>
        <v>3.9999999999999994E-2</v>
      </c>
      <c r="F7" s="544">
        <v>0.12</v>
      </c>
      <c r="G7" s="536">
        <v>3</v>
      </c>
      <c r="H7" s="540">
        <v>20</v>
      </c>
      <c r="I7" s="545" t="s">
        <v>196</v>
      </c>
      <c r="J7" s="545" t="s">
        <v>196</v>
      </c>
      <c r="K7" s="553">
        <v>1E-3</v>
      </c>
      <c r="L7" s="543">
        <f>IFERROR(IF(OR(J7="-",K7="-"),1/3*M7,0.5*(MAX(J7:K7)-MIN(J7:K7))),0)</f>
        <v>4.0333333333333332E-2</v>
      </c>
      <c r="M7" s="544">
        <v>0.121</v>
      </c>
      <c r="N7" s="536">
        <v>3</v>
      </c>
      <c r="O7" s="540">
        <v>20</v>
      </c>
      <c r="P7" s="545" t="s">
        <v>196</v>
      </c>
      <c r="Q7" s="545" t="s">
        <v>196</v>
      </c>
      <c r="R7" s="545" t="s">
        <v>196</v>
      </c>
      <c r="S7" s="543">
        <f t="shared" si="2"/>
        <v>3.9999999999999994E-2</v>
      </c>
      <c r="T7" s="548">
        <v>0.12</v>
      </c>
      <c r="V7" s="549"/>
      <c r="W7" s="549"/>
      <c r="X7" s="550"/>
      <c r="Y7" s="551"/>
      <c r="Z7" s="552"/>
      <c r="AA7" s="527"/>
      <c r="AB7" s="549"/>
      <c r="AC7" s="549"/>
      <c r="AD7" s="552"/>
      <c r="AE7" s="551"/>
      <c r="AF7" s="552"/>
    </row>
    <row r="8" spans="1:32" ht="13.5" customHeight="1">
      <c r="A8" s="540">
        <v>30</v>
      </c>
      <c r="B8" s="541">
        <v>0.03</v>
      </c>
      <c r="C8" s="541">
        <v>0</v>
      </c>
      <c r="D8" s="542">
        <v>-1E-3</v>
      </c>
      <c r="E8" s="543">
        <f t="shared" si="0"/>
        <v>5.0000000000000001E-4</v>
      </c>
      <c r="F8" s="544">
        <v>0.12</v>
      </c>
      <c r="G8" s="536">
        <v>4</v>
      </c>
      <c r="H8" s="540">
        <v>30</v>
      </c>
      <c r="I8" s="545">
        <v>2E-3</v>
      </c>
      <c r="J8" s="545">
        <v>0</v>
      </c>
      <c r="K8" s="553">
        <v>1E-3</v>
      </c>
      <c r="L8" s="543">
        <f t="shared" si="1"/>
        <v>5.0000000000000001E-4</v>
      </c>
      <c r="M8" s="544">
        <v>0.121</v>
      </c>
      <c r="N8" s="536">
        <v>4</v>
      </c>
      <c r="O8" s="540">
        <v>30</v>
      </c>
      <c r="P8" s="545">
        <v>-3.0000000000000001E-3</v>
      </c>
      <c r="Q8" s="545">
        <v>1E-3</v>
      </c>
      <c r="R8" s="545">
        <v>-5.0000000000000001E-3</v>
      </c>
      <c r="S8" s="543">
        <f>IFERROR(IF(OR(Q8="-",R8="-"),1/3*T8,0.5*(MAX(Q8:R8)-MIN(Q8:R8))),0)</f>
        <v>3.0000000000000001E-3</v>
      </c>
      <c r="T8" s="548">
        <v>0.12</v>
      </c>
      <c r="V8" s="549"/>
      <c r="W8" s="549"/>
      <c r="X8" s="550"/>
      <c r="Y8" s="551"/>
      <c r="Z8" s="552"/>
      <c r="AA8" s="527"/>
      <c r="AB8" s="549"/>
      <c r="AC8" s="549"/>
      <c r="AD8" s="552"/>
      <c r="AE8" s="551"/>
      <c r="AF8" s="552"/>
    </row>
    <row r="9" spans="1:32" ht="13.5" customHeight="1">
      <c r="A9" s="540">
        <v>40</v>
      </c>
      <c r="B9" s="541" t="s">
        <v>196</v>
      </c>
      <c r="C9" s="541" t="s">
        <v>196</v>
      </c>
      <c r="D9" s="542">
        <v>-1E-3</v>
      </c>
      <c r="E9" s="543">
        <f t="shared" si="0"/>
        <v>3.9999999999999994E-2</v>
      </c>
      <c r="F9" s="544">
        <v>0.12</v>
      </c>
      <c r="G9" s="536">
        <v>5</v>
      </c>
      <c r="H9" s="540">
        <v>40</v>
      </c>
      <c r="I9" s="545" t="s">
        <v>196</v>
      </c>
      <c r="J9" s="545" t="s">
        <v>196</v>
      </c>
      <c r="K9" s="553">
        <v>1E-3</v>
      </c>
      <c r="L9" s="543">
        <f t="shared" si="1"/>
        <v>4.0333333333333332E-2</v>
      </c>
      <c r="M9" s="544">
        <v>0.121</v>
      </c>
      <c r="N9" s="536">
        <v>5</v>
      </c>
      <c r="O9" s="540">
        <v>40</v>
      </c>
      <c r="P9" s="545" t="s">
        <v>196</v>
      </c>
      <c r="Q9" s="545" t="s">
        <v>196</v>
      </c>
      <c r="R9" s="545" t="s">
        <v>196</v>
      </c>
      <c r="S9" s="543">
        <f t="shared" si="2"/>
        <v>3.9999999999999994E-2</v>
      </c>
      <c r="T9" s="548">
        <v>0.12</v>
      </c>
      <c r="V9" s="549"/>
      <c r="W9" s="549"/>
      <c r="X9" s="550"/>
      <c r="Y9" s="551"/>
      <c r="Z9" s="552"/>
      <c r="AA9" s="527"/>
      <c r="AB9" s="549"/>
      <c r="AC9" s="549"/>
      <c r="AD9" s="552"/>
      <c r="AE9" s="551"/>
      <c r="AF9" s="552"/>
    </row>
    <row r="10" spans="1:32" ht="13.5" customHeight="1">
      <c r="A10" s="540">
        <v>50</v>
      </c>
      <c r="B10" s="541" t="s">
        <v>196</v>
      </c>
      <c r="C10" s="541" t="s">
        <v>196</v>
      </c>
      <c r="D10" s="542">
        <v>-1E-3</v>
      </c>
      <c r="E10" s="543">
        <f t="shared" si="0"/>
        <v>3.9999999999999994E-2</v>
      </c>
      <c r="F10" s="544">
        <v>0.12</v>
      </c>
      <c r="G10" s="536">
        <v>6</v>
      </c>
      <c r="H10" s="540">
        <v>50</v>
      </c>
      <c r="I10" s="545" t="s">
        <v>196</v>
      </c>
      <c r="J10" s="545" t="s">
        <v>196</v>
      </c>
      <c r="K10" s="553">
        <v>1E-3</v>
      </c>
      <c r="L10" s="543">
        <f t="shared" si="1"/>
        <v>4.0333333333333332E-2</v>
      </c>
      <c r="M10" s="544">
        <v>0.121</v>
      </c>
      <c r="N10" s="536">
        <v>6</v>
      </c>
      <c r="O10" s="540">
        <v>50</v>
      </c>
      <c r="P10" s="545" t="s">
        <v>196</v>
      </c>
      <c r="Q10" s="545" t="s">
        <v>196</v>
      </c>
      <c r="R10" s="545" t="s">
        <v>196</v>
      </c>
      <c r="S10" s="543">
        <f t="shared" si="2"/>
        <v>3.9999999999999994E-2</v>
      </c>
      <c r="T10" s="548">
        <v>0.12</v>
      </c>
      <c r="V10" s="549"/>
      <c r="W10" s="549"/>
      <c r="X10" s="550"/>
      <c r="Y10" s="551"/>
      <c r="Z10" s="552"/>
      <c r="AA10" s="527"/>
      <c r="AB10" s="549"/>
      <c r="AC10" s="549"/>
      <c r="AD10" s="552"/>
      <c r="AE10" s="551"/>
      <c r="AF10" s="552"/>
    </row>
    <row r="11" spans="1:32" ht="12.75" customHeight="1">
      <c r="A11" s="540">
        <v>60</v>
      </c>
      <c r="B11" s="541">
        <v>0.02</v>
      </c>
      <c r="C11" s="541">
        <v>0.01</v>
      </c>
      <c r="D11" s="547">
        <v>-6.0000000000000001E-3</v>
      </c>
      <c r="E11" s="543">
        <f>IFERROR(IF(OR(C11="-",D11="-"),1/3*F11,0.5*(MAX(C11:D11)-MIN(C11:D11))),0)</f>
        <v>8.0000000000000002E-3</v>
      </c>
      <c r="F11" s="544">
        <v>0.12</v>
      </c>
      <c r="G11" s="536">
        <v>7</v>
      </c>
      <c r="H11" s="540">
        <v>60</v>
      </c>
      <c r="I11" s="545">
        <v>0</v>
      </c>
      <c r="J11" s="545">
        <v>0</v>
      </c>
      <c r="K11" s="553">
        <v>3.0000000000000001E-3</v>
      </c>
      <c r="L11" s="543">
        <f t="shared" si="1"/>
        <v>1.5E-3</v>
      </c>
      <c r="M11" s="544">
        <v>0.121</v>
      </c>
      <c r="N11" s="536">
        <v>7</v>
      </c>
      <c r="O11" s="547">
        <v>60</v>
      </c>
      <c r="P11" s="545">
        <v>-2E-3</v>
      </c>
      <c r="Q11" s="545">
        <v>1E-3</v>
      </c>
      <c r="R11" s="545">
        <v>-2E-3</v>
      </c>
      <c r="S11" s="543">
        <f t="shared" si="2"/>
        <v>1.5E-3</v>
      </c>
      <c r="T11" s="548">
        <v>0.12</v>
      </c>
      <c r="V11" s="549"/>
      <c r="W11" s="549"/>
      <c r="X11" s="552"/>
      <c r="Y11" s="551"/>
      <c r="Z11" s="552"/>
      <c r="AA11" s="527"/>
      <c r="AB11" s="549"/>
      <c r="AC11" s="549"/>
      <c r="AD11" s="552"/>
      <c r="AE11" s="551"/>
      <c r="AF11" s="552"/>
    </row>
    <row r="12" spans="1:32" ht="12.75" customHeight="1">
      <c r="A12" s="540">
        <v>300</v>
      </c>
      <c r="B12" s="541">
        <v>0.02</v>
      </c>
      <c r="C12" s="541">
        <v>0.01</v>
      </c>
      <c r="D12" s="547">
        <v>-2E-3</v>
      </c>
      <c r="E12" s="543">
        <f t="shared" si="0"/>
        <v>6.0000000000000001E-3</v>
      </c>
      <c r="F12" s="544">
        <v>0.12</v>
      </c>
      <c r="G12" s="536">
        <v>8</v>
      </c>
      <c r="H12" s="540">
        <v>300</v>
      </c>
      <c r="I12" s="545">
        <v>4.0000000000000001E-3</v>
      </c>
      <c r="J12" s="545">
        <v>1E-3</v>
      </c>
      <c r="K12" s="553">
        <v>3.0000000000000001E-3</v>
      </c>
      <c r="L12" s="543">
        <f t="shared" si="1"/>
        <v>1E-3</v>
      </c>
      <c r="M12" s="544">
        <v>0.121</v>
      </c>
      <c r="N12" s="536">
        <v>8</v>
      </c>
      <c r="O12" s="547">
        <v>300</v>
      </c>
      <c r="P12" s="545">
        <v>-1E-3</v>
      </c>
      <c r="Q12" s="545">
        <v>1E-3</v>
      </c>
      <c r="R12" s="545">
        <v>1E-3</v>
      </c>
      <c r="S12" s="543">
        <f t="shared" si="2"/>
        <v>0</v>
      </c>
      <c r="T12" s="548">
        <v>0.12</v>
      </c>
      <c r="V12" s="549"/>
      <c r="W12" s="549"/>
      <c r="X12" s="552"/>
      <c r="Y12" s="551"/>
      <c r="Z12" s="552"/>
      <c r="AA12" s="527"/>
      <c r="AB12" s="549"/>
      <c r="AC12" s="549"/>
      <c r="AD12" s="552"/>
      <c r="AE12" s="551"/>
      <c r="AF12" s="552"/>
    </row>
    <row r="13" spans="1:32" ht="12.75" customHeight="1">
      <c r="A13" s="540">
        <v>600</v>
      </c>
      <c r="B13" s="541">
        <v>0.03</v>
      </c>
      <c r="C13" s="541">
        <v>0.01</v>
      </c>
      <c r="D13" s="542">
        <v>-8.0000000000000002E-3</v>
      </c>
      <c r="E13" s="543">
        <f t="shared" si="0"/>
        <v>9.0000000000000011E-3</v>
      </c>
      <c r="F13" s="544">
        <v>0.12</v>
      </c>
      <c r="G13" s="536">
        <v>9</v>
      </c>
      <c r="H13" s="540">
        <v>600</v>
      </c>
      <c r="I13" s="545">
        <v>2E-3</v>
      </c>
      <c r="J13" s="545">
        <v>1E-3</v>
      </c>
      <c r="K13" s="546">
        <v>4.0000000000000001E-3</v>
      </c>
      <c r="L13" s="543">
        <f t="shared" si="1"/>
        <v>1.5E-3</v>
      </c>
      <c r="M13" s="544">
        <v>0.121</v>
      </c>
      <c r="N13" s="536">
        <v>9</v>
      </c>
      <c r="O13" s="547">
        <v>600</v>
      </c>
      <c r="P13" s="545">
        <v>-1E-3</v>
      </c>
      <c r="Q13" s="545">
        <v>1E-3</v>
      </c>
      <c r="R13" s="545">
        <v>0</v>
      </c>
      <c r="S13" s="543">
        <f t="shared" si="2"/>
        <v>5.0000000000000001E-4</v>
      </c>
      <c r="T13" s="548">
        <v>0.12</v>
      </c>
      <c r="V13" s="549"/>
      <c r="W13" s="549"/>
      <c r="X13" s="550"/>
      <c r="Y13" s="551"/>
      <c r="Z13" s="552"/>
      <c r="AA13" s="527"/>
      <c r="AB13" s="549"/>
      <c r="AC13" s="549"/>
      <c r="AD13" s="550"/>
      <c r="AE13" s="551"/>
      <c r="AF13" s="552"/>
    </row>
    <row r="14" spans="1:32" ht="12.75" customHeight="1">
      <c r="A14" s="540">
        <v>900</v>
      </c>
      <c r="B14" s="541">
        <v>0.02</v>
      </c>
      <c r="C14" s="541">
        <v>0.01</v>
      </c>
      <c r="D14" s="542">
        <v>-8.0000000000000002E-3</v>
      </c>
      <c r="E14" s="543">
        <f t="shared" si="0"/>
        <v>9.0000000000000011E-3</v>
      </c>
      <c r="F14" s="544">
        <v>0.12</v>
      </c>
      <c r="G14" s="536">
        <v>10</v>
      </c>
      <c r="H14" s="540">
        <v>900</v>
      </c>
      <c r="I14" s="545">
        <v>1E-3</v>
      </c>
      <c r="J14" s="545">
        <v>0</v>
      </c>
      <c r="K14" s="553">
        <v>2E-3</v>
      </c>
      <c r="L14" s="543">
        <f t="shared" si="1"/>
        <v>1E-3</v>
      </c>
      <c r="M14" s="544">
        <v>0.121</v>
      </c>
      <c r="N14" s="536">
        <v>10</v>
      </c>
      <c r="O14" s="547">
        <v>900</v>
      </c>
      <c r="P14" s="545">
        <v>0</v>
      </c>
      <c r="Q14" s="545">
        <v>2E-3</v>
      </c>
      <c r="R14" s="545">
        <v>3.0000000000000001E-3</v>
      </c>
      <c r="S14" s="543">
        <f t="shared" si="2"/>
        <v>5.0000000000000001E-4</v>
      </c>
      <c r="T14" s="548">
        <v>0.12</v>
      </c>
      <c r="V14" s="549"/>
      <c r="W14" s="549"/>
      <c r="X14" s="550"/>
      <c r="Y14" s="551"/>
      <c r="Z14" s="552"/>
      <c r="AA14" s="527"/>
      <c r="AB14" s="549"/>
      <c r="AC14" s="549"/>
      <c r="AD14" s="550"/>
      <c r="AE14" s="551"/>
      <c r="AF14" s="552"/>
    </row>
    <row r="15" spans="1:32" ht="12.75" customHeight="1">
      <c r="A15" s="540">
        <v>1200</v>
      </c>
      <c r="B15" s="541" t="s">
        <v>196</v>
      </c>
      <c r="C15" s="541" t="s">
        <v>196</v>
      </c>
      <c r="D15" s="542">
        <v>-1.2999999999999999E-2</v>
      </c>
      <c r="E15" s="543">
        <f>IFERROR(IF(OR(C15="-",D15="-"),1/3*F15,0.5*(MAX(C15:D15)-MIN(C15:D15))),0)</f>
        <v>3.9999999999999994E-2</v>
      </c>
      <c r="F15" s="544">
        <v>0.12</v>
      </c>
      <c r="G15" s="536">
        <v>11</v>
      </c>
      <c r="H15" s="540">
        <v>1200</v>
      </c>
      <c r="I15" s="545" t="s">
        <v>196</v>
      </c>
      <c r="J15" s="545" t="s">
        <v>196</v>
      </c>
      <c r="K15" s="546">
        <v>9.9999999999999995E-7</v>
      </c>
      <c r="L15" s="543">
        <f t="shared" si="1"/>
        <v>4.0333333333333332E-2</v>
      </c>
      <c r="M15" s="544">
        <v>0.121</v>
      </c>
      <c r="N15" s="536">
        <v>11</v>
      </c>
      <c r="O15" s="547">
        <v>1200</v>
      </c>
      <c r="P15" s="545" t="s">
        <v>196</v>
      </c>
      <c r="Q15" s="545" t="s">
        <v>196</v>
      </c>
      <c r="R15" s="545">
        <v>4.0000000000000001E-3</v>
      </c>
      <c r="S15" s="543">
        <f t="shared" si="2"/>
        <v>3.9999999999999994E-2</v>
      </c>
      <c r="T15" s="548">
        <v>0.12</v>
      </c>
      <c r="V15" s="549"/>
      <c r="W15" s="549"/>
      <c r="X15" s="550"/>
      <c r="Y15" s="551"/>
      <c r="Z15" s="552"/>
      <c r="AA15" s="527"/>
      <c r="AB15" s="549"/>
      <c r="AC15" s="549"/>
      <c r="AD15" s="550"/>
      <c r="AE15" s="551"/>
      <c r="AF15" s="552"/>
    </row>
    <row r="16" spans="1:32" ht="12.75" customHeight="1">
      <c r="A16" s="1417"/>
      <c r="B16" s="1418"/>
      <c r="C16" s="1418"/>
      <c r="D16" s="1418"/>
      <c r="E16" s="1418"/>
      <c r="F16" s="1419"/>
      <c r="G16" s="530"/>
      <c r="H16" s="1420"/>
      <c r="I16" s="1421"/>
      <c r="J16" s="1421"/>
      <c r="K16" s="1421"/>
      <c r="L16" s="1421"/>
      <c r="M16" s="1422"/>
      <c r="N16" s="554"/>
      <c r="O16" s="1423"/>
      <c r="P16" s="1418"/>
      <c r="Q16" s="1418"/>
      <c r="R16" s="1418"/>
      <c r="S16" s="1418"/>
      <c r="T16" s="1424"/>
      <c r="V16" s="523"/>
      <c r="W16" s="523"/>
      <c r="X16" s="523"/>
      <c r="Y16" s="523"/>
      <c r="Z16" s="523"/>
      <c r="AA16" s="527"/>
      <c r="AB16" s="554"/>
      <c r="AC16" s="554"/>
      <c r="AD16" s="554"/>
      <c r="AE16" s="554"/>
      <c r="AF16" s="554"/>
    </row>
    <row r="17" spans="1:32" ht="15.75" customHeight="1">
      <c r="A17" s="1437" t="s">
        <v>275</v>
      </c>
      <c r="B17" s="1438"/>
      <c r="C17" s="1439"/>
      <c r="D17" s="1439"/>
      <c r="E17" s="1431" t="s">
        <v>182</v>
      </c>
      <c r="F17" s="1432" t="str">
        <f>F2</f>
        <v>U95 STD</v>
      </c>
      <c r="G17" s="530"/>
      <c r="H17" s="1434" t="s">
        <v>276</v>
      </c>
      <c r="I17" s="1435"/>
      <c r="J17" s="1435"/>
      <c r="K17" s="1436"/>
      <c r="L17" s="1431" t="s">
        <v>182</v>
      </c>
      <c r="M17" s="1432" t="str">
        <f>F17</f>
        <v>U95 STD</v>
      </c>
      <c r="N17" s="554"/>
      <c r="O17" s="1434" t="s">
        <v>277</v>
      </c>
      <c r="P17" s="1435"/>
      <c r="Q17" s="1435"/>
      <c r="R17" s="1436"/>
      <c r="S17" s="1431" t="s">
        <v>182</v>
      </c>
      <c r="T17" s="1433" t="str">
        <f>M17</f>
        <v>U95 STD</v>
      </c>
      <c r="V17" s="524"/>
      <c r="W17" s="524"/>
      <c r="X17" s="524"/>
      <c r="Y17" s="525"/>
      <c r="Z17" s="526"/>
      <c r="AA17" s="527"/>
      <c r="AB17" s="524"/>
      <c r="AC17" s="524"/>
      <c r="AD17" s="524"/>
      <c r="AE17" s="525"/>
      <c r="AF17" s="526"/>
    </row>
    <row r="18" spans="1:32" ht="12.75" customHeight="1">
      <c r="A18" s="529" t="str">
        <f>A3</f>
        <v>Timer</v>
      </c>
      <c r="B18" s="1414" t="s">
        <v>185</v>
      </c>
      <c r="C18" s="1415"/>
      <c r="D18" s="1416"/>
      <c r="E18" s="1431"/>
      <c r="F18" s="1432"/>
      <c r="G18" s="530"/>
      <c r="H18" s="531" t="str">
        <f>A18</f>
        <v>Timer</v>
      </c>
      <c r="I18" s="1414" t="s">
        <v>185</v>
      </c>
      <c r="J18" s="1415"/>
      <c r="K18" s="1416"/>
      <c r="L18" s="1431"/>
      <c r="M18" s="1432"/>
      <c r="N18" s="554"/>
      <c r="O18" s="531" t="str">
        <f>H18</f>
        <v>Timer</v>
      </c>
      <c r="P18" s="1414" t="s">
        <v>185</v>
      </c>
      <c r="Q18" s="1415"/>
      <c r="R18" s="1416"/>
      <c r="S18" s="1431"/>
      <c r="T18" s="1433"/>
      <c r="V18" s="532"/>
      <c r="W18" s="525"/>
      <c r="X18" s="525"/>
      <c r="Y18" s="525"/>
      <c r="Z18" s="526"/>
      <c r="AA18" s="527"/>
      <c r="AB18" s="532"/>
      <c r="AC18" s="525"/>
      <c r="AD18" s="525"/>
      <c r="AE18" s="525"/>
      <c r="AF18" s="526"/>
    </row>
    <row r="19" spans="1:32" ht="15" customHeight="1">
      <c r="A19" s="533" t="str">
        <f>A4</f>
        <v>s</v>
      </c>
      <c r="B19" s="534">
        <v>2022</v>
      </c>
      <c r="C19" s="535">
        <v>2021</v>
      </c>
      <c r="D19" s="535">
        <v>2019</v>
      </c>
      <c r="E19" s="1431"/>
      <c r="F19" s="1432"/>
      <c r="G19" s="536" t="s">
        <v>46</v>
      </c>
      <c r="H19" s="537" t="str">
        <f>A19</f>
        <v>s</v>
      </c>
      <c r="I19" s="534">
        <v>2023</v>
      </c>
      <c r="J19" s="534">
        <v>2022</v>
      </c>
      <c r="K19" s="535">
        <v>2021</v>
      </c>
      <c r="L19" s="1431"/>
      <c r="M19" s="1432"/>
      <c r="N19" s="536" t="s">
        <v>46</v>
      </c>
      <c r="O19" s="537" t="str">
        <f>H19</f>
        <v>s</v>
      </c>
      <c r="P19" s="534">
        <v>2023</v>
      </c>
      <c r="Q19" s="534">
        <v>2022</v>
      </c>
      <c r="R19" s="535">
        <v>2021</v>
      </c>
      <c r="S19" s="1431"/>
      <c r="T19" s="1433"/>
      <c r="V19" s="538"/>
      <c r="W19" s="532"/>
      <c r="X19" s="532"/>
      <c r="Y19" s="525"/>
      <c r="Z19" s="526"/>
      <c r="AA19" s="527"/>
      <c r="AB19" s="538"/>
      <c r="AC19" s="532"/>
      <c r="AD19" s="532"/>
      <c r="AE19" s="525"/>
      <c r="AF19" s="526"/>
    </row>
    <row r="20" spans="1:32" ht="12.75" customHeight="1">
      <c r="A20" s="540">
        <v>0</v>
      </c>
      <c r="B20" s="541" t="s">
        <v>196</v>
      </c>
      <c r="C20" s="542">
        <v>9.9999999999999995E-7</v>
      </c>
      <c r="D20" s="542">
        <v>9.9999999999999995E-7</v>
      </c>
      <c r="E20" s="543">
        <f>IFERROR(IF(OR(C20="-",D20="-"),1/3*F20,0.5*(MAX(C20:D20)-MIN(C20:D20))),0)</f>
        <v>0</v>
      </c>
      <c r="F20" s="544">
        <v>0.12</v>
      </c>
      <c r="G20" s="536">
        <v>1</v>
      </c>
      <c r="H20" s="540">
        <v>0</v>
      </c>
      <c r="I20" s="541">
        <v>0</v>
      </c>
      <c r="J20" s="541">
        <v>0</v>
      </c>
      <c r="K20" s="542">
        <v>9.9999999999999995E-7</v>
      </c>
      <c r="L20" s="543">
        <f>IFERROR(IF(OR(J20="-",K20="-"),1/3*M20,0.5*(MAX(J20:K20)-MIN(J20:K20))),0)</f>
        <v>4.9999999999999998E-7</v>
      </c>
      <c r="M20" s="544">
        <v>0</v>
      </c>
      <c r="N20" s="536">
        <v>1</v>
      </c>
      <c r="O20" s="540">
        <v>0</v>
      </c>
      <c r="P20" s="541">
        <v>0</v>
      </c>
      <c r="Q20" s="541">
        <v>0</v>
      </c>
      <c r="R20" s="542">
        <v>9.9999999999999995E-7</v>
      </c>
      <c r="S20" s="544">
        <f>IFERROR(IF(OR(Q20="-",R20="-"),1/3*T20,0.5*(MAX(Q20:R20)-MIN(Q20:R20))),0)</f>
        <v>4.9999999999999998E-7</v>
      </c>
      <c r="T20" s="548">
        <v>0</v>
      </c>
      <c r="V20" s="549"/>
      <c r="W20" s="549"/>
      <c r="X20" s="552"/>
      <c r="Y20" s="551"/>
      <c r="Z20" s="552"/>
      <c r="AA20" s="527"/>
      <c r="AB20" s="549"/>
      <c r="AC20" s="549"/>
      <c r="AD20" s="552"/>
      <c r="AE20" s="551"/>
      <c r="AF20" s="552"/>
    </row>
    <row r="21" spans="1:32" ht="12.75" customHeight="1">
      <c r="A21" s="540">
        <v>60</v>
      </c>
      <c r="B21" s="541" t="s">
        <v>196</v>
      </c>
      <c r="C21" s="547">
        <v>-0.01</v>
      </c>
      <c r="D21" s="547">
        <v>2E-3</v>
      </c>
      <c r="E21" s="543">
        <f t="shared" ref="E21:E29" si="3">IFERROR(IF(OR(C21="-",D21="-"),1/3*F21,0.5*(MAX(C21:D21)-MIN(C21:D21))),0)</f>
        <v>6.0000000000000001E-3</v>
      </c>
      <c r="F21" s="544">
        <v>0.12</v>
      </c>
      <c r="G21" s="536">
        <v>2</v>
      </c>
      <c r="H21" s="547">
        <v>10</v>
      </c>
      <c r="I21" s="541">
        <v>0</v>
      </c>
      <c r="J21" s="541">
        <v>0.01</v>
      </c>
      <c r="K21" s="547">
        <v>-0.02</v>
      </c>
      <c r="L21" s="543">
        <f t="shared" ref="L21:L29" si="4">IFERROR(IF(OR(J21="-",K21="-"),1/3*M21,0.5*(MAX(J21:K21)-MIN(J21:K21))),0)</f>
        <v>1.4999999999999999E-2</v>
      </c>
      <c r="M21" s="544">
        <v>0.12</v>
      </c>
      <c r="N21" s="536">
        <v>2</v>
      </c>
      <c r="O21" s="547">
        <v>10</v>
      </c>
      <c r="P21" s="541">
        <v>-0.01</v>
      </c>
      <c r="Q21" s="541">
        <v>0</v>
      </c>
      <c r="R21" s="547" t="s">
        <v>196</v>
      </c>
      <c r="S21" s="544">
        <f t="shared" ref="S21:S30" si="5">IFERROR(IF(OR(Q21="-",R21="-"),1/3*T21,0.5*(MAX(Q21:R21)-MIN(Q21:R21))),0)</f>
        <v>3.9999999999999994E-2</v>
      </c>
      <c r="T21" s="544">
        <v>0.12</v>
      </c>
      <c r="V21" s="549"/>
      <c r="W21" s="549"/>
      <c r="X21" s="552"/>
      <c r="Y21" s="551"/>
      <c r="Z21" s="552"/>
      <c r="AA21" s="527"/>
      <c r="AB21" s="549"/>
      <c r="AC21" s="549"/>
      <c r="AD21" s="552"/>
      <c r="AE21" s="551"/>
      <c r="AF21" s="552"/>
    </row>
    <row r="22" spans="1:32" ht="12.75" customHeight="1">
      <c r="A22" s="540">
        <v>60</v>
      </c>
      <c r="B22" s="541" t="s">
        <v>196</v>
      </c>
      <c r="C22" s="547">
        <v>-0.01</v>
      </c>
      <c r="D22" s="547">
        <v>2E-3</v>
      </c>
      <c r="E22" s="543">
        <f t="shared" si="3"/>
        <v>6.0000000000000001E-3</v>
      </c>
      <c r="F22" s="544">
        <v>0.12</v>
      </c>
      <c r="G22" s="536">
        <v>3</v>
      </c>
      <c r="H22" s="547">
        <v>20</v>
      </c>
      <c r="I22" s="541" t="s">
        <v>196</v>
      </c>
      <c r="J22" s="541" t="s">
        <v>196</v>
      </c>
      <c r="K22" s="547">
        <v>-0.02</v>
      </c>
      <c r="L22" s="543">
        <f t="shared" si="4"/>
        <v>3.9999999999999994E-2</v>
      </c>
      <c r="M22" s="544">
        <v>0.12</v>
      </c>
      <c r="N22" s="536">
        <v>3</v>
      </c>
      <c r="O22" s="547">
        <v>30</v>
      </c>
      <c r="P22" s="541">
        <v>0</v>
      </c>
      <c r="Q22" s="541">
        <v>0</v>
      </c>
      <c r="R22" s="547" t="s">
        <v>196</v>
      </c>
      <c r="S22" s="544">
        <f t="shared" si="5"/>
        <v>3.9999999999999994E-2</v>
      </c>
      <c r="T22" s="544">
        <v>0.12</v>
      </c>
      <c r="V22" s="549"/>
      <c r="W22" s="549"/>
      <c r="X22" s="552"/>
      <c r="Y22" s="551"/>
      <c r="Z22" s="552"/>
      <c r="AA22" s="527"/>
      <c r="AB22" s="549"/>
      <c r="AC22" s="549"/>
      <c r="AD22" s="552"/>
      <c r="AE22" s="551"/>
      <c r="AF22" s="552"/>
    </row>
    <row r="23" spans="1:32" ht="12.75" customHeight="1">
      <c r="A23" s="540">
        <v>60</v>
      </c>
      <c r="B23" s="541" t="s">
        <v>196</v>
      </c>
      <c r="C23" s="547">
        <v>-0.01</v>
      </c>
      <c r="D23" s="547">
        <v>2E-3</v>
      </c>
      <c r="E23" s="543">
        <f t="shared" si="3"/>
        <v>6.0000000000000001E-3</v>
      </c>
      <c r="F23" s="544">
        <v>0.12</v>
      </c>
      <c r="G23" s="536">
        <v>4</v>
      </c>
      <c r="H23" s="547">
        <v>30</v>
      </c>
      <c r="I23" s="541">
        <v>-0.01</v>
      </c>
      <c r="J23" s="541">
        <v>0.01</v>
      </c>
      <c r="K23" s="547">
        <v>-0.02</v>
      </c>
      <c r="L23" s="543">
        <f t="shared" si="4"/>
        <v>1.4999999999999999E-2</v>
      </c>
      <c r="M23" s="544">
        <v>0.12</v>
      </c>
      <c r="N23" s="536">
        <v>4</v>
      </c>
      <c r="O23" s="547">
        <v>60</v>
      </c>
      <c r="P23" s="541">
        <v>-0.01</v>
      </c>
      <c r="Q23" s="541">
        <v>0</v>
      </c>
      <c r="R23" s="547">
        <v>0.01</v>
      </c>
      <c r="S23" s="544">
        <f t="shared" si="5"/>
        <v>5.0000000000000001E-3</v>
      </c>
      <c r="T23" s="544">
        <v>0.12</v>
      </c>
      <c r="V23" s="549"/>
      <c r="W23" s="549"/>
      <c r="X23" s="550"/>
      <c r="Y23" s="551"/>
      <c r="Z23" s="552"/>
      <c r="AA23" s="527"/>
      <c r="AB23" s="549"/>
      <c r="AC23" s="549"/>
      <c r="AD23" s="550"/>
      <c r="AE23" s="551"/>
      <c r="AF23" s="552"/>
    </row>
    <row r="24" spans="1:32" ht="12.75" customHeight="1">
      <c r="A24" s="540">
        <v>60</v>
      </c>
      <c r="B24" s="541" t="s">
        <v>196</v>
      </c>
      <c r="C24" s="547">
        <v>-0.01</v>
      </c>
      <c r="D24" s="547">
        <v>2E-3</v>
      </c>
      <c r="E24" s="543">
        <f t="shared" si="3"/>
        <v>6.0000000000000001E-3</v>
      </c>
      <c r="F24" s="544">
        <v>0.12</v>
      </c>
      <c r="G24" s="536">
        <v>5</v>
      </c>
      <c r="H24" s="547">
        <v>40</v>
      </c>
      <c r="I24" s="541" t="s">
        <v>196</v>
      </c>
      <c r="J24" s="541" t="s">
        <v>196</v>
      </c>
      <c r="K24" s="547">
        <v>-0.02</v>
      </c>
      <c r="L24" s="543">
        <f t="shared" si="4"/>
        <v>3.9999999999999994E-2</v>
      </c>
      <c r="M24" s="544">
        <v>0.12</v>
      </c>
      <c r="N24" s="536">
        <v>5</v>
      </c>
      <c r="O24" s="547">
        <v>60</v>
      </c>
      <c r="P24" s="541">
        <v>-0.01</v>
      </c>
      <c r="Q24" s="541">
        <v>0</v>
      </c>
      <c r="R24" s="547">
        <v>0.01</v>
      </c>
      <c r="S24" s="544">
        <f t="shared" si="5"/>
        <v>5.0000000000000001E-3</v>
      </c>
      <c r="T24" s="544">
        <v>0.12</v>
      </c>
      <c r="V24" s="549"/>
      <c r="W24" s="549"/>
      <c r="X24" s="550"/>
      <c r="Y24" s="551"/>
      <c r="Z24" s="552"/>
      <c r="AA24" s="527"/>
      <c r="AB24" s="549"/>
      <c r="AC24" s="549"/>
      <c r="AD24" s="550"/>
      <c r="AE24" s="551"/>
      <c r="AF24" s="552"/>
    </row>
    <row r="25" spans="1:32" ht="12.75" customHeight="1">
      <c r="A25" s="540">
        <v>60</v>
      </c>
      <c r="B25" s="541" t="s">
        <v>196</v>
      </c>
      <c r="C25" s="547">
        <v>-0.01</v>
      </c>
      <c r="D25" s="547">
        <v>2E-3</v>
      </c>
      <c r="E25" s="543">
        <f t="shared" si="3"/>
        <v>6.0000000000000001E-3</v>
      </c>
      <c r="F25" s="544">
        <v>0.12</v>
      </c>
      <c r="G25" s="536">
        <v>6</v>
      </c>
      <c r="H25" s="547">
        <v>50</v>
      </c>
      <c r="I25" s="541" t="s">
        <v>196</v>
      </c>
      <c r="J25" s="541" t="s">
        <v>196</v>
      </c>
      <c r="K25" s="547">
        <v>-0.02</v>
      </c>
      <c r="L25" s="543">
        <f t="shared" si="4"/>
        <v>3.9999999999999994E-2</v>
      </c>
      <c r="M25" s="544">
        <v>0.12</v>
      </c>
      <c r="N25" s="536">
        <v>6</v>
      </c>
      <c r="O25" s="547">
        <v>60</v>
      </c>
      <c r="P25" s="541">
        <v>-0.01</v>
      </c>
      <c r="Q25" s="541">
        <v>0</v>
      </c>
      <c r="R25" s="547">
        <v>0.01</v>
      </c>
      <c r="S25" s="544">
        <f t="shared" si="5"/>
        <v>5.0000000000000001E-3</v>
      </c>
      <c r="T25" s="544">
        <v>0.12</v>
      </c>
      <c r="V25" s="549"/>
      <c r="W25" s="549"/>
      <c r="X25" s="550"/>
      <c r="Y25" s="551"/>
      <c r="Z25" s="552"/>
      <c r="AA25" s="527"/>
      <c r="AB25" s="549"/>
      <c r="AC25" s="549"/>
      <c r="AD25" s="550"/>
      <c r="AE25" s="551"/>
      <c r="AF25" s="552"/>
    </row>
    <row r="26" spans="1:32" ht="12.75" customHeight="1">
      <c r="A26" s="540">
        <v>60</v>
      </c>
      <c r="B26" s="541" t="s">
        <v>196</v>
      </c>
      <c r="C26" s="547">
        <v>-0.01</v>
      </c>
      <c r="D26" s="547">
        <v>2E-3</v>
      </c>
      <c r="E26" s="543">
        <f t="shared" si="3"/>
        <v>6.0000000000000001E-3</v>
      </c>
      <c r="F26" s="544">
        <v>0.12</v>
      </c>
      <c r="G26" s="536">
        <v>7</v>
      </c>
      <c r="H26" s="547">
        <v>60</v>
      </c>
      <c r="I26" s="541">
        <v>-0.01</v>
      </c>
      <c r="J26" s="541">
        <v>0.01</v>
      </c>
      <c r="K26" s="547">
        <v>-0.03</v>
      </c>
      <c r="L26" s="543">
        <f t="shared" si="4"/>
        <v>0.02</v>
      </c>
      <c r="M26" s="544">
        <v>0.12</v>
      </c>
      <c r="N26" s="536">
        <v>7</v>
      </c>
      <c r="O26" s="547">
        <v>60</v>
      </c>
      <c r="P26" s="541">
        <v>-0.01</v>
      </c>
      <c r="Q26" s="541">
        <v>0</v>
      </c>
      <c r="R26" s="547">
        <v>0.01</v>
      </c>
      <c r="S26" s="544">
        <f t="shared" si="5"/>
        <v>5.0000000000000001E-3</v>
      </c>
      <c r="T26" s="544">
        <v>0.12</v>
      </c>
      <c r="V26" s="549"/>
      <c r="W26" s="549"/>
      <c r="X26" s="550"/>
      <c r="Y26" s="551"/>
      <c r="Z26" s="552"/>
      <c r="AA26" s="527"/>
      <c r="AB26" s="549"/>
      <c r="AC26" s="549"/>
      <c r="AD26" s="550"/>
      <c r="AE26" s="551"/>
      <c r="AF26" s="552"/>
    </row>
    <row r="27" spans="1:32" ht="12.75" customHeight="1">
      <c r="A27" s="540">
        <v>300</v>
      </c>
      <c r="B27" s="541" t="s">
        <v>196</v>
      </c>
      <c r="C27" s="547">
        <v>-0.01</v>
      </c>
      <c r="D27" s="547">
        <v>1E-3</v>
      </c>
      <c r="E27" s="543">
        <f t="shared" si="3"/>
        <v>5.4999999999999997E-3</v>
      </c>
      <c r="F27" s="544">
        <v>0.12</v>
      </c>
      <c r="G27" s="536">
        <v>8</v>
      </c>
      <c r="H27" s="547">
        <v>300</v>
      </c>
      <c r="I27" s="541">
        <v>0</v>
      </c>
      <c r="J27" s="541">
        <v>0.01</v>
      </c>
      <c r="K27" s="547">
        <v>-0.02</v>
      </c>
      <c r="L27" s="543">
        <f>IFERROR(IF(OR(J27="-",K27="-"),1/3*M27,0.5*(MAX(J27:K27)-MIN(J27:K27))),0)</f>
        <v>1.4999999999999999E-2</v>
      </c>
      <c r="M27" s="544">
        <v>0.12</v>
      </c>
      <c r="N27" s="536">
        <v>8</v>
      </c>
      <c r="O27" s="547">
        <v>300</v>
      </c>
      <c r="P27" s="541">
        <v>-0.01</v>
      </c>
      <c r="Q27" s="541">
        <v>0</v>
      </c>
      <c r="R27" s="547">
        <v>0.01</v>
      </c>
      <c r="S27" s="544">
        <f t="shared" si="5"/>
        <v>5.0000000000000001E-3</v>
      </c>
      <c r="T27" s="544">
        <v>0.12</v>
      </c>
      <c r="V27" s="549"/>
      <c r="W27" s="549"/>
      <c r="X27" s="550"/>
      <c r="Y27" s="549"/>
      <c r="Z27" s="549"/>
      <c r="AA27" s="527"/>
      <c r="AB27" s="549"/>
      <c r="AC27" s="549"/>
      <c r="AD27" s="550"/>
      <c r="AE27" s="549"/>
      <c r="AF27" s="549"/>
    </row>
    <row r="28" spans="1:32" ht="12.75" customHeight="1">
      <c r="A28" s="540">
        <v>600</v>
      </c>
      <c r="B28" s="541" t="s">
        <v>196</v>
      </c>
      <c r="C28" s="547">
        <v>0.03</v>
      </c>
      <c r="D28" s="547">
        <v>6.0000000000000001E-3</v>
      </c>
      <c r="E28" s="543">
        <f t="shared" si="3"/>
        <v>1.2E-2</v>
      </c>
      <c r="F28" s="544">
        <v>0.12</v>
      </c>
      <c r="G28" s="536">
        <v>9</v>
      </c>
      <c r="H28" s="547">
        <v>600</v>
      </c>
      <c r="I28" s="541">
        <v>-0.01</v>
      </c>
      <c r="J28" s="541">
        <v>0.01</v>
      </c>
      <c r="K28" s="547">
        <v>-0.03</v>
      </c>
      <c r="L28" s="543">
        <f t="shared" si="4"/>
        <v>0.02</v>
      </c>
      <c r="M28" s="544">
        <v>0.12</v>
      </c>
      <c r="N28" s="536">
        <v>9</v>
      </c>
      <c r="O28" s="547">
        <v>600</v>
      </c>
      <c r="P28" s="541">
        <v>0</v>
      </c>
      <c r="Q28" s="541">
        <v>0</v>
      </c>
      <c r="R28" s="547">
        <v>0.01</v>
      </c>
      <c r="S28" s="544">
        <f t="shared" si="5"/>
        <v>5.0000000000000001E-3</v>
      </c>
      <c r="T28" s="544">
        <v>0.12</v>
      </c>
      <c r="V28" s="549"/>
      <c r="W28" s="549"/>
      <c r="X28" s="550"/>
      <c r="Y28" s="549"/>
      <c r="Z28" s="549"/>
      <c r="AA28" s="555"/>
      <c r="AB28" s="549"/>
      <c r="AC28" s="549"/>
      <c r="AD28" s="550"/>
      <c r="AE28" s="549"/>
      <c r="AF28" s="549"/>
    </row>
    <row r="29" spans="1:32" ht="12.75" customHeight="1">
      <c r="A29" s="540">
        <v>900</v>
      </c>
      <c r="B29" s="541" t="s">
        <v>196</v>
      </c>
      <c r="C29" s="547">
        <v>0.03</v>
      </c>
      <c r="D29" s="547">
        <v>6.0000000000000001E-3</v>
      </c>
      <c r="E29" s="543">
        <f t="shared" si="3"/>
        <v>1.2E-2</v>
      </c>
      <c r="F29" s="544">
        <v>0.12</v>
      </c>
      <c r="G29" s="536">
        <v>10</v>
      </c>
      <c r="H29" s="547">
        <v>900</v>
      </c>
      <c r="I29" s="541">
        <v>0</v>
      </c>
      <c r="J29" s="541">
        <v>-0.02</v>
      </c>
      <c r="K29" s="547" t="s">
        <v>196</v>
      </c>
      <c r="L29" s="543">
        <f t="shared" si="4"/>
        <v>3.9999999999999994E-2</v>
      </c>
      <c r="M29" s="544">
        <v>0.12</v>
      </c>
      <c r="N29" s="536">
        <v>10</v>
      </c>
      <c r="O29" s="547">
        <v>900</v>
      </c>
      <c r="P29" s="541">
        <v>0</v>
      </c>
      <c r="Q29" s="541">
        <v>0</v>
      </c>
      <c r="R29" s="542">
        <v>0.02</v>
      </c>
      <c r="S29" s="544">
        <f t="shared" si="5"/>
        <v>0.01</v>
      </c>
      <c r="T29" s="544">
        <v>0.12</v>
      </c>
      <c r="V29" s="549"/>
      <c r="W29" s="549"/>
      <c r="X29" s="550"/>
      <c r="Y29" s="549"/>
      <c r="Z29" s="549"/>
      <c r="AA29" s="555"/>
      <c r="AB29" s="549"/>
      <c r="AC29" s="549"/>
      <c r="AD29" s="550"/>
      <c r="AE29" s="549"/>
      <c r="AF29" s="549"/>
    </row>
    <row r="30" spans="1:32" ht="12.75" customHeight="1">
      <c r="A30" s="540">
        <v>1200</v>
      </c>
      <c r="B30" s="541" t="s">
        <v>196</v>
      </c>
      <c r="C30" s="547">
        <v>0.05</v>
      </c>
      <c r="D30" s="547" t="s">
        <v>196</v>
      </c>
      <c r="E30" s="543">
        <f>IFERROR(IF(OR(C30="-",D30="-"),1/3*F30,0.5*(MAX(C30:D30)-MIN(C30:D30))),0)</f>
        <v>3.9999999999999994E-2</v>
      </c>
      <c r="F30" s="544">
        <v>0.12</v>
      </c>
      <c r="G30" s="536">
        <v>11</v>
      </c>
      <c r="H30" s="547">
        <v>1200</v>
      </c>
      <c r="I30" s="541" t="s">
        <v>196</v>
      </c>
      <c r="J30" s="541" t="s">
        <v>196</v>
      </c>
      <c r="K30" s="547" t="s">
        <v>196</v>
      </c>
      <c r="L30" s="543">
        <f>IFERROR(IF(OR(J30="-",K30="-"),1/3*M30,0.5*(MAX(J30:K30)-MIN(J30:K30))),0)</f>
        <v>3.9999999999999994E-2</v>
      </c>
      <c r="M30" s="544">
        <v>0.12</v>
      </c>
      <c r="N30" s="536">
        <v>11</v>
      </c>
      <c r="O30" s="547">
        <v>1200</v>
      </c>
      <c r="P30" s="541" t="s">
        <v>196</v>
      </c>
      <c r="Q30" s="541" t="s">
        <v>196</v>
      </c>
      <c r="R30" s="542">
        <v>0.02</v>
      </c>
      <c r="S30" s="544">
        <f t="shared" si="5"/>
        <v>3.9999999999999994E-2</v>
      </c>
      <c r="T30" s="544">
        <v>0.12</v>
      </c>
      <c r="V30" s="549"/>
      <c r="W30" s="549"/>
      <c r="X30" s="550"/>
      <c r="Y30" s="549"/>
      <c r="Z30" s="549"/>
      <c r="AA30" s="555"/>
      <c r="AB30" s="549"/>
      <c r="AC30" s="549"/>
      <c r="AD30" s="550"/>
      <c r="AE30" s="549"/>
      <c r="AF30" s="549"/>
    </row>
    <row r="31" spans="1:32" ht="12.75" customHeight="1">
      <c r="A31" s="556"/>
      <c r="B31" s="549"/>
      <c r="C31" s="549"/>
      <c r="D31" s="549"/>
      <c r="E31" s="549"/>
      <c r="F31" s="549"/>
      <c r="G31" s="549"/>
      <c r="H31" s="549"/>
      <c r="I31" s="549"/>
      <c r="J31" s="549"/>
      <c r="K31" s="549"/>
      <c r="L31" s="549"/>
      <c r="M31" s="549"/>
      <c r="N31" s="557"/>
      <c r="O31" s="558"/>
      <c r="P31" s="523"/>
      <c r="Q31" s="523"/>
      <c r="R31" s="523"/>
      <c r="S31" s="523"/>
      <c r="T31" s="559"/>
      <c r="V31" s="549"/>
      <c r="W31" s="549"/>
      <c r="X31" s="549"/>
      <c r="Y31" s="549"/>
      <c r="Z31" s="549"/>
      <c r="AA31" s="549"/>
      <c r="AB31" s="549"/>
      <c r="AC31" s="549"/>
      <c r="AD31" s="549"/>
      <c r="AE31" s="549"/>
      <c r="AF31" s="549"/>
    </row>
    <row r="32" spans="1:32">
      <c r="A32" s="560"/>
      <c r="B32" s="561"/>
      <c r="C32" s="561"/>
      <c r="D32" s="561"/>
      <c r="E32" s="561"/>
      <c r="F32" s="561"/>
      <c r="G32" s="561"/>
      <c r="H32" s="561"/>
      <c r="I32" s="561"/>
      <c r="J32" s="561"/>
      <c r="K32" s="561"/>
      <c r="L32" s="561"/>
      <c r="M32" s="561"/>
      <c r="N32" s="561"/>
      <c r="O32" s="561"/>
      <c r="P32" s="561"/>
      <c r="Q32" s="561"/>
      <c r="R32" s="561"/>
      <c r="S32" s="561"/>
      <c r="T32" s="562"/>
      <c r="V32" s="523"/>
      <c r="W32" s="523"/>
      <c r="X32" s="523"/>
      <c r="Y32" s="523"/>
      <c r="Z32" s="523"/>
      <c r="AA32" s="523"/>
      <c r="AB32" s="523"/>
      <c r="AC32" s="523"/>
      <c r="AD32" s="523"/>
      <c r="AE32" s="523"/>
      <c r="AF32" s="523"/>
    </row>
    <row r="33" spans="1:32" ht="15.75" customHeight="1">
      <c r="A33" s="1440" t="s">
        <v>278</v>
      </c>
      <c r="B33" s="1435"/>
      <c r="C33" s="1435"/>
      <c r="D33" s="1436"/>
      <c r="E33" s="1431" t="s">
        <v>182</v>
      </c>
      <c r="F33" s="1432" t="str">
        <f>F17</f>
        <v>U95 STD</v>
      </c>
      <c r="G33" s="522"/>
      <c r="H33" s="1434" t="s">
        <v>279</v>
      </c>
      <c r="I33" s="1435"/>
      <c r="J33" s="1435"/>
      <c r="K33" s="1436"/>
      <c r="L33" s="1431" t="s">
        <v>182</v>
      </c>
      <c r="M33" s="1432" t="str">
        <f>F33</f>
        <v>U95 STD</v>
      </c>
      <c r="N33" s="561"/>
      <c r="O33" s="1440" t="s">
        <v>280</v>
      </c>
      <c r="P33" s="1435"/>
      <c r="Q33" s="1435"/>
      <c r="R33" s="1436"/>
      <c r="S33" s="1431" t="s">
        <v>182</v>
      </c>
      <c r="T33" s="1432" t="str">
        <f>F33</f>
        <v>U95 STD</v>
      </c>
      <c r="V33" s="524"/>
      <c r="W33" s="524"/>
      <c r="X33" s="524"/>
      <c r="Y33" s="525"/>
      <c r="Z33" s="526"/>
      <c r="AA33" s="527"/>
      <c r="AB33" s="528"/>
      <c r="AC33" s="528"/>
      <c r="AD33" s="528"/>
      <c r="AE33" s="525"/>
      <c r="AF33" s="526"/>
    </row>
    <row r="34" spans="1:32" ht="12.75" customHeight="1">
      <c r="A34" s="529" t="str">
        <f>A18</f>
        <v>Timer</v>
      </c>
      <c r="B34" s="1414" t="s">
        <v>185</v>
      </c>
      <c r="C34" s="1415"/>
      <c r="D34" s="1416"/>
      <c r="E34" s="1431"/>
      <c r="F34" s="1432"/>
      <c r="G34" s="530"/>
      <c r="H34" s="531" t="str">
        <f>A34</f>
        <v>Timer</v>
      </c>
      <c r="I34" s="1414" t="s">
        <v>185</v>
      </c>
      <c r="J34" s="1415"/>
      <c r="K34" s="1416"/>
      <c r="L34" s="1431"/>
      <c r="M34" s="1432"/>
      <c r="N34" s="561"/>
      <c r="O34" s="529" t="str">
        <f>A34</f>
        <v>Timer</v>
      </c>
      <c r="P34" s="1414" t="s">
        <v>185</v>
      </c>
      <c r="Q34" s="1415"/>
      <c r="R34" s="1416"/>
      <c r="S34" s="1431"/>
      <c r="T34" s="1432"/>
      <c r="V34" s="532"/>
      <c r="W34" s="525"/>
      <c r="X34" s="525"/>
      <c r="Y34" s="525"/>
      <c r="Z34" s="526"/>
      <c r="AA34" s="527"/>
      <c r="AB34" s="532"/>
      <c r="AC34" s="525"/>
      <c r="AD34" s="525"/>
      <c r="AE34" s="525"/>
      <c r="AF34" s="526"/>
    </row>
    <row r="35" spans="1:32" ht="15" customHeight="1">
      <c r="A35" s="533" t="str">
        <f>A19</f>
        <v>s</v>
      </c>
      <c r="B35" s="534">
        <v>2023</v>
      </c>
      <c r="C35" s="534">
        <v>2022</v>
      </c>
      <c r="D35" s="535">
        <v>2021</v>
      </c>
      <c r="E35" s="1431"/>
      <c r="F35" s="1432"/>
      <c r="G35" s="536" t="s">
        <v>46</v>
      </c>
      <c r="H35" s="537" t="str">
        <f>A35</f>
        <v>s</v>
      </c>
      <c r="I35" s="534">
        <v>2023</v>
      </c>
      <c r="J35" s="534">
        <v>2022</v>
      </c>
      <c r="K35" s="535">
        <v>2020</v>
      </c>
      <c r="L35" s="1431"/>
      <c r="M35" s="1432"/>
      <c r="N35" s="536" t="s">
        <v>46</v>
      </c>
      <c r="O35" s="533" t="str">
        <f>A35</f>
        <v>s</v>
      </c>
      <c r="P35" s="534">
        <v>2022</v>
      </c>
      <c r="Q35" s="535">
        <v>2021</v>
      </c>
      <c r="R35" s="535">
        <v>2020</v>
      </c>
      <c r="S35" s="1431"/>
      <c r="T35" s="1432"/>
      <c r="V35" s="538"/>
      <c r="W35" s="532"/>
      <c r="X35" s="539"/>
      <c r="Y35" s="525"/>
      <c r="Z35" s="526"/>
      <c r="AA35" s="527"/>
      <c r="AB35" s="538"/>
      <c r="AC35" s="532"/>
      <c r="AD35" s="532"/>
      <c r="AE35" s="525"/>
      <c r="AF35" s="526"/>
    </row>
    <row r="36" spans="1:32" ht="12.75" customHeight="1">
      <c r="A36" s="540">
        <v>0</v>
      </c>
      <c r="B36" s="541">
        <v>0</v>
      </c>
      <c r="C36" s="541">
        <v>0</v>
      </c>
      <c r="D36" s="542">
        <v>9.9999999999999995E-7</v>
      </c>
      <c r="E36" s="543">
        <f>IFERROR(IF(OR(C36="-",D36="-"),1/3*F36,0.5*(MAX(C36:D36)-MIN(C36:D36))),0)</f>
        <v>4.9999999999999998E-7</v>
      </c>
      <c r="F36" s="544">
        <v>0</v>
      </c>
      <c r="G36" s="536">
        <v>1</v>
      </c>
      <c r="H36" s="540">
        <v>0</v>
      </c>
      <c r="I36" s="541">
        <v>0</v>
      </c>
      <c r="J36" s="541">
        <v>0</v>
      </c>
      <c r="K36" s="542">
        <v>9.9999999999999995E-7</v>
      </c>
      <c r="L36" s="543">
        <f>IFERROR(IF(OR(J36="-",K36="-"),1/3*M36,0.5*(MAX(J36:K36)-MIN(J36:K36))),0)</f>
        <v>4.9999999999999998E-7</v>
      </c>
      <c r="M36" s="544">
        <v>0</v>
      </c>
      <c r="N36" s="536">
        <v>1</v>
      </c>
      <c r="O36" s="540">
        <v>0</v>
      </c>
      <c r="P36" s="541">
        <v>0</v>
      </c>
      <c r="Q36" s="542">
        <v>9.9999999999999995E-7</v>
      </c>
      <c r="R36" s="542">
        <v>9.9999999999999995E-7</v>
      </c>
      <c r="S36" s="543">
        <f>IFERROR(IF(OR(Q36="-",R36="-"),1/3*T36,0.5*(MAX(Q36:R36)-MIN(Q36:R36))),0)</f>
        <v>0</v>
      </c>
      <c r="T36" s="544">
        <v>0</v>
      </c>
      <c r="V36" s="549"/>
      <c r="W36" s="549"/>
      <c r="X36" s="550"/>
      <c r="Y36" s="551"/>
      <c r="Z36" s="552"/>
      <c r="AA36" s="527"/>
      <c r="AB36" s="549"/>
      <c r="AC36" s="549"/>
      <c r="AD36" s="552"/>
      <c r="AE36" s="551"/>
      <c r="AF36" s="552"/>
    </row>
    <row r="37" spans="1:32" ht="12.75" customHeight="1">
      <c r="A37" s="547">
        <v>10</v>
      </c>
      <c r="B37" s="541">
        <v>-0.05</v>
      </c>
      <c r="C37" s="541">
        <v>-0.01</v>
      </c>
      <c r="D37" s="547" t="s">
        <v>196</v>
      </c>
      <c r="E37" s="543">
        <f>IFERROR(IF(OR(C37="-",D37="-"),1/3*F37,0.5*(MAX(C37:D37)-MIN(C37:D37))),0)</f>
        <v>3.9999999999999994E-2</v>
      </c>
      <c r="F37" s="544">
        <v>0.12</v>
      </c>
      <c r="G37" s="536">
        <v>2</v>
      </c>
      <c r="H37" s="547">
        <v>10</v>
      </c>
      <c r="I37" s="541">
        <v>-0.01</v>
      </c>
      <c r="J37" s="541">
        <v>0.01</v>
      </c>
      <c r="K37" s="547" t="s">
        <v>196</v>
      </c>
      <c r="L37" s="543">
        <f t="shared" ref="L37:L45" si="6">IFERROR(IF(OR(J37="-",K37="-"),1/3*M37,0.5*(MAX(J37:K37)-MIN(J37:K37))),0)</f>
        <v>3.9999999999999994E-2</v>
      </c>
      <c r="M37" s="544">
        <v>0.12</v>
      </c>
      <c r="N37" s="536">
        <v>2</v>
      </c>
      <c r="O37" s="547">
        <v>10</v>
      </c>
      <c r="P37" s="541">
        <v>0</v>
      </c>
      <c r="Q37" s="547" t="s">
        <v>196</v>
      </c>
      <c r="R37" s="547" t="s">
        <v>196</v>
      </c>
      <c r="S37" s="543">
        <f t="shared" ref="S37:S45" si="7">IFERROR(IF(OR(Q37="-",R37="-"),1/3*T37,0.5*(MAX(Q37:R37)-MIN(Q37:R37))),0)</f>
        <v>3.9999999999999994E-2</v>
      </c>
      <c r="T37" s="544">
        <v>0.12</v>
      </c>
      <c r="V37" s="549"/>
      <c r="W37" s="549"/>
      <c r="X37" s="552"/>
      <c r="Y37" s="551"/>
      <c r="Z37" s="552"/>
      <c r="AA37" s="527"/>
      <c r="AB37" s="549"/>
      <c r="AC37" s="549"/>
      <c r="AD37" s="552"/>
      <c r="AE37" s="551"/>
      <c r="AF37" s="552"/>
    </row>
    <row r="38" spans="1:32" ht="12.75" customHeight="1">
      <c r="A38" s="547">
        <v>30</v>
      </c>
      <c r="B38" s="541">
        <v>-0.04</v>
      </c>
      <c r="C38" s="541">
        <v>0.01</v>
      </c>
      <c r="D38" s="547" t="s">
        <v>196</v>
      </c>
      <c r="E38" s="543">
        <f t="shared" ref="E38:E45" si="8">IFERROR(IF(OR(C38="-",D38="-"),1/3*F38,0.5*(MAX(C38:D38)-MIN(C38:D38))),0)</f>
        <v>3.9999999999999994E-2</v>
      </c>
      <c r="F38" s="544">
        <v>0.12</v>
      </c>
      <c r="G38" s="536">
        <v>3</v>
      </c>
      <c r="H38" s="547">
        <v>30</v>
      </c>
      <c r="I38" s="541">
        <v>0</v>
      </c>
      <c r="J38" s="541">
        <v>0.01</v>
      </c>
      <c r="K38" s="547" t="s">
        <v>196</v>
      </c>
      <c r="L38" s="543">
        <f t="shared" si="6"/>
        <v>3.9999999999999994E-2</v>
      </c>
      <c r="M38" s="544">
        <v>0.12</v>
      </c>
      <c r="N38" s="536">
        <v>3</v>
      </c>
      <c r="O38" s="547">
        <v>30</v>
      </c>
      <c r="P38" s="541">
        <v>0.01</v>
      </c>
      <c r="Q38" s="547" t="s">
        <v>196</v>
      </c>
      <c r="R38" s="547" t="s">
        <v>196</v>
      </c>
      <c r="S38" s="543">
        <f t="shared" si="7"/>
        <v>3.9999999999999994E-2</v>
      </c>
      <c r="T38" s="544">
        <v>0.12</v>
      </c>
      <c r="V38" s="549"/>
      <c r="W38" s="549"/>
      <c r="X38" s="552"/>
      <c r="Y38" s="551"/>
      <c r="Z38" s="552"/>
      <c r="AA38" s="527"/>
      <c r="AB38" s="549"/>
      <c r="AC38" s="549"/>
      <c r="AD38" s="552"/>
      <c r="AE38" s="551"/>
      <c r="AF38" s="552"/>
    </row>
    <row r="39" spans="1:32" ht="12.75" customHeight="1">
      <c r="A39" s="547">
        <v>60</v>
      </c>
      <c r="B39" s="541">
        <v>-0.05</v>
      </c>
      <c r="C39" s="541">
        <v>-0.02</v>
      </c>
      <c r="D39" s="563">
        <v>0.03</v>
      </c>
      <c r="E39" s="543">
        <f t="shared" si="8"/>
        <v>2.5000000000000001E-2</v>
      </c>
      <c r="F39" s="544">
        <v>0.12</v>
      </c>
      <c r="G39" s="536">
        <v>4</v>
      </c>
      <c r="H39" s="547">
        <v>60</v>
      </c>
      <c r="I39" s="541">
        <v>-0.02</v>
      </c>
      <c r="J39" s="541">
        <v>0</v>
      </c>
      <c r="K39" s="563">
        <v>0.01</v>
      </c>
      <c r="L39" s="543">
        <f t="shared" si="6"/>
        <v>5.0000000000000001E-3</v>
      </c>
      <c r="M39" s="544">
        <v>0.12</v>
      </c>
      <c r="N39" s="536">
        <v>4</v>
      </c>
      <c r="O39" s="547">
        <v>60</v>
      </c>
      <c r="P39" s="541">
        <v>0.01</v>
      </c>
      <c r="Q39" s="563">
        <v>0.02</v>
      </c>
      <c r="R39" s="563">
        <v>-0.01</v>
      </c>
      <c r="S39" s="543">
        <f t="shared" si="7"/>
        <v>1.4999999999999999E-2</v>
      </c>
      <c r="T39" s="544">
        <v>0.12</v>
      </c>
      <c r="V39" s="549"/>
      <c r="W39" s="549"/>
      <c r="X39" s="550"/>
      <c r="Y39" s="551"/>
      <c r="Z39" s="552"/>
      <c r="AA39" s="527"/>
      <c r="AB39" s="549"/>
      <c r="AC39" s="549"/>
      <c r="AD39" s="550"/>
      <c r="AE39" s="551"/>
      <c r="AF39" s="552"/>
    </row>
    <row r="40" spans="1:32" ht="12.75" customHeight="1">
      <c r="A40" s="547">
        <v>60</v>
      </c>
      <c r="B40" s="541">
        <v>-0.05</v>
      </c>
      <c r="C40" s="541">
        <v>-0.02</v>
      </c>
      <c r="D40" s="563">
        <v>0.03</v>
      </c>
      <c r="E40" s="543">
        <f t="shared" si="8"/>
        <v>2.5000000000000001E-2</v>
      </c>
      <c r="F40" s="544">
        <v>0.12</v>
      </c>
      <c r="G40" s="536">
        <v>5</v>
      </c>
      <c r="H40" s="547">
        <v>60</v>
      </c>
      <c r="I40" s="541">
        <v>-0.02</v>
      </c>
      <c r="J40" s="541">
        <v>0</v>
      </c>
      <c r="K40" s="563">
        <v>0.01</v>
      </c>
      <c r="L40" s="543">
        <f t="shared" si="6"/>
        <v>5.0000000000000001E-3</v>
      </c>
      <c r="M40" s="544">
        <v>0.12</v>
      </c>
      <c r="N40" s="536">
        <v>5</v>
      </c>
      <c r="O40" s="547">
        <v>60</v>
      </c>
      <c r="P40" s="541">
        <v>0.01</v>
      </c>
      <c r="Q40" s="563">
        <v>0.02</v>
      </c>
      <c r="R40" s="563">
        <v>-0.01</v>
      </c>
      <c r="S40" s="543">
        <f t="shared" si="7"/>
        <v>1.4999999999999999E-2</v>
      </c>
      <c r="T40" s="544">
        <v>0.12</v>
      </c>
      <c r="V40" s="549"/>
      <c r="W40" s="549"/>
      <c r="X40" s="550"/>
      <c r="Y40" s="551"/>
      <c r="Z40" s="552"/>
      <c r="AA40" s="527"/>
      <c r="AB40" s="549"/>
      <c r="AC40" s="549"/>
      <c r="AD40" s="550"/>
      <c r="AE40" s="551"/>
      <c r="AF40" s="552"/>
    </row>
    <row r="41" spans="1:32" ht="12.75" customHeight="1">
      <c r="A41" s="547">
        <v>60</v>
      </c>
      <c r="B41" s="541">
        <v>-0.05</v>
      </c>
      <c r="C41" s="541">
        <v>-0.02</v>
      </c>
      <c r="D41" s="563">
        <v>0.03</v>
      </c>
      <c r="E41" s="543">
        <f t="shared" si="8"/>
        <v>2.5000000000000001E-2</v>
      </c>
      <c r="F41" s="544">
        <v>0.12</v>
      </c>
      <c r="G41" s="536">
        <v>6</v>
      </c>
      <c r="H41" s="547">
        <v>60</v>
      </c>
      <c r="I41" s="541">
        <v>-0.02</v>
      </c>
      <c r="J41" s="541">
        <v>0</v>
      </c>
      <c r="K41" s="563">
        <v>0.01</v>
      </c>
      <c r="L41" s="543">
        <f t="shared" si="6"/>
        <v>5.0000000000000001E-3</v>
      </c>
      <c r="M41" s="544">
        <v>0.12</v>
      </c>
      <c r="N41" s="536">
        <v>6</v>
      </c>
      <c r="O41" s="547">
        <v>60</v>
      </c>
      <c r="P41" s="541">
        <v>0.01</v>
      </c>
      <c r="Q41" s="563">
        <v>0.02</v>
      </c>
      <c r="R41" s="563">
        <v>-0.01</v>
      </c>
      <c r="S41" s="543">
        <f t="shared" si="7"/>
        <v>1.4999999999999999E-2</v>
      </c>
      <c r="T41" s="544">
        <v>0.12</v>
      </c>
      <c r="V41" s="549"/>
      <c r="W41" s="549"/>
      <c r="X41" s="550"/>
      <c r="Y41" s="551"/>
      <c r="Z41" s="552"/>
      <c r="AA41" s="527"/>
      <c r="AB41" s="549"/>
      <c r="AC41" s="549"/>
      <c r="AD41" s="550"/>
      <c r="AE41" s="551"/>
      <c r="AF41" s="552"/>
    </row>
    <row r="42" spans="1:32" ht="12.75" customHeight="1">
      <c r="A42" s="547">
        <v>60</v>
      </c>
      <c r="B42" s="541">
        <v>-0.05</v>
      </c>
      <c r="C42" s="541">
        <v>-0.02</v>
      </c>
      <c r="D42" s="563">
        <v>0.03</v>
      </c>
      <c r="E42" s="543">
        <f t="shared" si="8"/>
        <v>2.5000000000000001E-2</v>
      </c>
      <c r="F42" s="544">
        <v>0.12</v>
      </c>
      <c r="G42" s="536">
        <v>7</v>
      </c>
      <c r="H42" s="547">
        <v>60</v>
      </c>
      <c r="I42" s="541">
        <v>-0.02</v>
      </c>
      <c r="J42" s="541">
        <v>0</v>
      </c>
      <c r="K42" s="563">
        <v>0.01</v>
      </c>
      <c r="L42" s="543">
        <f t="shared" si="6"/>
        <v>5.0000000000000001E-3</v>
      </c>
      <c r="M42" s="544">
        <v>0.12</v>
      </c>
      <c r="N42" s="536">
        <v>7</v>
      </c>
      <c r="O42" s="547">
        <v>60</v>
      </c>
      <c r="P42" s="541">
        <v>0.01</v>
      </c>
      <c r="Q42" s="563">
        <v>0.02</v>
      </c>
      <c r="R42" s="563">
        <v>-0.01</v>
      </c>
      <c r="S42" s="543">
        <f t="shared" si="7"/>
        <v>1.4999999999999999E-2</v>
      </c>
      <c r="T42" s="544">
        <v>0.12</v>
      </c>
      <c r="V42" s="549"/>
      <c r="W42" s="549"/>
      <c r="X42" s="550"/>
      <c r="Y42" s="551"/>
      <c r="Z42" s="552"/>
      <c r="AA42" s="527"/>
      <c r="AB42" s="549"/>
      <c r="AC42" s="549"/>
      <c r="AD42" s="550"/>
      <c r="AE42" s="551"/>
      <c r="AF42" s="552"/>
    </row>
    <row r="43" spans="1:32" ht="13.5" customHeight="1">
      <c r="A43" s="547">
        <v>300</v>
      </c>
      <c r="B43" s="541">
        <v>-0.06</v>
      </c>
      <c r="C43" s="541">
        <v>-0.01</v>
      </c>
      <c r="D43" s="563">
        <v>0.02</v>
      </c>
      <c r="E43" s="543">
        <f t="shared" si="8"/>
        <v>1.4999999999999999E-2</v>
      </c>
      <c r="F43" s="544">
        <v>0.12</v>
      </c>
      <c r="G43" s="536">
        <v>8</v>
      </c>
      <c r="H43" s="547">
        <v>300</v>
      </c>
      <c r="I43" s="541">
        <v>-0.02</v>
      </c>
      <c r="J43" s="541">
        <v>0.01</v>
      </c>
      <c r="K43" s="563">
        <v>0.02</v>
      </c>
      <c r="L43" s="543">
        <f t="shared" si="6"/>
        <v>5.0000000000000001E-3</v>
      </c>
      <c r="M43" s="544">
        <v>0.12</v>
      </c>
      <c r="N43" s="536">
        <v>8</v>
      </c>
      <c r="O43" s="547">
        <v>300</v>
      </c>
      <c r="P43" s="541">
        <v>0.01</v>
      </c>
      <c r="Q43" s="563">
        <v>0.01</v>
      </c>
      <c r="R43" s="563">
        <v>-0.02</v>
      </c>
      <c r="S43" s="543">
        <f t="shared" si="7"/>
        <v>1.4999999999999999E-2</v>
      </c>
      <c r="T43" s="544">
        <v>0.12</v>
      </c>
      <c r="V43" s="549"/>
      <c r="W43" s="549"/>
      <c r="X43" s="550"/>
      <c r="Y43" s="551"/>
      <c r="Z43" s="552"/>
      <c r="AA43" s="527"/>
      <c r="AB43" s="549"/>
      <c r="AC43" s="549"/>
      <c r="AD43" s="550"/>
      <c r="AE43" s="551"/>
      <c r="AF43" s="552"/>
    </row>
    <row r="44" spans="1:32" ht="13.5" customHeight="1">
      <c r="A44" s="547">
        <v>600</v>
      </c>
      <c r="B44" s="541">
        <v>-0.05</v>
      </c>
      <c r="C44" s="541">
        <v>-0.03</v>
      </c>
      <c r="D44" s="563">
        <v>0.04</v>
      </c>
      <c r="E44" s="543">
        <f t="shared" si="8"/>
        <v>3.5000000000000003E-2</v>
      </c>
      <c r="F44" s="544">
        <v>0.12</v>
      </c>
      <c r="G44" s="536">
        <v>9</v>
      </c>
      <c r="H44" s="547">
        <v>600</v>
      </c>
      <c r="I44" s="541">
        <v>-0.02</v>
      </c>
      <c r="J44" s="541">
        <v>0.01</v>
      </c>
      <c r="K44" s="563">
        <v>0.02</v>
      </c>
      <c r="L44" s="543">
        <f t="shared" si="6"/>
        <v>5.0000000000000001E-3</v>
      </c>
      <c r="M44" s="544">
        <v>0.12</v>
      </c>
      <c r="N44" s="536">
        <v>9</v>
      </c>
      <c r="O44" s="547">
        <v>600</v>
      </c>
      <c r="P44" s="541">
        <v>0.01</v>
      </c>
      <c r="Q44" s="563">
        <v>0.01</v>
      </c>
      <c r="R44" s="563">
        <v>-0.02</v>
      </c>
      <c r="S44" s="543">
        <f t="shared" si="7"/>
        <v>1.4999999999999999E-2</v>
      </c>
      <c r="T44" s="544">
        <v>0.12</v>
      </c>
      <c r="V44" s="549"/>
      <c r="W44" s="549"/>
      <c r="X44" s="550"/>
      <c r="Y44" s="551"/>
      <c r="Z44" s="552"/>
      <c r="AA44" s="527"/>
      <c r="AB44" s="549"/>
      <c r="AC44" s="549"/>
      <c r="AD44" s="550"/>
      <c r="AE44" s="551"/>
      <c r="AF44" s="552"/>
    </row>
    <row r="45" spans="1:32" ht="13.5" customHeight="1">
      <c r="A45" s="547">
        <v>900</v>
      </c>
      <c r="B45" s="541">
        <v>-0.05</v>
      </c>
      <c r="C45" s="541">
        <v>-0.02</v>
      </c>
      <c r="D45" s="563">
        <v>0.02</v>
      </c>
      <c r="E45" s="543">
        <f t="shared" si="8"/>
        <v>0.02</v>
      </c>
      <c r="F45" s="544">
        <v>0.12</v>
      </c>
      <c r="G45" s="536">
        <v>10</v>
      </c>
      <c r="H45" s="547">
        <v>900</v>
      </c>
      <c r="I45" s="541">
        <v>-0.02</v>
      </c>
      <c r="J45" s="541">
        <v>-0.01</v>
      </c>
      <c r="K45" s="563">
        <v>0.02</v>
      </c>
      <c r="L45" s="543">
        <f t="shared" si="6"/>
        <v>1.4999999999999999E-2</v>
      </c>
      <c r="M45" s="544">
        <v>0.12</v>
      </c>
      <c r="N45" s="536">
        <v>10</v>
      </c>
      <c r="O45" s="547">
        <v>900</v>
      </c>
      <c r="P45" s="541">
        <v>0.01</v>
      </c>
      <c r="Q45" s="563">
        <v>0.02</v>
      </c>
      <c r="R45" s="563">
        <v>-0.02</v>
      </c>
      <c r="S45" s="543">
        <f t="shared" si="7"/>
        <v>0.02</v>
      </c>
      <c r="T45" s="544">
        <v>0.12</v>
      </c>
      <c r="V45" s="549"/>
      <c r="W45" s="549"/>
      <c r="X45" s="550"/>
      <c r="Y45" s="551"/>
      <c r="Z45" s="552"/>
      <c r="AA45" s="527"/>
      <c r="AB45" s="549"/>
      <c r="AC45" s="549"/>
      <c r="AD45" s="550"/>
      <c r="AE45" s="551"/>
      <c r="AF45" s="552"/>
    </row>
    <row r="46" spans="1:32" ht="13.5" customHeight="1">
      <c r="A46" s="547">
        <v>1200</v>
      </c>
      <c r="B46" s="541" t="s">
        <v>196</v>
      </c>
      <c r="C46" s="541" t="s">
        <v>196</v>
      </c>
      <c r="D46" s="563">
        <v>0.03</v>
      </c>
      <c r="E46" s="543">
        <f>IFERROR(IF(OR(C46="-",D46="-"),1/3*F46,0.5*(MAX(C46:D46)-MIN(C46:D46))),0)</f>
        <v>3.9999999999999994E-2</v>
      </c>
      <c r="F46" s="544">
        <v>0.12</v>
      </c>
      <c r="G46" s="536">
        <v>11</v>
      </c>
      <c r="H46" s="547">
        <v>1200</v>
      </c>
      <c r="I46" s="541" t="s">
        <v>196</v>
      </c>
      <c r="J46" s="541" t="s">
        <v>196</v>
      </c>
      <c r="K46" s="563">
        <v>0.02</v>
      </c>
      <c r="L46" s="543">
        <f>IFERROR(IF(OR(J46="-",K46="-"),1/3*M46,0.5*(MAX(J46:K46)-MIN(J46:K46))),0)</f>
        <v>3.9999999999999994E-2</v>
      </c>
      <c r="M46" s="544">
        <v>0.12</v>
      </c>
      <c r="N46" s="536">
        <v>11</v>
      </c>
      <c r="O46" s="547">
        <v>1200</v>
      </c>
      <c r="P46" s="541" t="s">
        <v>196</v>
      </c>
      <c r="Q46" s="563">
        <v>0.02</v>
      </c>
      <c r="R46" s="563">
        <v>-0.03</v>
      </c>
      <c r="S46" s="543">
        <f>IFERROR(IF(OR(Q46="-",R46="-"),1/3*T46,0.5*(MAX(Q46:R46)-MIN(Q46:R46))),0)</f>
        <v>2.5000000000000001E-2</v>
      </c>
      <c r="T46" s="544">
        <v>0.12</v>
      </c>
      <c r="V46" s="549"/>
      <c r="W46" s="549"/>
      <c r="X46" s="550"/>
      <c r="Y46" s="551"/>
      <c r="Z46" s="552"/>
      <c r="AA46" s="527"/>
      <c r="AB46" s="549"/>
      <c r="AC46" s="549"/>
      <c r="AD46" s="550"/>
      <c r="AE46" s="551"/>
      <c r="AF46" s="552"/>
    </row>
    <row r="47" spans="1:32" ht="13.5" customHeight="1">
      <c r="A47" s="1441"/>
      <c r="B47" s="1442"/>
      <c r="C47" s="1442"/>
      <c r="D47" s="1442"/>
      <c r="E47" s="1442"/>
      <c r="F47" s="1443"/>
      <c r="G47" s="530"/>
      <c r="H47" s="1444"/>
      <c r="I47" s="1445"/>
      <c r="J47" s="1445"/>
      <c r="K47" s="1445"/>
      <c r="L47" s="1445"/>
      <c r="M47" s="1446"/>
      <c r="N47" s="561"/>
      <c r="T47" s="564"/>
      <c r="V47" s="523"/>
      <c r="W47" s="523"/>
      <c r="X47" s="523"/>
      <c r="Y47" s="523"/>
      <c r="Z47" s="523"/>
      <c r="AA47" s="527"/>
      <c r="AB47" s="554"/>
      <c r="AC47" s="554"/>
      <c r="AD47" s="554"/>
      <c r="AE47" s="554"/>
      <c r="AF47" s="554"/>
    </row>
    <row r="48" spans="1:32" ht="15.75" customHeight="1">
      <c r="A48" s="1440" t="s">
        <v>281</v>
      </c>
      <c r="B48" s="1435"/>
      <c r="C48" s="1435"/>
      <c r="D48" s="1436"/>
      <c r="E48" s="1431" t="s">
        <v>182</v>
      </c>
      <c r="F48" s="1432" t="str">
        <f>F33</f>
        <v>U95 STD</v>
      </c>
      <c r="G48" s="530"/>
      <c r="H48" s="1434" t="s">
        <v>282</v>
      </c>
      <c r="I48" s="1435"/>
      <c r="J48" s="1435"/>
      <c r="K48" s="1436"/>
      <c r="L48" s="1431" t="s">
        <v>182</v>
      </c>
      <c r="M48" s="1432" t="str">
        <f>M33</f>
        <v>U95 STD</v>
      </c>
      <c r="N48" s="561"/>
      <c r="O48" s="1434" t="s">
        <v>283</v>
      </c>
      <c r="P48" s="1435"/>
      <c r="Q48" s="1435"/>
      <c r="R48" s="1436"/>
      <c r="S48" s="1431" t="s">
        <v>182</v>
      </c>
      <c r="T48" s="1432" t="str">
        <f>T33</f>
        <v>U95 STD</v>
      </c>
      <c r="V48" s="524"/>
      <c r="W48" s="524"/>
      <c r="X48" s="524"/>
      <c r="Y48" s="525"/>
      <c r="Z48" s="526"/>
      <c r="AA48" s="527"/>
      <c r="AB48" s="524"/>
      <c r="AC48" s="524"/>
      <c r="AD48" s="524"/>
      <c r="AE48" s="525"/>
      <c r="AF48" s="526"/>
    </row>
    <row r="49" spans="1:32" ht="12.75" customHeight="1">
      <c r="A49" s="529" t="str">
        <f>A34</f>
        <v>Timer</v>
      </c>
      <c r="B49" s="1414" t="s">
        <v>185</v>
      </c>
      <c r="C49" s="1415"/>
      <c r="D49" s="1416"/>
      <c r="E49" s="1431"/>
      <c r="F49" s="1432"/>
      <c r="G49" s="530"/>
      <c r="H49" s="531" t="str">
        <f>H34</f>
        <v>Timer</v>
      </c>
      <c r="I49" s="1414" t="s">
        <v>185</v>
      </c>
      <c r="J49" s="1415"/>
      <c r="K49" s="1416"/>
      <c r="L49" s="1431"/>
      <c r="M49" s="1432"/>
      <c r="N49" s="561"/>
      <c r="O49" s="531" t="str">
        <f>O34</f>
        <v>Timer</v>
      </c>
      <c r="P49" s="1414" t="s">
        <v>185</v>
      </c>
      <c r="Q49" s="1415"/>
      <c r="R49" s="1416"/>
      <c r="S49" s="1431"/>
      <c r="T49" s="1432"/>
      <c r="V49" s="532"/>
      <c r="W49" s="525"/>
      <c r="X49" s="525"/>
      <c r="Y49" s="525"/>
      <c r="Z49" s="526"/>
      <c r="AA49" s="527"/>
      <c r="AB49" s="532"/>
      <c r="AC49" s="525"/>
      <c r="AD49" s="525"/>
      <c r="AE49" s="525"/>
      <c r="AF49" s="526"/>
    </row>
    <row r="50" spans="1:32" ht="15" customHeight="1">
      <c r="A50" s="533" t="str">
        <f>A35</f>
        <v>s</v>
      </c>
      <c r="B50" s="534">
        <v>2023</v>
      </c>
      <c r="C50" s="534">
        <v>2022</v>
      </c>
      <c r="D50" s="535">
        <v>2021</v>
      </c>
      <c r="E50" s="1431"/>
      <c r="F50" s="1432"/>
      <c r="G50" s="536" t="s">
        <v>46</v>
      </c>
      <c r="H50" s="537" t="str">
        <f>H35</f>
        <v>s</v>
      </c>
      <c r="I50" s="534">
        <v>2023</v>
      </c>
      <c r="J50" s="534">
        <v>2022</v>
      </c>
      <c r="K50" s="535">
        <v>2021</v>
      </c>
      <c r="L50" s="1431"/>
      <c r="M50" s="1432"/>
      <c r="N50" s="536" t="s">
        <v>46</v>
      </c>
      <c r="O50" s="537" t="str">
        <f>O35</f>
        <v>s</v>
      </c>
      <c r="P50" s="534">
        <v>2023</v>
      </c>
      <c r="Q50" s="534">
        <v>2022</v>
      </c>
      <c r="R50" s="535">
        <v>2021</v>
      </c>
      <c r="S50" s="1431"/>
      <c r="T50" s="1432"/>
      <c r="V50" s="538"/>
      <c r="W50" s="532"/>
      <c r="X50" s="532"/>
      <c r="Y50" s="525"/>
      <c r="Z50" s="526"/>
      <c r="AA50" s="527"/>
      <c r="AB50" s="538"/>
      <c r="AC50" s="532"/>
      <c r="AD50" s="532"/>
      <c r="AE50" s="525"/>
      <c r="AF50" s="526"/>
    </row>
    <row r="51" spans="1:32" ht="12.75" customHeight="1">
      <c r="A51" s="540">
        <v>0</v>
      </c>
      <c r="B51" s="541">
        <v>0</v>
      </c>
      <c r="C51" s="541">
        <v>0</v>
      </c>
      <c r="D51" s="542">
        <v>9.9999999999999995E-7</v>
      </c>
      <c r="E51" s="543">
        <f>IFERROR(IF(OR(C51="-",D51="-"),1/3*F51,0.5*(MAX(C51:D51)-MIN(C51:D51))),0)</f>
        <v>4.9999999999999998E-7</v>
      </c>
      <c r="F51" s="544">
        <v>0</v>
      </c>
      <c r="G51" s="536">
        <v>1</v>
      </c>
      <c r="H51" s="540">
        <v>0</v>
      </c>
      <c r="I51" s="541">
        <v>0</v>
      </c>
      <c r="J51" s="541">
        <v>0</v>
      </c>
      <c r="K51" s="542">
        <v>9.9999999999999995E-7</v>
      </c>
      <c r="L51" s="543">
        <f>IFERROR(IF(OR(J51="-",K51="-"),1/3*M51,0.5*(MAX(J51:K51)-MIN(J51:K51))),0)</f>
        <v>4.9999999999999998E-7</v>
      </c>
      <c r="M51" s="544">
        <v>0</v>
      </c>
      <c r="N51" s="536">
        <v>1</v>
      </c>
      <c r="O51" s="540">
        <v>0</v>
      </c>
      <c r="P51" s="541">
        <v>0</v>
      </c>
      <c r="Q51" s="541">
        <v>0</v>
      </c>
      <c r="R51" s="542">
        <v>9.9999999999999995E-7</v>
      </c>
      <c r="S51" s="543">
        <f>IFERROR(IF(OR(Q51="-",R51="-"),1/3*T51,0.5*(MAX(Q51:R51)-MIN(Q51:R51))),0)</f>
        <v>4.9999999999999998E-7</v>
      </c>
      <c r="T51" s="544">
        <v>0</v>
      </c>
      <c r="V51" s="549"/>
      <c r="W51" s="549"/>
      <c r="X51" s="552"/>
      <c r="Y51" s="551"/>
      <c r="Z51" s="552"/>
      <c r="AA51" s="527"/>
      <c r="AB51" s="549"/>
      <c r="AC51" s="549"/>
      <c r="AD51" s="552"/>
      <c r="AE51" s="551"/>
      <c r="AF51" s="552"/>
    </row>
    <row r="52" spans="1:32" ht="12.75" customHeight="1">
      <c r="A52" s="547">
        <v>10</v>
      </c>
      <c r="B52" s="541">
        <v>-0.03</v>
      </c>
      <c r="C52" s="541">
        <v>0.01</v>
      </c>
      <c r="D52" s="563">
        <v>-7.0000000000000007E-2</v>
      </c>
      <c r="E52" s="543">
        <f t="shared" ref="E52:E60" si="9">IFERROR(IF(OR(C52="-",D52="-"),1/3*F52,0.5*(MAX(C52:D52)-MIN(C52:D52))),0)</f>
        <v>0.04</v>
      </c>
      <c r="F52" s="544">
        <v>0.12</v>
      </c>
      <c r="G52" s="536">
        <v>2</v>
      </c>
      <c r="H52" s="547">
        <v>10</v>
      </c>
      <c r="I52" s="541">
        <v>-0.03</v>
      </c>
      <c r="J52" s="541">
        <v>0</v>
      </c>
      <c r="K52" s="563">
        <v>-0.03</v>
      </c>
      <c r="L52" s="543">
        <f t="shared" ref="L52:L60" si="10">IFERROR(IF(OR(J52="-",K52="-"),1/3*M52,0.5*(MAX(J52:K52)-MIN(J52:K52))),0)</f>
        <v>1.4999999999999999E-2</v>
      </c>
      <c r="M52" s="544">
        <v>0.12</v>
      </c>
      <c r="N52" s="536">
        <v>2</v>
      </c>
      <c r="O52" s="547">
        <v>10</v>
      </c>
      <c r="P52" s="541">
        <v>0.03</v>
      </c>
      <c r="Q52" s="541">
        <v>0.01</v>
      </c>
      <c r="R52" s="563">
        <v>0.02</v>
      </c>
      <c r="S52" s="543">
        <f t="shared" ref="S52:S60" si="11">IFERROR(IF(OR(Q52="-",R52="-"),1/3*T52,0.5*(MAX(Q52:R52)-MIN(Q52:R52))),0)</f>
        <v>5.0000000000000001E-3</v>
      </c>
      <c r="T52" s="544">
        <v>0.12</v>
      </c>
      <c r="V52" s="549"/>
      <c r="W52" s="549"/>
      <c r="X52" s="552"/>
      <c r="Y52" s="551"/>
      <c r="Z52" s="552"/>
      <c r="AA52" s="527"/>
      <c r="AB52" s="549"/>
      <c r="AC52" s="549"/>
      <c r="AD52" s="552"/>
      <c r="AE52" s="551"/>
      <c r="AF52" s="552"/>
    </row>
    <row r="53" spans="1:32" ht="12.75" customHeight="1">
      <c r="A53" s="547">
        <v>30</v>
      </c>
      <c r="B53" s="541">
        <v>-0.03</v>
      </c>
      <c r="C53" s="541">
        <v>0.01</v>
      </c>
      <c r="D53" s="563">
        <v>-0.06</v>
      </c>
      <c r="E53" s="543">
        <f t="shared" si="9"/>
        <v>3.4999999999999996E-2</v>
      </c>
      <c r="F53" s="544">
        <v>0.12</v>
      </c>
      <c r="G53" s="536">
        <v>3</v>
      </c>
      <c r="H53" s="547">
        <v>30</v>
      </c>
      <c r="I53" s="541">
        <v>-0.03</v>
      </c>
      <c r="J53" s="541">
        <v>0</v>
      </c>
      <c r="K53" s="563">
        <v>-0.04</v>
      </c>
      <c r="L53" s="543">
        <f t="shared" si="10"/>
        <v>0.02</v>
      </c>
      <c r="M53" s="544">
        <v>0.12</v>
      </c>
      <c r="N53" s="536">
        <v>3</v>
      </c>
      <c r="O53" s="547">
        <v>20</v>
      </c>
      <c r="P53" s="541" t="s">
        <v>196</v>
      </c>
      <c r="Q53" s="541" t="s">
        <v>196</v>
      </c>
      <c r="R53" s="563">
        <v>0.01</v>
      </c>
      <c r="S53" s="543">
        <f t="shared" si="11"/>
        <v>3.9999999999999994E-2</v>
      </c>
      <c r="T53" s="544">
        <v>0.12</v>
      </c>
      <c r="V53" s="549"/>
      <c r="W53" s="549"/>
      <c r="X53" s="552"/>
      <c r="Y53" s="551"/>
      <c r="Z53" s="552"/>
      <c r="AA53" s="527"/>
      <c r="AB53" s="549"/>
      <c r="AC53" s="549"/>
      <c r="AD53" s="552"/>
      <c r="AE53" s="551"/>
      <c r="AF53" s="552"/>
    </row>
    <row r="54" spans="1:32" ht="12.75" customHeight="1">
      <c r="A54" s="547">
        <v>60</v>
      </c>
      <c r="B54" s="541">
        <v>-0.03</v>
      </c>
      <c r="C54" s="541">
        <v>0</v>
      </c>
      <c r="D54" s="563">
        <v>-0.06</v>
      </c>
      <c r="E54" s="543">
        <f t="shared" si="9"/>
        <v>0.03</v>
      </c>
      <c r="F54" s="544">
        <v>0.12</v>
      </c>
      <c r="G54" s="536">
        <v>4</v>
      </c>
      <c r="H54" s="547">
        <v>60</v>
      </c>
      <c r="I54" s="541">
        <v>-0.04</v>
      </c>
      <c r="J54" s="541">
        <v>0</v>
      </c>
      <c r="K54" s="563">
        <v>-0.03</v>
      </c>
      <c r="L54" s="543">
        <f t="shared" si="10"/>
        <v>1.4999999999999999E-2</v>
      </c>
      <c r="M54" s="544">
        <v>0.12</v>
      </c>
      <c r="N54" s="536">
        <v>4</v>
      </c>
      <c r="O54" s="547">
        <v>30</v>
      </c>
      <c r="P54" s="541">
        <v>0.02</v>
      </c>
      <c r="Q54" s="541">
        <v>0</v>
      </c>
      <c r="R54" s="563">
        <v>0.01</v>
      </c>
      <c r="S54" s="543">
        <f t="shared" si="11"/>
        <v>5.0000000000000001E-3</v>
      </c>
      <c r="T54" s="544">
        <v>0.12</v>
      </c>
      <c r="V54" s="549"/>
      <c r="W54" s="549"/>
      <c r="X54" s="550"/>
      <c r="Y54" s="551"/>
      <c r="Z54" s="552"/>
      <c r="AA54" s="527"/>
      <c r="AB54" s="549"/>
      <c r="AC54" s="549"/>
      <c r="AD54" s="550"/>
      <c r="AE54" s="551"/>
      <c r="AF54" s="552"/>
    </row>
    <row r="55" spans="1:32" ht="12.75" customHeight="1">
      <c r="A55" s="547">
        <v>60</v>
      </c>
      <c r="B55" s="541">
        <v>-0.03</v>
      </c>
      <c r="C55" s="541">
        <v>0</v>
      </c>
      <c r="D55" s="563">
        <v>-0.06</v>
      </c>
      <c r="E55" s="543">
        <f t="shared" si="9"/>
        <v>0.03</v>
      </c>
      <c r="F55" s="544">
        <v>0.12</v>
      </c>
      <c r="G55" s="536">
        <v>5</v>
      </c>
      <c r="H55" s="547">
        <v>60</v>
      </c>
      <c r="I55" s="541">
        <v>-0.04</v>
      </c>
      <c r="J55" s="541">
        <v>0</v>
      </c>
      <c r="K55" s="563">
        <v>-0.03</v>
      </c>
      <c r="L55" s="543">
        <f t="shared" si="10"/>
        <v>1.4999999999999999E-2</v>
      </c>
      <c r="M55" s="544">
        <v>0.12</v>
      </c>
      <c r="N55" s="536">
        <v>5</v>
      </c>
      <c r="O55" s="547">
        <v>40</v>
      </c>
      <c r="P55" s="541" t="s">
        <v>196</v>
      </c>
      <c r="Q55" s="541" t="s">
        <v>196</v>
      </c>
      <c r="R55" s="563">
        <v>0.02</v>
      </c>
      <c r="S55" s="543">
        <f t="shared" si="11"/>
        <v>3.9999999999999994E-2</v>
      </c>
      <c r="T55" s="544">
        <v>0.12</v>
      </c>
      <c r="V55" s="549"/>
      <c r="W55" s="549"/>
      <c r="X55" s="550"/>
      <c r="Y55" s="551"/>
      <c r="Z55" s="552"/>
      <c r="AA55" s="527"/>
      <c r="AB55" s="549"/>
      <c r="AC55" s="549"/>
      <c r="AD55" s="550"/>
      <c r="AE55" s="551"/>
      <c r="AF55" s="552"/>
    </row>
    <row r="56" spans="1:32" ht="12.75" customHeight="1">
      <c r="A56" s="547">
        <v>60</v>
      </c>
      <c r="B56" s="541">
        <v>-0.03</v>
      </c>
      <c r="C56" s="541">
        <v>0</v>
      </c>
      <c r="D56" s="563">
        <v>-0.06</v>
      </c>
      <c r="E56" s="543">
        <f t="shared" si="9"/>
        <v>0.03</v>
      </c>
      <c r="F56" s="544">
        <v>0.12</v>
      </c>
      <c r="G56" s="536">
        <v>6</v>
      </c>
      <c r="H56" s="547">
        <v>60</v>
      </c>
      <c r="I56" s="541">
        <v>-0.04</v>
      </c>
      <c r="J56" s="541">
        <v>0</v>
      </c>
      <c r="K56" s="563">
        <v>-0.03</v>
      </c>
      <c r="L56" s="543">
        <f t="shared" si="10"/>
        <v>1.4999999999999999E-2</v>
      </c>
      <c r="M56" s="544">
        <v>0.12</v>
      </c>
      <c r="N56" s="536">
        <v>6</v>
      </c>
      <c r="O56" s="547">
        <v>50</v>
      </c>
      <c r="P56" s="541" t="s">
        <v>196</v>
      </c>
      <c r="Q56" s="541" t="s">
        <v>196</v>
      </c>
      <c r="R56" s="563">
        <v>0.02</v>
      </c>
      <c r="S56" s="543">
        <f t="shared" si="11"/>
        <v>3.9999999999999994E-2</v>
      </c>
      <c r="T56" s="544">
        <v>0.12</v>
      </c>
      <c r="V56" s="549"/>
      <c r="W56" s="549"/>
      <c r="X56" s="550"/>
      <c r="Y56" s="551"/>
      <c r="Z56" s="552"/>
      <c r="AA56" s="527"/>
      <c r="AB56" s="549"/>
      <c r="AC56" s="549"/>
      <c r="AD56" s="550"/>
      <c r="AE56" s="551"/>
      <c r="AF56" s="552"/>
    </row>
    <row r="57" spans="1:32" ht="12.75" customHeight="1">
      <c r="A57" s="547">
        <v>60</v>
      </c>
      <c r="B57" s="541">
        <v>-0.03</v>
      </c>
      <c r="C57" s="541">
        <v>0</v>
      </c>
      <c r="D57" s="563">
        <v>-0.06</v>
      </c>
      <c r="E57" s="543">
        <f t="shared" si="9"/>
        <v>0.03</v>
      </c>
      <c r="F57" s="544">
        <v>0.12</v>
      </c>
      <c r="G57" s="536">
        <v>7</v>
      </c>
      <c r="H57" s="547">
        <v>60</v>
      </c>
      <c r="I57" s="541">
        <v>-0.04</v>
      </c>
      <c r="J57" s="541">
        <v>0</v>
      </c>
      <c r="K57" s="563">
        <v>-0.03</v>
      </c>
      <c r="L57" s="543">
        <f t="shared" si="10"/>
        <v>1.4999999999999999E-2</v>
      </c>
      <c r="M57" s="544">
        <v>0.12</v>
      </c>
      <c r="N57" s="536">
        <v>7</v>
      </c>
      <c r="O57" s="547">
        <v>60</v>
      </c>
      <c r="P57" s="541">
        <v>0.03</v>
      </c>
      <c r="Q57" s="541">
        <v>0.01</v>
      </c>
      <c r="R57" s="563">
        <v>0.02</v>
      </c>
      <c r="S57" s="543">
        <f t="shared" si="11"/>
        <v>5.0000000000000001E-3</v>
      </c>
      <c r="T57" s="544">
        <v>0.12</v>
      </c>
      <c r="V57" s="549"/>
      <c r="W57" s="549"/>
      <c r="X57" s="550"/>
      <c r="Y57" s="551"/>
      <c r="Z57" s="552"/>
      <c r="AA57" s="527"/>
      <c r="AB57" s="549"/>
      <c r="AC57" s="549"/>
      <c r="AD57" s="550"/>
      <c r="AE57" s="551"/>
      <c r="AF57" s="552"/>
    </row>
    <row r="58" spans="1:32" ht="12.75" customHeight="1">
      <c r="A58" s="547">
        <v>300</v>
      </c>
      <c r="B58" s="541">
        <v>-0.03</v>
      </c>
      <c r="C58" s="541">
        <v>0.01</v>
      </c>
      <c r="D58" s="563">
        <v>-0.05</v>
      </c>
      <c r="E58" s="543">
        <f t="shared" si="9"/>
        <v>3.0000000000000002E-2</v>
      </c>
      <c r="F58" s="544">
        <v>0.12</v>
      </c>
      <c r="G58" s="536">
        <v>8</v>
      </c>
      <c r="H58" s="547">
        <v>300</v>
      </c>
      <c r="I58" s="541">
        <v>-0.03</v>
      </c>
      <c r="J58" s="541">
        <v>0</v>
      </c>
      <c r="K58" s="563">
        <v>-0.03</v>
      </c>
      <c r="L58" s="543">
        <f t="shared" si="10"/>
        <v>1.4999999999999999E-2</v>
      </c>
      <c r="M58" s="544">
        <v>0.12</v>
      </c>
      <c r="N58" s="536">
        <v>8</v>
      </c>
      <c r="O58" s="547">
        <v>300</v>
      </c>
      <c r="P58" s="541">
        <v>0.03</v>
      </c>
      <c r="Q58" s="541">
        <v>-0.01</v>
      </c>
      <c r="R58" s="563">
        <v>0.02</v>
      </c>
      <c r="S58" s="543">
        <f t="shared" si="11"/>
        <v>1.4999999999999999E-2</v>
      </c>
      <c r="T58" s="544">
        <v>0.12</v>
      </c>
      <c r="V58" s="549"/>
      <c r="W58" s="549"/>
      <c r="X58" s="550"/>
      <c r="Y58" s="551"/>
      <c r="Z58" s="552"/>
      <c r="AA58" s="527"/>
      <c r="AB58" s="549"/>
      <c r="AC58" s="549"/>
      <c r="AD58" s="550"/>
      <c r="AE58" s="551"/>
      <c r="AF58" s="552"/>
    </row>
    <row r="59" spans="1:32" ht="12.75" customHeight="1">
      <c r="A59" s="547">
        <v>600</v>
      </c>
      <c r="B59" s="541">
        <v>-0.03</v>
      </c>
      <c r="C59" s="541">
        <v>0.01</v>
      </c>
      <c r="D59" s="563">
        <v>-0.06</v>
      </c>
      <c r="E59" s="543">
        <f>IFERROR(IF(OR(C59="-",D59="-"),1/3*F59,0.5*(MAX(C59:D59)-MIN(C59:D59))),0)</f>
        <v>3.4999999999999996E-2</v>
      </c>
      <c r="F59" s="544">
        <v>0.12</v>
      </c>
      <c r="G59" s="536">
        <v>9</v>
      </c>
      <c r="H59" s="547">
        <v>600</v>
      </c>
      <c r="I59" s="541">
        <v>-0.04</v>
      </c>
      <c r="J59" s="541">
        <v>0.01</v>
      </c>
      <c r="K59" s="563">
        <v>-0.04</v>
      </c>
      <c r="L59" s="543">
        <f>IFERROR(IF(OR(J59="-",K59="-"),1/3*M59,0.5*(MAX(J59:K59)-MIN(J59:K59))),0)</f>
        <v>2.5000000000000001E-2</v>
      </c>
      <c r="M59" s="544">
        <v>0.12</v>
      </c>
      <c r="N59" s="536">
        <v>9</v>
      </c>
      <c r="O59" s="547">
        <v>600</v>
      </c>
      <c r="P59" s="541">
        <v>0.03</v>
      </c>
      <c r="Q59" s="541">
        <v>-0.01</v>
      </c>
      <c r="R59" s="563">
        <v>0.01</v>
      </c>
      <c r="S59" s="543">
        <f t="shared" si="11"/>
        <v>0.01</v>
      </c>
      <c r="T59" s="544">
        <v>0.12</v>
      </c>
      <c r="V59" s="549"/>
      <c r="W59" s="549"/>
      <c r="X59" s="550"/>
      <c r="Y59" s="551"/>
      <c r="Z59" s="552"/>
      <c r="AA59" s="527"/>
      <c r="AB59" s="549"/>
      <c r="AC59" s="549"/>
      <c r="AD59" s="550"/>
      <c r="AE59" s="551"/>
      <c r="AF59" s="552"/>
    </row>
    <row r="60" spans="1:32" ht="13.5" customHeight="1">
      <c r="A60" s="547">
        <v>900</v>
      </c>
      <c r="B60" s="541">
        <v>-0.02</v>
      </c>
      <c r="C60" s="541">
        <v>0.01</v>
      </c>
      <c r="D60" s="563">
        <v>-0.06</v>
      </c>
      <c r="E60" s="543">
        <f t="shared" si="9"/>
        <v>3.4999999999999996E-2</v>
      </c>
      <c r="F60" s="544">
        <v>0.12</v>
      </c>
      <c r="G60" s="536">
        <v>10</v>
      </c>
      <c r="H60" s="547">
        <v>900</v>
      </c>
      <c r="I60" s="541">
        <v>-0.04</v>
      </c>
      <c r="J60" s="541">
        <v>0.01</v>
      </c>
      <c r="K60" s="563">
        <v>-0.03</v>
      </c>
      <c r="L60" s="543">
        <f t="shared" si="10"/>
        <v>0.02</v>
      </c>
      <c r="M60" s="544">
        <v>0.12</v>
      </c>
      <c r="N60" s="536">
        <v>10</v>
      </c>
      <c r="O60" s="547">
        <v>900</v>
      </c>
      <c r="P60" s="541">
        <v>0.02</v>
      </c>
      <c r="Q60" s="541">
        <v>0</v>
      </c>
      <c r="R60" s="547" t="s">
        <v>196</v>
      </c>
      <c r="S60" s="543">
        <f t="shared" si="11"/>
        <v>3.9999999999999994E-2</v>
      </c>
      <c r="T60" s="544">
        <v>0.12</v>
      </c>
      <c r="V60" s="549"/>
      <c r="W60" s="549"/>
      <c r="X60" s="550"/>
      <c r="Y60" s="551"/>
      <c r="Z60" s="552"/>
      <c r="AA60" s="527"/>
      <c r="AB60" s="549"/>
      <c r="AC60" s="549"/>
      <c r="AD60" s="550"/>
      <c r="AE60" s="551"/>
      <c r="AF60" s="552"/>
    </row>
    <row r="61" spans="1:32" ht="13.5" customHeight="1">
      <c r="A61" s="547">
        <v>1200</v>
      </c>
      <c r="B61" s="541" t="s">
        <v>196</v>
      </c>
      <c r="C61" s="541" t="s">
        <v>196</v>
      </c>
      <c r="D61" s="563">
        <v>-0.05</v>
      </c>
      <c r="E61" s="543">
        <f>IFERROR(IF(OR(C61="-",D61="-"),1/3*F61,0.5*(MAX(C61:D61)-MIN(C61:D61))),0)</f>
        <v>3.9999999999999994E-2</v>
      </c>
      <c r="F61" s="544">
        <v>0.12</v>
      </c>
      <c r="G61" s="536">
        <v>11</v>
      </c>
      <c r="H61" s="547">
        <v>1200</v>
      </c>
      <c r="I61" s="541" t="s">
        <v>196</v>
      </c>
      <c r="J61" s="541" t="s">
        <v>196</v>
      </c>
      <c r="K61" s="563">
        <v>-0.02</v>
      </c>
      <c r="L61" s="543">
        <f>IFERROR(IF(OR(J61="-",K61="-"),1/3*M61,0.5*(MAX(J61:K61)-MIN(J61:K61))),0)</f>
        <v>3.9999999999999994E-2</v>
      </c>
      <c r="M61" s="544">
        <v>0.12</v>
      </c>
      <c r="N61" s="536">
        <v>11</v>
      </c>
      <c r="O61" s="547">
        <v>1200</v>
      </c>
      <c r="P61" s="541" t="s">
        <v>196</v>
      </c>
      <c r="Q61" s="541" t="s">
        <v>196</v>
      </c>
      <c r="R61" s="547" t="s">
        <v>196</v>
      </c>
      <c r="S61" s="543">
        <f>IFERROR(IF(OR(Q61="-",R61="-"),1/3*T61,0.5*(MAX(Q61:R61)-MIN(Q61:R61))),0)</f>
        <v>3.9999999999999994E-2</v>
      </c>
      <c r="T61" s="544">
        <v>0.12</v>
      </c>
      <c r="V61" s="549"/>
      <c r="W61" s="549"/>
      <c r="X61" s="550"/>
      <c r="Y61" s="551"/>
      <c r="Z61" s="552"/>
      <c r="AA61" s="555"/>
      <c r="AB61" s="549"/>
      <c r="AC61" s="549"/>
      <c r="AD61" s="550"/>
      <c r="AE61" s="551"/>
      <c r="AF61" s="552"/>
    </row>
    <row r="62" spans="1:32" ht="13.5" customHeight="1">
      <c r="A62" s="565"/>
      <c r="B62" s="566"/>
      <c r="C62" s="567"/>
      <c r="D62" s="568"/>
      <c r="E62" s="551"/>
      <c r="F62" s="552"/>
      <c r="G62" s="555"/>
      <c r="H62" s="566"/>
      <c r="I62" s="566"/>
      <c r="J62" s="567"/>
      <c r="K62" s="568"/>
      <c r="L62" s="551"/>
      <c r="M62" s="552"/>
      <c r="N62" s="561"/>
      <c r="O62" s="566"/>
      <c r="P62" s="566"/>
      <c r="Q62" s="567"/>
      <c r="R62" s="568"/>
      <c r="S62" s="551"/>
      <c r="T62" s="552"/>
      <c r="V62" s="549"/>
      <c r="W62" s="549"/>
      <c r="X62" s="550"/>
      <c r="Y62" s="551"/>
      <c r="Z62" s="552"/>
      <c r="AA62" s="555"/>
      <c r="AB62" s="549"/>
      <c r="AC62" s="549"/>
      <c r="AD62" s="550"/>
      <c r="AE62" s="551"/>
      <c r="AF62" s="552"/>
    </row>
    <row r="63" spans="1:32" ht="13.5" customHeight="1">
      <c r="A63" s="1440" t="s">
        <v>284</v>
      </c>
      <c r="B63" s="1435"/>
      <c r="C63" s="1435"/>
      <c r="D63" s="1436"/>
      <c r="E63" s="1431" t="s">
        <v>182</v>
      </c>
      <c r="F63" s="1432" t="str">
        <f>F48</f>
        <v>U95 STD</v>
      </c>
      <c r="G63" s="555"/>
      <c r="H63" s="1440" t="s">
        <v>285</v>
      </c>
      <c r="I63" s="1435"/>
      <c r="J63" s="1435"/>
      <c r="K63" s="1436"/>
      <c r="L63" s="1431" t="s">
        <v>182</v>
      </c>
      <c r="M63" s="1432" t="str">
        <f>M48</f>
        <v>U95 STD</v>
      </c>
      <c r="N63" s="561"/>
      <c r="O63" s="1440" t="s">
        <v>286</v>
      </c>
      <c r="P63" s="1435"/>
      <c r="Q63" s="1435"/>
      <c r="R63" s="1436"/>
      <c r="S63" s="1431" t="s">
        <v>182</v>
      </c>
      <c r="T63" s="1432" t="str">
        <f>T48</f>
        <v>U95 STD</v>
      </c>
      <c r="V63" s="549"/>
      <c r="W63" s="549"/>
      <c r="X63" s="550"/>
      <c r="Y63" s="551"/>
      <c r="Z63" s="552"/>
      <c r="AA63" s="555"/>
      <c r="AB63" s="549"/>
      <c r="AC63" s="549"/>
      <c r="AD63" s="550"/>
      <c r="AE63" s="551"/>
      <c r="AF63" s="552"/>
    </row>
    <row r="64" spans="1:32" ht="13.5" customHeight="1">
      <c r="A64" s="529" t="str">
        <f>A49</f>
        <v>Timer</v>
      </c>
      <c r="B64" s="1414" t="s">
        <v>185</v>
      </c>
      <c r="C64" s="1415"/>
      <c r="D64" s="1416"/>
      <c r="E64" s="1431"/>
      <c r="F64" s="1432"/>
      <c r="G64" s="555"/>
      <c r="H64" s="529" t="str">
        <f>H49</f>
        <v>Timer</v>
      </c>
      <c r="I64" s="1414" t="s">
        <v>185</v>
      </c>
      <c r="J64" s="1415"/>
      <c r="K64" s="1416"/>
      <c r="L64" s="1431"/>
      <c r="M64" s="1432"/>
      <c r="N64" s="561"/>
      <c r="O64" s="529" t="str">
        <f>O49</f>
        <v>Timer</v>
      </c>
      <c r="P64" s="1414" t="s">
        <v>185</v>
      </c>
      <c r="Q64" s="1415"/>
      <c r="R64" s="1416"/>
      <c r="S64" s="1431"/>
      <c r="T64" s="1432"/>
      <c r="V64" s="549"/>
      <c r="W64" s="549"/>
      <c r="X64" s="550"/>
      <c r="Y64" s="551"/>
      <c r="Z64" s="552"/>
      <c r="AA64" s="555"/>
      <c r="AB64" s="549"/>
      <c r="AC64" s="549"/>
      <c r="AD64" s="550"/>
      <c r="AE64" s="551"/>
      <c r="AF64" s="552"/>
    </row>
    <row r="65" spans="1:32" ht="13.5" customHeight="1">
      <c r="A65" s="533" t="str">
        <f>A50</f>
        <v>s</v>
      </c>
      <c r="B65" s="534">
        <v>2023</v>
      </c>
      <c r="C65" s="534">
        <v>2022</v>
      </c>
      <c r="D65" s="535">
        <v>2021</v>
      </c>
      <c r="E65" s="1431"/>
      <c r="F65" s="1432"/>
      <c r="G65" s="536" t="s">
        <v>46</v>
      </c>
      <c r="H65" s="533" t="str">
        <f>H50</f>
        <v>s</v>
      </c>
      <c r="I65" s="534">
        <v>2023</v>
      </c>
      <c r="J65" s="534">
        <v>2022</v>
      </c>
      <c r="K65" s="535">
        <v>2021</v>
      </c>
      <c r="L65" s="1431"/>
      <c r="M65" s="1432"/>
      <c r="N65" s="536" t="s">
        <v>46</v>
      </c>
      <c r="O65" s="533" t="str">
        <f>O50</f>
        <v>s</v>
      </c>
      <c r="P65" s="534">
        <v>2022</v>
      </c>
      <c r="Q65" s="535">
        <v>2021</v>
      </c>
      <c r="R65" s="569">
        <v>2020</v>
      </c>
      <c r="S65" s="1431"/>
      <c r="T65" s="1432"/>
      <c r="V65" s="549"/>
      <c r="W65" s="549"/>
      <c r="X65" s="550"/>
      <c r="Y65" s="551"/>
      <c r="Z65" s="552"/>
      <c r="AA65" s="555"/>
      <c r="AB65" s="549"/>
      <c r="AC65" s="549"/>
      <c r="AD65" s="550"/>
      <c r="AE65" s="551"/>
      <c r="AF65" s="552"/>
    </row>
    <row r="66" spans="1:32" ht="13.5" customHeight="1">
      <c r="A66" s="540">
        <v>0</v>
      </c>
      <c r="B66" s="541">
        <v>0</v>
      </c>
      <c r="C66" s="541">
        <v>0</v>
      </c>
      <c r="D66" s="542">
        <v>9.9999999999999995E-7</v>
      </c>
      <c r="E66" s="543">
        <f>IFERROR(IF(OR(C66="-",D66="-"),1/3*F66,0.5*(MAX(C66:D66)-MIN(C66:D66))),0)</f>
        <v>4.9999999999999998E-7</v>
      </c>
      <c r="F66" s="544">
        <v>0</v>
      </c>
      <c r="G66" s="536">
        <v>1</v>
      </c>
      <c r="H66" s="540">
        <v>0</v>
      </c>
      <c r="I66" s="541">
        <v>0</v>
      </c>
      <c r="J66" s="541">
        <v>0</v>
      </c>
      <c r="K66" s="542">
        <v>9.9999999999999995E-7</v>
      </c>
      <c r="L66" s="543">
        <f>IFERROR(IF(OR(J66="-",K66="-"),1/3*M66,0.5*(MAX(J66:K66)-MIN(J66:K66))),0)</f>
        <v>4.9999999999999998E-7</v>
      </c>
      <c r="M66" s="544">
        <v>0</v>
      </c>
      <c r="N66" s="536">
        <v>1</v>
      </c>
      <c r="O66" s="540">
        <v>0</v>
      </c>
      <c r="P66" s="541">
        <v>0</v>
      </c>
      <c r="Q66" s="542">
        <v>9.9999999999999995E-7</v>
      </c>
      <c r="R66" s="542">
        <v>9.9999999999999995E-7</v>
      </c>
      <c r="S66" s="543">
        <f>IFERROR(IF(OR(Q66="-",R66="-"),1/3*T66,0.5*(MAX(Q66:R66)-MIN(Q66:R66))),0)</f>
        <v>0</v>
      </c>
      <c r="T66" s="544">
        <v>0</v>
      </c>
      <c r="V66" s="549"/>
      <c r="W66" s="549"/>
      <c r="X66" s="550"/>
      <c r="Y66" s="551"/>
      <c r="Z66" s="552"/>
      <c r="AA66" s="555"/>
      <c r="AB66" s="549"/>
      <c r="AC66" s="549"/>
      <c r="AD66" s="550"/>
      <c r="AE66" s="551"/>
      <c r="AF66" s="552"/>
    </row>
    <row r="67" spans="1:32" ht="13.5" customHeight="1">
      <c r="A67" s="547">
        <v>10</v>
      </c>
      <c r="B67" s="541">
        <v>-0.01</v>
      </c>
      <c r="C67" s="541">
        <v>0</v>
      </c>
      <c r="D67" s="563">
        <v>0.02</v>
      </c>
      <c r="E67" s="543">
        <f t="shared" ref="E67:E75" si="12">IFERROR(IF(OR(C67="-",D67="-"),1/3*F67,0.5*(MAX(C67:D67)-MIN(C67:D67))),0)</f>
        <v>0.01</v>
      </c>
      <c r="F67" s="544">
        <v>0.12</v>
      </c>
      <c r="G67" s="536">
        <v>2</v>
      </c>
      <c r="H67" s="547">
        <v>10</v>
      </c>
      <c r="I67" s="541">
        <v>-0.04</v>
      </c>
      <c r="J67" s="541">
        <v>0</v>
      </c>
      <c r="K67" s="563">
        <v>0.02</v>
      </c>
      <c r="L67" s="543">
        <f t="shared" ref="L67:L75" si="13">IFERROR(IF(OR(J67="-",K67="-"),1/3*M67,0.5*(MAX(J67:K67)-MIN(J67:K67))),0)</f>
        <v>0.01</v>
      </c>
      <c r="M67" s="544">
        <v>0.12</v>
      </c>
      <c r="N67" s="536">
        <v>2</v>
      </c>
      <c r="O67" s="547">
        <v>10</v>
      </c>
      <c r="P67" s="541">
        <v>0.01</v>
      </c>
      <c r="Q67" s="563">
        <v>0.03</v>
      </c>
      <c r="R67" s="547" t="s">
        <v>196</v>
      </c>
      <c r="S67" s="543">
        <f t="shared" ref="S67:S75" si="14">IFERROR(IF(OR(Q67="-",R67="-"),1/3*T67,0.5*(MAX(Q67:R67)-MIN(Q67:R67))),0)</f>
        <v>3.9999999999999994E-2</v>
      </c>
      <c r="T67" s="544">
        <v>0.12</v>
      </c>
      <c r="V67" s="549"/>
      <c r="W67" s="549"/>
      <c r="X67" s="550"/>
      <c r="Y67" s="551"/>
      <c r="Z67" s="552"/>
      <c r="AA67" s="555"/>
      <c r="AB67" s="549"/>
      <c r="AC67" s="549"/>
      <c r="AD67" s="550"/>
      <c r="AE67" s="551"/>
      <c r="AF67" s="552"/>
    </row>
    <row r="68" spans="1:32" ht="13.5" customHeight="1">
      <c r="A68" s="547">
        <v>20</v>
      </c>
      <c r="B68" s="541" t="s">
        <v>196</v>
      </c>
      <c r="C68" s="541" t="s">
        <v>196</v>
      </c>
      <c r="D68" s="563">
        <v>0.03</v>
      </c>
      <c r="E68" s="543">
        <f t="shared" si="12"/>
        <v>3.9999999999999994E-2</v>
      </c>
      <c r="F68" s="544">
        <v>0.12</v>
      </c>
      <c r="G68" s="536">
        <v>3</v>
      </c>
      <c r="H68" s="547">
        <v>20</v>
      </c>
      <c r="I68" s="541" t="s">
        <v>196</v>
      </c>
      <c r="J68" s="541" t="s">
        <v>196</v>
      </c>
      <c r="K68" s="563">
        <v>0.02</v>
      </c>
      <c r="L68" s="543">
        <f t="shared" si="13"/>
        <v>3.9999999999999994E-2</v>
      </c>
      <c r="M68" s="544">
        <v>0.12</v>
      </c>
      <c r="N68" s="536">
        <v>3</v>
      </c>
      <c r="O68" s="547">
        <v>30</v>
      </c>
      <c r="P68" s="541">
        <v>0.01</v>
      </c>
      <c r="Q68" s="563">
        <v>0.03</v>
      </c>
      <c r="R68" s="547" t="s">
        <v>196</v>
      </c>
      <c r="S68" s="543">
        <f t="shared" si="14"/>
        <v>3.9999999999999994E-2</v>
      </c>
      <c r="T68" s="544">
        <v>0.12</v>
      </c>
      <c r="V68" s="549"/>
      <c r="W68" s="549"/>
      <c r="X68" s="550"/>
      <c r="Y68" s="551"/>
      <c r="Z68" s="552"/>
      <c r="AA68" s="555"/>
      <c r="AB68" s="549"/>
      <c r="AC68" s="549"/>
      <c r="AD68" s="550"/>
      <c r="AE68" s="551"/>
      <c r="AF68" s="552"/>
    </row>
    <row r="69" spans="1:32" ht="13.5" customHeight="1">
      <c r="A69" s="547">
        <v>30</v>
      </c>
      <c r="B69" s="541">
        <v>-0.02</v>
      </c>
      <c r="C69" s="541">
        <v>0.01</v>
      </c>
      <c r="D69" s="563">
        <v>0.02</v>
      </c>
      <c r="E69" s="543">
        <f t="shared" si="12"/>
        <v>5.0000000000000001E-3</v>
      </c>
      <c r="F69" s="544">
        <v>0.12</v>
      </c>
      <c r="G69" s="536">
        <v>4</v>
      </c>
      <c r="H69" s="547">
        <v>30</v>
      </c>
      <c r="I69" s="541">
        <v>-0.05</v>
      </c>
      <c r="J69" s="541">
        <v>0.01</v>
      </c>
      <c r="K69" s="563">
        <v>0.02</v>
      </c>
      <c r="L69" s="543">
        <f t="shared" si="13"/>
        <v>5.0000000000000001E-3</v>
      </c>
      <c r="M69" s="544">
        <v>0.12</v>
      </c>
      <c r="N69" s="536">
        <v>4</v>
      </c>
      <c r="O69" s="547">
        <v>60</v>
      </c>
      <c r="P69" s="541">
        <v>0.01</v>
      </c>
      <c r="Q69" s="563">
        <v>0.04</v>
      </c>
      <c r="R69" s="542">
        <v>9.9999999999999995E-7</v>
      </c>
      <c r="S69" s="543">
        <f t="shared" si="14"/>
        <v>1.99995E-2</v>
      </c>
      <c r="T69" s="544">
        <v>0.12</v>
      </c>
      <c r="V69" s="549"/>
      <c r="W69" s="549"/>
      <c r="X69" s="550"/>
      <c r="Y69" s="551"/>
      <c r="Z69" s="552"/>
      <c r="AA69" s="555"/>
      <c r="AB69" s="549"/>
      <c r="AC69" s="549"/>
      <c r="AD69" s="550"/>
      <c r="AE69" s="551"/>
      <c r="AF69" s="552"/>
    </row>
    <row r="70" spans="1:32" ht="13.5" customHeight="1">
      <c r="A70" s="547">
        <v>40</v>
      </c>
      <c r="B70" s="541" t="s">
        <v>196</v>
      </c>
      <c r="C70" s="541" t="s">
        <v>196</v>
      </c>
      <c r="D70" s="563">
        <v>0.01</v>
      </c>
      <c r="E70" s="543">
        <f t="shared" si="12"/>
        <v>3.9999999999999994E-2</v>
      </c>
      <c r="F70" s="544">
        <v>0.12</v>
      </c>
      <c r="G70" s="536">
        <v>5</v>
      </c>
      <c r="H70" s="547">
        <v>40</v>
      </c>
      <c r="I70" s="541" t="s">
        <v>196</v>
      </c>
      <c r="J70" s="541" t="s">
        <v>196</v>
      </c>
      <c r="K70" s="563">
        <v>0.03</v>
      </c>
      <c r="L70" s="543">
        <f t="shared" si="13"/>
        <v>3.9999999999999994E-2</v>
      </c>
      <c r="M70" s="544">
        <v>0.12</v>
      </c>
      <c r="N70" s="536">
        <v>5</v>
      </c>
      <c r="O70" s="547">
        <v>60</v>
      </c>
      <c r="P70" s="541">
        <v>0.01</v>
      </c>
      <c r="Q70" s="563">
        <v>0.04</v>
      </c>
      <c r="R70" s="542">
        <v>9.9999999999999995E-7</v>
      </c>
      <c r="S70" s="543">
        <f t="shared" si="14"/>
        <v>1.99995E-2</v>
      </c>
      <c r="T70" s="544">
        <v>0.12</v>
      </c>
      <c r="V70" s="549"/>
      <c r="W70" s="549"/>
      <c r="X70" s="550"/>
      <c r="Y70" s="551"/>
      <c r="Z70" s="552"/>
      <c r="AA70" s="555"/>
      <c r="AB70" s="549"/>
      <c r="AC70" s="549"/>
      <c r="AD70" s="550"/>
      <c r="AE70" s="551"/>
      <c r="AF70" s="552"/>
    </row>
    <row r="71" spans="1:32" ht="13.5" customHeight="1">
      <c r="A71" s="547">
        <v>50</v>
      </c>
      <c r="B71" s="541" t="s">
        <v>196</v>
      </c>
      <c r="C71" s="541" t="s">
        <v>196</v>
      </c>
      <c r="D71" s="563">
        <v>0.02</v>
      </c>
      <c r="E71" s="543">
        <f t="shared" si="12"/>
        <v>3.9999999999999994E-2</v>
      </c>
      <c r="F71" s="544">
        <v>0.12</v>
      </c>
      <c r="G71" s="536">
        <v>6</v>
      </c>
      <c r="H71" s="547">
        <v>50</v>
      </c>
      <c r="I71" s="541" t="s">
        <v>196</v>
      </c>
      <c r="J71" s="541" t="s">
        <v>196</v>
      </c>
      <c r="K71" s="563">
        <v>0.03</v>
      </c>
      <c r="L71" s="543">
        <f t="shared" si="13"/>
        <v>3.9999999999999994E-2</v>
      </c>
      <c r="M71" s="544">
        <v>0.12</v>
      </c>
      <c r="N71" s="536">
        <v>6</v>
      </c>
      <c r="O71" s="547">
        <v>60</v>
      </c>
      <c r="P71" s="541">
        <v>0.01</v>
      </c>
      <c r="Q71" s="563">
        <v>0.04</v>
      </c>
      <c r="R71" s="542">
        <v>9.9999999999999995E-7</v>
      </c>
      <c r="S71" s="543">
        <f t="shared" si="14"/>
        <v>1.99995E-2</v>
      </c>
      <c r="T71" s="544">
        <v>0.12</v>
      </c>
      <c r="V71" s="549"/>
      <c r="W71" s="549"/>
      <c r="X71" s="550"/>
      <c r="Y71" s="551"/>
      <c r="Z71" s="552"/>
      <c r="AA71" s="555"/>
      <c r="AB71" s="549"/>
      <c r="AC71" s="549"/>
      <c r="AD71" s="550"/>
      <c r="AE71" s="551"/>
      <c r="AF71" s="552"/>
    </row>
    <row r="72" spans="1:32" ht="13.5" customHeight="1">
      <c r="A72" s="547">
        <v>60</v>
      </c>
      <c r="B72" s="541">
        <v>-0.01</v>
      </c>
      <c r="C72" s="541">
        <v>0</v>
      </c>
      <c r="D72" s="563">
        <v>0.02</v>
      </c>
      <c r="E72" s="543">
        <f t="shared" si="12"/>
        <v>0.01</v>
      </c>
      <c r="F72" s="544">
        <v>0.12</v>
      </c>
      <c r="G72" s="536">
        <v>7</v>
      </c>
      <c r="H72" s="547">
        <v>60</v>
      </c>
      <c r="I72" s="541">
        <v>-0.05</v>
      </c>
      <c r="J72" s="541">
        <v>0.01</v>
      </c>
      <c r="K72" s="563">
        <v>0.03</v>
      </c>
      <c r="L72" s="543">
        <f t="shared" si="13"/>
        <v>9.9999999999999985E-3</v>
      </c>
      <c r="M72" s="544">
        <v>0.12</v>
      </c>
      <c r="N72" s="536">
        <v>7</v>
      </c>
      <c r="O72" s="547">
        <v>60</v>
      </c>
      <c r="P72" s="541">
        <v>0.01</v>
      </c>
      <c r="Q72" s="563">
        <v>0.04</v>
      </c>
      <c r="R72" s="542">
        <v>9.9999999999999995E-7</v>
      </c>
      <c r="S72" s="543">
        <f t="shared" si="14"/>
        <v>1.99995E-2</v>
      </c>
      <c r="T72" s="544">
        <v>0.12</v>
      </c>
      <c r="V72" s="549"/>
      <c r="W72" s="549"/>
      <c r="X72" s="550"/>
      <c r="Y72" s="551"/>
      <c r="Z72" s="552"/>
      <c r="AA72" s="555"/>
      <c r="AB72" s="549"/>
      <c r="AC72" s="549"/>
      <c r="AD72" s="550"/>
      <c r="AE72" s="551"/>
      <c r="AF72" s="552"/>
    </row>
    <row r="73" spans="1:32" ht="13.5" customHeight="1">
      <c r="A73" s="547">
        <v>300</v>
      </c>
      <c r="B73" s="541">
        <v>-0.01</v>
      </c>
      <c r="C73" s="541">
        <v>0</v>
      </c>
      <c r="D73" s="563">
        <v>0.01</v>
      </c>
      <c r="E73" s="543">
        <f t="shared" si="12"/>
        <v>5.0000000000000001E-3</v>
      </c>
      <c r="F73" s="544">
        <v>0.12</v>
      </c>
      <c r="G73" s="536">
        <v>8</v>
      </c>
      <c r="H73" s="547">
        <v>300</v>
      </c>
      <c r="I73" s="541">
        <v>-0.04</v>
      </c>
      <c r="J73" s="541">
        <v>0.01</v>
      </c>
      <c r="K73" s="563">
        <v>0.03</v>
      </c>
      <c r="L73" s="543">
        <f t="shared" si="13"/>
        <v>9.9999999999999985E-3</v>
      </c>
      <c r="M73" s="544">
        <v>0.12</v>
      </c>
      <c r="N73" s="536">
        <v>8</v>
      </c>
      <c r="O73" s="547">
        <v>300</v>
      </c>
      <c r="P73" s="541">
        <v>0.01</v>
      </c>
      <c r="Q73" s="563">
        <v>0.04</v>
      </c>
      <c r="R73" s="563">
        <v>-0.01</v>
      </c>
      <c r="S73" s="543">
        <f t="shared" si="14"/>
        <v>2.5000000000000001E-2</v>
      </c>
      <c r="T73" s="544">
        <v>0.12</v>
      </c>
      <c r="V73" s="549"/>
      <c r="W73" s="549"/>
      <c r="X73" s="550"/>
      <c r="Y73" s="551"/>
      <c r="Z73" s="552"/>
      <c r="AA73" s="555"/>
      <c r="AB73" s="549"/>
      <c r="AC73" s="549"/>
      <c r="AD73" s="550"/>
      <c r="AE73" s="551"/>
      <c r="AF73" s="552"/>
    </row>
    <row r="74" spans="1:32" ht="13.5" customHeight="1">
      <c r="A74" s="547">
        <v>600</v>
      </c>
      <c r="B74" s="541">
        <v>-0.02</v>
      </c>
      <c r="C74" s="541">
        <v>-0.01</v>
      </c>
      <c r="D74" s="563">
        <v>0.01</v>
      </c>
      <c r="E74" s="543">
        <f t="shared" si="12"/>
        <v>0.01</v>
      </c>
      <c r="F74" s="544">
        <v>0.12</v>
      </c>
      <c r="G74" s="536">
        <v>9</v>
      </c>
      <c r="H74" s="547">
        <v>600</v>
      </c>
      <c r="I74" s="541">
        <v>-0.04</v>
      </c>
      <c r="J74" s="541">
        <v>0.01</v>
      </c>
      <c r="K74" s="563">
        <v>0.04</v>
      </c>
      <c r="L74" s="543">
        <f t="shared" si="13"/>
        <v>1.4999999999999999E-2</v>
      </c>
      <c r="M74" s="544">
        <v>0.12</v>
      </c>
      <c r="N74" s="536">
        <v>9</v>
      </c>
      <c r="O74" s="547">
        <v>600</v>
      </c>
      <c r="P74" s="541">
        <v>0.02</v>
      </c>
      <c r="Q74" s="563">
        <v>0.04</v>
      </c>
      <c r="R74" s="563">
        <v>-0.02</v>
      </c>
      <c r="S74" s="543">
        <f t="shared" si="14"/>
        <v>0.03</v>
      </c>
      <c r="T74" s="544">
        <v>0.12</v>
      </c>
      <c r="V74" s="549"/>
      <c r="W74" s="549"/>
      <c r="X74" s="550"/>
      <c r="Y74" s="551"/>
      <c r="Z74" s="552"/>
      <c r="AA74" s="555"/>
      <c r="AB74" s="549"/>
      <c r="AC74" s="549"/>
      <c r="AD74" s="550"/>
      <c r="AE74" s="551"/>
      <c r="AF74" s="552"/>
    </row>
    <row r="75" spans="1:32" ht="13.5" customHeight="1">
      <c r="A75" s="547">
        <v>900</v>
      </c>
      <c r="B75" s="541">
        <v>-0.03</v>
      </c>
      <c r="C75" s="541">
        <v>-0.05</v>
      </c>
      <c r="D75" s="547" t="s">
        <v>196</v>
      </c>
      <c r="E75" s="543">
        <f t="shared" si="12"/>
        <v>3.9999999999999994E-2</v>
      </c>
      <c r="F75" s="544">
        <v>0.12</v>
      </c>
      <c r="G75" s="536">
        <v>10</v>
      </c>
      <c r="H75" s="547">
        <v>900</v>
      </c>
      <c r="I75" s="541">
        <v>-0.04</v>
      </c>
      <c r="J75" s="541">
        <v>0.01</v>
      </c>
      <c r="K75" s="547" t="s">
        <v>196</v>
      </c>
      <c r="L75" s="543">
        <f t="shared" si="13"/>
        <v>3.9999999999999994E-2</v>
      </c>
      <c r="M75" s="544">
        <v>0.12</v>
      </c>
      <c r="N75" s="536">
        <v>10</v>
      </c>
      <c r="O75" s="547">
        <v>900</v>
      </c>
      <c r="P75" s="541">
        <v>0.01</v>
      </c>
      <c r="Q75" s="563">
        <v>0.04</v>
      </c>
      <c r="R75" s="563">
        <v>-0.03</v>
      </c>
      <c r="S75" s="543">
        <f t="shared" si="14"/>
        <v>3.5000000000000003E-2</v>
      </c>
      <c r="T75" s="544">
        <v>0.12</v>
      </c>
      <c r="V75" s="549"/>
      <c r="W75" s="549"/>
      <c r="X75" s="550"/>
      <c r="Y75" s="551"/>
      <c r="Z75" s="552"/>
      <c r="AA75" s="555"/>
      <c r="AB75" s="549"/>
      <c r="AC75" s="549"/>
      <c r="AD75" s="550"/>
      <c r="AE75" s="551"/>
      <c r="AF75" s="552"/>
    </row>
    <row r="76" spans="1:32" ht="13.5" customHeight="1">
      <c r="A76" s="547">
        <v>1200</v>
      </c>
      <c r="B76" s="570"/>
      <c r="C76" s="570" t="s">
        <v>196</v>
      </c>
      <c r="D76" s="547" t="s">
        <v>196</v>
      </c>
      <c r="E76" s="543">
        <f>IFERROR(IF(OR(C76="-",D76="-"),1/3*F76,0.5*(MAX(C76:D76)-MIN(C76:D76))),0)</f>
        <v>3.9999999999999994E-2</v>
      </c>
      <c r="F76" s="544">
        <v>0.12</v>
      </c>
      <c r="G76" s="536">
        <v>11</v>
      </c>
      <c r="H76" s="547">
        <v>1200</v>
      </c>
      <c r="I76" s="570" t="s">
        <v>196</v>
      </c>
      <c r="J76" s="570" t="s">
        <v>196</v>
      </c>
      <c r="K76" s="547" t="s">
        <v>196</v>
      </c>
      <c r="L76" s="543">
        <f>IFERROR(IF(OR(J76="-",K76="-"),1/3*M76,0.5*(MAX(J76:K76)-MIN(J76:K76))),0)</f>
        <v>3.9999999999999994E-2</v>
      </c>
      <c r="M76" s="544">
        <v>0.12</v>
      </c>
      <c r="N76" s="536">
        <v>11</v>
      </c>
      <c r="O76" s="547">
        <v>1200</v>
      </c>
      <c r="P76" s="541" t="s">
        <v>196</v>
      </c>
      <c r="Q76" s="563">
        <v>0.04</v>
      </c>
      <c r="R76" s="563">
        <v>-0.04</v>
      </c>
      <c r="S76" s="543">
        <f>IFERROR(IF(OR(Q76="-",R76="-"),1/3*T76,0.5*(MAX(Q76:R76)-MIN(Q76:R76))),0)</f>
        <v>0.04</v>
      </c>
      <c r="T76" s="544">
        <v>0.12</v>
      </c>
      <c r="V76" s="549"/>
      <c r="W76" s="549"/>
      <c r="X76" s="550"/>
      <c r="Y76" s="551"/>
      <c r="Z76" s="552"/>
      <c r="AA76" s="555"/>
      <c r="AB76" s="549"/>
      <c r="AC76" s="549"/>
      <c r="AD76" s="550"/>
      <c r="AE76" s="551"/>
      <c r="AF76" s="552"/>
    </row>
    <row r="77" spans="1:32" ht="13.5" customHeight="1">
      <c r="A77" s="565"/>
      <c r="B77" s="566"/>
      <c r="C77" s="567"/>
      <c r="D77" s="568"/>
      <c r="E77" s="551"/>
      <c r="F77" s="552"/>
      <c r="G77" s="555"/>
      <c r="H77" s="566"/>
      <c r="I77" s="566"/>
      <c r="J77" s="567"/>
      <c r="K77" s="568"/>
      <c r="L77" s="551"/>
      <c r="M77" s="552"/>
      <c r="N77" s="561"/>
      <c r="O77" s="566"/>
      <c r="P77" s="566"/>
      <c r="Q77" s="567"/>
      <c r="R77" s="568"/>
      <c r="S77" s="551"/>
      <c r="T77" s="552"/>
      <c r="V77" s="549"/>
      <c r="W77" s="549"/>
      <c r="X77" s="550"/>
      <c r="Y77" s="551"/>
      <c r="Z77" s="552"/>
      <c r="AA77" s="555"/>
      <c r="AB77" s="549"/>
      <c r="AC77" s="549"/>
      <c r="AD77" s="550"/>
      <c r="AE77" s="551"/>
      <c r="AF77" s="552"/>
    </row>
    <row r="78" spans="1:32" ht="13.5" customHeight="1">
      <c r="A78" s="1440" t="s">
        <v>287</v>
      </c>
      <c r="B78" s="1435"/>
      <c r="C78" s="1435"/>
      <c r="D78" s="1436"/>
      <c r="E78" s="1431" t="s">
        <v>182</v>
      </c>
      <c r="F78" s="1432" t="str">
        <f>F63</f>
        <v>U95 STD</v>
      </c>
      <c r="G78" s="555"/>
      <c r="H78" s="1440" t="s">
        <v>288</v>
      </c>
      <c r="I78" s="1435"/>
      <c r="J78" s="1435"/>
      <c r="K78" s="1436"/>
      <c r="L78" s="1431" t="s">
        <v>182</v>
      </c>
      <c r="M78" s="1432" t="str">
        <f>M63</f>
        <v>U95 STD</v>
      </c>
      <c r="N78" s="561"/>
      <c r="O78" s="566"/>
      <c r="P78" s="566"/>
      <c r="Q78" s="567"/>
      <c r="R78" s="568"/>
      <c r="S78" s="551"/>
      <c r="T78" s="552"/>
      <c r="V78" s="549"/>
      <c r="W78" s="549"/>
      <c r="X78" s="550"/>
      <c r="Y78" s="551"/>
      <c r="Z78" s="552"/>
      <c r="AA78" s="555"/>
      <c r="AB78" s="549"/>
      <c r="AC78" s="549"/>
      <c r="AD78" s="550"/>
      <c r="AE78" s="551"/>
      <c r="AF78" s="552"/>
    </row>
    <row r="79" spans="1:32" ht="13.5" customHeight="1">
      <c r="A79" s="529" t="str">
        <f>A64</f>
        <v>Timer</v>
      </c>
      <c r="B79" s="1414" t="s">
        <v>185</v>
      </c>
      <c r="C79" s="1415"/>
      <c r="D79" s="1416"/>
      <c r="E79" s="1431"/>
      <c r="F79" s="1432"/>
      <c r="G79" s="555"/>
      <c r="H79" s="529" t="str">
        <f>H64</f>
        <v>Timer</v>
      </c>
      <c r="I79" s="1414" t="s">
        <v>185</v>
      </c>
      <c r="J79" s="1415"/>
      <c r="K79" s="1416"/>
      <c r="L79" s="1431"/>
      <c r="M79" s="1432"/>
      <c r="N79" s="561"/>
      <c r="O79" s="566"/>
      <c r="P79" s="566"/>
      <c r="Q79" s="567"/>
      <c r="R79" s="568"/>
      <c r="S79" s="551"/>
      <c r="T79" s="552"/>
      <c r="V79" s="549"/>
      <c r="W79" s="549"/>
      <c r="X79" s="550"/>
      <c r="Y79" s="551"/>
      <c r="Z79" s="552"/>
      <c r="AA79" s="555"/>
      <c r="AB79" s="549"/>
      <c r="AC79" s="549"/>
      <c r="AD79" s="550"/>
      <c r="AE79" s="551"/>
      <c r="AF79" s="552"/>
    </row>
    <row r="80" spans="1:32" ht="13.5" customHeight="1">
      <c r="A80" s="533" t="str">
        <f>A65</f>
        <v>s</v>
      </c>
      <c r="B80" s="534">
        <v>2023</v>
      </c>
      <c r="C80" s="534">
        <v>2022</v>
      </c>
      <c r="D80" s="535">
        <v>2021</v>
      </c>
      <c r="E80" s="1431"/>
      <c r="F80" s="1432"/>
      <c r="G80" s="536" t="s">
        <v>46</v>
      </c>
      <c r="H80" s="533" t="str">
        <f>H65</f>
        <v>s</v>
      </c>
      <c r="I80" s="534">
        <v>2018</v>
      </c>
      <c r="J80" s="535">
        <v>2017</v>
      </c>
      <c r="K80" s="535" t="s">
        <v>196</v>
      </c>
      <c r="L80" s="1431"/>
      <c r="M80" s="1432"/>
      <c r="N80" s="561"/>
      <c r="O80" s="566"/>
      <c r="P80" s="566"/>
      <c r="Q80" s="567"/>
      <c r="R80" s="568"/>
      <c r="S80" s="551"/>
      <c r="T80" s="552"/>
      <c r="V80" s="549"/>
      <c r="W80" s="549"/>
      <c r="X80" s="550"/>
      <c r="Y80" s="551"/>
      <c r="Z80" s="552"/>
      <c r="AA80" s="555"/>
      <c r="AB80" s="549"/>
      <c r="AC80" s="549"/>
      <c r="AD80" s="550"/>
      <c r="AE80" s="551"/>
      <c r="AF80" s="552"/>
    </row>
    <row r="81" spans="1:32" ht="13.5" customHeight="1">
      <c r="A81" s="540">
        <v>0</v>
      </c>
      <c r="B81" s="541">
        <v>0</v>
      </c>
      <c r="C81" s="541">
        <v>0</v>
      </c>
      <c r="D81" s="542">
        <v>9.9999999999999995E-7</v>
      </c>
      <c r="E81" s="543">
        <f>IFERROR(IF(OR(C81="-",D81="-"),1/3*F81,0.5*(MAX(C81:D81)-MIN(C81:D81))),0)</f>
        <v>4.9999999999999998E-7</v>
      </c>
      <c r="F81" s="544">
        <v>0</v>
      </c>
      <c r="G81" s="536">
        <v>1</v>
      </c>
      <c r="H81" s="540">
        <v>0</v>
      </c>
      <c r="I81" s="541">
        <v>0</v>
      </c>
      <c r="J81" s="542">
        <v>0</v>
      </c>
      <c r="K81" s="542" t="s">
        <v>196</v>
      </c>
      <c r="L81" s="543">
        <f>IFERROR(IF(OR(J81="-",K81="-"),1/3*M81,0.5*(MAX(J81:K81)-MIN(J81:K81))),0)</f>
        <v>0</v>
      </c>
      <c r="M81" s="544">
        <v>0</v>
      </c>
      <c r="N81" s="561"/>
      <c r="O81" s="566"/>
      <c r="P81" s="566"/>
      <c r="Q81" s="567"/>
      <c r="R81" s="568"/>
      <c r="S81" s="551"/>
      <c r="T81" s="552"/>
      <c r="V81" s="549"/>
      <c r="W81" s="549"/>
      <c r="X81" s="550"/>
      <c r="Y81" s="551"/>
      <c r="Z81" s="552"/>
      <c r="AA81" s="555"/>
      <c r="AB81" s="549"/>
      <c r="AC81" s="549"/>
      <c r="AD81" s="550"/>
      <c r="AE81" s="551"/>
      <c r="AF81" s="552"/>
    </row>
    <row r="82" spans="1:32" ht="13.5" customHeight="1">
      <c r="A82" s="547">
        <v>10</v>
      </c>
      <c r="B82" s="541">
        <v>0</v>
      </c>
      <c r="C82" s="541">
        <v>0</v>
      </c>
      <c r="D82" s="547" t="s">
        <v>196</v>
      </c>
      <c r="E82" s="543">
        <f t="shared" ref="E82:E90" si="15">IFERROR(IF(OR(C82="-",D82="-"),1/3*F82,0.5*(MAX(C82:D82)-MIN(C82:D82))),0)</f>
        <v>3.9999999999999994E-2</v>
      </c>
      <c r="F82" s="544">
        <v>0.12</v>
      </c>
      <c r="G82" s="536">
        <v>2</v>
      </c>
      <c r="H82" s="547">
        <v>10</v>
      </c>
      <c r="I82" s="541">
        <v>0</v>
      </c>
      <c r="J82" s="547" t="s">
        <v>196</v>
      </c>
      <c r="K82" s="542" t="s">
        <v>196</v>
      </c>
      <c r="L82" s="543">
        <f t="shared" ref="L82:L90" si="16">IFERROR(IF(OR(J82="-",K82="-"),1/3*M82,0.5*(MAX(J82:K82)-MIN(J82:K82))),0)</f>
        <v>3.9999999999999994E-2</v>
      </c>
      <c r="M82" s="544">
        <v>0.12</v>
      </c>
      <c r="N82" s="561"/>
      <c r="O82" s="566"/>
      <c r="P82" s="566"/>
      <c r="Q82" s="567"/>
      <c r="R82" s="568"/>
      <c r="S82" s="551"/>
      <c r="T82" s="552"/>
      <c r="V82" s="549"/>
      <c r="W82" s="549"/>
      <c r="X82" s="550"/>
      <c r="Y82" s="551"/>
      <c r="Z82" s="552"/>
      <c r="AA82" s="555"/>
      <c r="AB82" s="549"/>
      <c r="AC82" s="549"/>
      <c r="AD82" s="550"/>
      <c r="AE82" s="551"/>
      <c r="AF82" s="552"/>
    </row>
    <row r="83" spans="1:32" ht="13.5" customHeight="1">
      <c r="A83" s="547">
        <v>30</v>
      </c>
      <c r="B83" s="541">
        <v>0</v>
      </c>
      <c r="C83" s="541">
        <v>0.01</v>
      </c>
      <c r="D83" s="547" t="s">
        <v>196</v>
      </c>
      <c r="E83" s="543">
        <f t="shared" si="15"/>
        <v>3.9999999999999994E-2</v>
      </c>
      <c r="F83" s="544">
        <v>0.12</v>
      </c>
      <c r="G83" s="536">
        <v>3</v>
      </c>
      <c r="H83" s="547">
        <v>20</v>
      </c>
      <c r="I83" s="541">
        <v>0</v>
      </c>
      <c r="J83" s="547" t="s">
        <v>196</v>
      </c>
      <c r="K83" s="542" t="s">
        <v>196</v>
      </c>
      <c r="L83" s="543">
        <f t="shared" si="16"/>
        <v>3.9999999999999994E-2</v>
      </c>
      <c r="M83" s="544">
        <v>0.12</v>
      </c>
      <c r="N83" s="561"/>
      <c r="O83" s="566"/>
      <c r="P83" s="566"/>
      <c r="Q83" s="567"/>
      <c r="R83" s="568"/>
      <c r="S83" s="551"/>
      <c r="T83" s="552"/>
      <c r="V83" s="549"/>
      <c r="W83" s="549"/>
      <c r="X83" s="550"/>
      <c r="Y83" s="551"/>
      <c r="Z83" s="552"/>
      <c r="AA83" s="555"/>
      <c r="AB83" s="549"/>
      <c r="AC83" s="549"/>
      <c r="AD83" s="550"/>
      <c r="AE83" s="551"/>
      <c r="AF83" s="552"/>
    </row>
    <row r="84" spans="1:32" ht="13.5" customHeight="1">
      <c r="A84" s="547">
        <v>60</v>
      </c>
      <c r="B84" s="541">
        <v>0</v>
      </c>
      <c r="C84" s="541">
        <v>0</v>
      </c>
      <c r="D84" s="563">
        <v>-0.01</v>
      </c>
      <c r="E84" s="543">
        <f t="shared" si="15"/>
        <v>5.0000000000000001E-3</v>
      </c>
      <c r="F84" s="544">
        <v>0.12</v>
      </c>
      <c r="G84" s="536">
        <v>4</v>
      </c>
      <c r="H84" s="547">
        <v>30</v>
      </c>
      <c r="I84" s="541">
        <v>0</v>
      </c>
      <c r="J84" s="563" t="s">
        <v>196</v>
      </c>
      <c r="K84" s="542" t="s">
        <v>196</v>
      </c>
      <c r="L84" s="543">
        <f t="shared" si="16"/>
        <v>3.9999999999999994E-2</v>
      </c>
      <c r="M84" s="544">
        <v>0.12</v>
      </c>
      <c r="N84" s="561"/>
      <c r="O84" s="566"/>
      <c r="P84" s="566"/>
      <c r="Q84" s="567"/>
      <c r="R84" s="568"/>
      <c r="S84" s="551"/>
      <c r="T84" s="552"/>
      <c r="V84" s="549"/>
      <c r="W84" s="549"/>
      <c r="X84" s="550"/>
      <c r="Y84" s="551"/>
      <c r="Z84" s="552"/>
      <c r="AA84" s="555"/>
      <c r="AB84" s="549"/>
      <c r="AC84" s="549"/>
      <c r="AD84" s="550"/>
      <c r="AE84" s="551"/>
      <c r="AF84" s="552"/>
    </row>
    <row r="85" spans="1:32" ht="13.5" customHeight="1">
      <c r="A85" s="547">
        <v>60</v>
      </c>
      <c r="B85" s="541">
        <v>0</v>
      </c>
      <c r="C85" s="541">
        <v>0</v>
      </c>
      <c r="D85" s="563">
        <v>-0.01</v>
      </c>
      <c r="E85" s="543">
        <f t="shared" si="15"/>
        <v>5.0000000000000001E-3</v>
      </c>
      <c r="F85" s="544">
        <v>0.12</v>
      </c>
      <c r="G85" s="536">
        <v>5</v>
      </c>
      <c r="H85" s="547">
        <v>40</v>
      </c>
      <c r="I85" s="541">
        <v>0</v>
      </c>
      <c r="J85" s="563" t="s">
        <v>196</v>
      </c>
      <c r="K85" s="542" t="s">
        <v>196</v>
      </c>
      <c r="L85" s="543">
        <f t="shared" si="16"/>
        <v>3.9999999999999994E-2</v>
      </c>
      <c r="M85" s="544">
        <v>0.12</v>
      </c>
      <c r="N85" s="561"/>
      <c r="O85" s="566"/>
      <c r="P85" s="566"/>
      <c r="Q85" s="567"/>
      <c r="R85" s="568"/>
      <c r="S85" s="551"/>
      <c r="T85" s="552"/>
      <c r="V85" s="549"/>
      <c r="W85" s="549"/>
      <c r="X85" s="550"/>
      <c r="Y85" s="551"/>
      <c r="Z85" s="552"/>
      <c r="AA85" s="555"/>
      <c r="AB85" s="549"/>
      <c r="AC85" s="549"/>
      <c r="AD85" s="550"/>
      <c r="AE85" s="551"/>
      <c r="AF85" s="552"/>
    </row>
    <row r="86" spans="1:32" ht="13.5" customHeight="1">
      <c r="A86" s="547">
        <v>60</v>
      </c>
      <c r="B86" s="541">
        <v>0</v>
      </c>
      <c r="C86" s="541">
        <v>0</v>
      </c>
      <c r="D86" s="563">
        <v>-0.01</v>
      </c>
      <c r="E86" s="543">
        <f t="shared" si="15"/>
        <v>5.0000000000000001E-3</v>
      </c>
      <c r="F86" s="544">
        <v>0.12</v>
      </c>
      <c r="G86" s="536">
        <v>6</v>
      </c>
      <c r="H86" s="547">
        <v>50</v>
      </c>
      <c r="I86" s="541">
        <v>0</v>
      </c>
      <c r="J86" s="563" t="s">
        <v>196</v>
      </c>
      <c r="K86" s="542" t="s">
        <v>196</v>
      </c>
      <c r="L86" s="543">
        <f t="shared" si="16"/>
        <v>3.9999999999999994E-2</v>
      </c>
      <c r="M86" s="544">
        <v>0.12</v>
      </c>
      <c r="N86" s="561"/>
      <c r="O86" s="566"/>
      <c r="P86" s="566"/>
      <c r="Q86" s="567"/>
      <c r="R86" s="568"/>
      <c r="S86" s="551"/>
      <c r="T86" s="552"/>
      <c r="V86" s="549"/>
      <c r="W86" s="549"/>
      <c r="X86" s="550"/>
      <c r="Y86" s="551"/>
      <c r="Z86" s="552"/>
      <c r="AA86" s="555"/>
      <c r="AB86" s="549"/>
      <c r="AC86" s="549"/>
      <c r="AD86" s="550"/>
      <c r="AE86" s="551"/>
      <c r="AF86" s="552"/>
    </row>
    <row r="87" spans="1:32" ht="13.5" customHeight="1">
      <c r="A87" s="547">
        <v>60</v>
      </c>
      <c r="B87" s="541">
        <v>0</v>
      </c>
      <c r="C87" s="541">
        <v>0</v>
      </c>
      <c r="D87" s="563">
        <v>-0.01</v>
      </c>
      <c r="E87" s="543">
        <f t="shared" si="15"/>
        <v>5.0000000000000001E-3</v>
      </c>
      <c r="F87" s="544">
        <v>0.12</v>
      </c>
      <c r="G87" s="536">
        <v>7</v>
      </c>
      <c r="H87" s="547">
        <v>60</v>
      </c>
      <c r="I87" s="541">
        <v>0.01</v>
      </c>
      <c r="J87" s="563">
        <v>0</v>
      </c>
      <c r="K87" s="542" t="s">
        <v>196</v>
      </c>
      <c r="L87" s="543">
        <f t="shared" si="16"/>
        <v>3.9999999999999994E-2</v>
      </c>
      <c r="M87" s="544">
        <v>0.12</v>
      </c>
      <c r="N87" s="561"/>
      <c r="O87" s="566"/>
      <c r="P87" s="566"/>
      <c r="Q87" s="567"/>
      <c r="R87" s="568"/>
      <c r="S87" s="551"/>
      <c r="T87" s="552"/>
      <c r="V87" s="549"/>
      <c r="W87" s="549"/>
      <c r="X87" s="550"/>
      <c r="Y87" s="551"/>
      <c r="Z87" s="552"/>
      <c r="AA87" s="555"/>
      <c r="AB87" s="549"/>
      <c r="AC87" s="549"/>
      <c r="AD87" s="550"/>
      <c r="AE87" s="551"/>
      <c r="AF87" s="552"/>
    </row>
    <row r="88" spans="1:32" ht="13.5" customHeight="1">
      <c r="A88" s="547">
        <v>300</v>
      </c>
      <c r="B88" s="541">
        <v>0</v>
      </c>
      <c r="C88" s="541">
        <v>0</v>
      </c>
      <c r="D88" s="563">
        <v>-0.01</v>
      </c>
      <c r="E88" s="543">
        <f t="shared" si="15"/>
        <v>5.0000000000000001E-3</v>
      </c>
      <c r="F88" s="544">
        <v>0.12</v>
      </c>
      <c r="G88" s="536">
        <v>8</v>
      </c>
      <c r="H88" s="547">
        <v>300</v>
      </c>
      <c r="I88" s="541">
        <v>0.01</v>
      </c>
      <c r="J88" s="563">
        <v>-2E-3</v>
      </c>
      <c r="K88" s="542" t="s">
        <v>196</v>
      </c>
      <c r="L88" s="543">
        <f t="shared" si="16"/>
        <v>3.9999999999999994E-2</v>
      </c>
      <c r="M88" s="544">
        <v>0.12</v>
      </c>
      <c r="N88" s="561"/>
      <c r="O88" s="566"/>
      <c r="P88" s="566"/>
      <c r="Q88" s="567"/>
      <c r="R88" s="568"/>
      <c r="S88" s="551"/>
      <c r="T88" s="552"/>
      <c r="V88" s="549"/>
      <c r="W88" s="549"/>
      <c r="X88" s="550"/>
      <c r="Y88" s="551"/>
      <c r="Z88" s="552"/>
      <c r="AA88" s="555"/>
      <c r="AB88" s="549"/>
      <c r="AC88" s="549"/>
      <c r="AD88" s="550"/>
      <c r="AE88" s="551"/>
      <c r="AF88" s="552"/>
    </row>
    <row r="89" spans="1:32" ht="13.5" customHeight="1">
      <c r="A89" s="547">
        <v>600</v>
      </c>
      <c r="B89" s="541">
        <v>0</v>
      </c>
      <c r="C89" s="541">
        <v>0</v>
      </c>
      <c r="D89" s="563">
        <v>-0.01</v>
      </c>
      <c r="E89" s="543">
        <f t="shared" si="15"/>
        <v>5.0000000000000001E-3</v>
      </c>
      <c r="F89" s="544">
        <v>0.12</v>
      </c>
      <c r="G89" s="536">
        <v>9</v>
      </c>
      <c r="H89" s="547">
        <v>600</v>
      </c>
      <c r="I89" s="541">
        <v>0.02</v>
      </c>
      <c r="J89" s="563">
        <v>-3.0000000000000001E-3</v>
      </c>
      <c r="K89" s="542" t="s">
        <v>196</v>
      </c>
      <c r="L89" s="543">
        <f t="shared" si="16"/>
        <v>3.9999999999999994E-2</v>
      </c>
      <c r="M89" s="544">
        <v>0.12</v>
      </c>
      <c r="N89" s="561"/>
      <c r="O89" s="566"/>
      <c r="P89" s="566"/>
      <c r="Q89" s="567"/>
      <c r="R89" s="568"/>
      <c r="S89" s="551"/>
      <c r="T89" s="552"/>
      <c r="V89" s="549"/>
      <c r="W89" s="549"/>
      <c r="X89" s="550"/>
      <c r="Y89" s="551"/>
      <c r="Z89" s="552"/>
      <c r="AA89" s="555"/>
      <c r="AB89" s="549"/>
      <c r="AC89" s="549"/>
      <c r="AD89" s="550"/>
      <c r="AE89" s="551"/>
      <c r="AF89" s="552"/>
    </row>
    <row r="90" spans="1:32" ht="13.5" customHeight="1">
      <c r="A90" s="547">
        <v>900</v>
      </c>
      <c r="B90" s="541">
        <v>0</v>
      </c>
      <c r="C90" s="541">
        <v>0</v>
      </c>
      <c r="D90" s="563">
        <v>-0.01</v>
      </c>
      <c r="E90" s="543">
        <f t="shared" si="15"/>
        <v>5.0000000000000001E-3</v>
      </c>
      <c r="F90" s="544">
        <v>0.12</v>
      </c>
      <c r="G90" s="536">
        <v>10</v>
      </c>
      <c r="H90" s="547">
        <v>900</v>
      </c>
      <c r="I90" s="541" t="s">
        <v>196</v>
      </c>
      <c r="J90" s="563" t="s">
        <v>196</v>
      </c>
      <c r="K90" s="542" t="s">
        <v>196</v>
      </c>
      <c r="L90" s="543">
        <f t="shared" si="16"/>
        <v>3.9999999999999994E-2</v>
      </c>
      <c r="M90" s="544">
        <v>0.12</v>
      </c>
      <c r="N90" s="561"/>
      <c r="O90" s="566"/>
      <c r="P90" s="566"/>
      <c r="Q90" s="567"/>
      <c r="R90" s="568"/>
      <c r="S90" s="551"/>
      <c r="T90" s="552"/>
      <c r="V90" s="549"/>
      <c r="W90" s="549"/>
      <c r="X90" s="550"/>
      <c r="Y90" s="551"/>
      <c r="Z90" s="552"/>
      <c r="AA90" s="555"/>
      <c r="AB90" s="549"/>
      <c r="AC90" s="549"/>
      <c r="AD90" s="550"/>
      <c r="AE90" s="551"/>
      <c r="AF90" s="552"/>
    </row>
    <row r="91" spans="1:32" ht="13.5" customHeight="1">
      <c r="A91" s="547">
        <v>1200</v>
      </c>
      <c r="B91" s="541" t="s">
        <v>196</v>
      </c>
      <c r="C91" s="541" t="s">
        <v>196</v>
      </c>
      <c r="D91" s="563">
        <v>0.02</v>
      </c>
      <c r="E91" s="543">
        <f>IFERROR(IF(OR(C91="-",D91="-"),1/3*F91,0.5*(MAX(C91:D91)-MIN(C91:D91))),0)</f>
        <v>3.9999999999999994E-2</v>
      </c>
      <c r="F91" s="544">
        <v>0.12</v>
      </c>
      <c r="G91" s="536">
        <v>11</v>
      </c>
      <c r="H91" s="547">
        <v>1200</v>
      </c>
      <c r="I91" s="541" t="s">
        <v>196</v>
      </c>
      <c r="J91" s="563" t="s">
        <v>196</v>
      </c>
      <c r="K91" s="542" t="s">
        <v>196</v>
      </c>
      <c r="L91" s="543">
        <f>IFERROR(IF(OR(J91="-",K91="-"),1/3*M91,0.5*(MAX(J91:K91)-MIN(J91:K91))),0)</f>
        <v>3.9999999999999994E-2</v>
      </c>
      <c r="M91" s="544">
        <v>0.12</v>
      </c>
      <c r="N91" s="561"/>
      <c r="O91" s="566"/>
      <c r="P91" s="566"/>
      <c r="Q91" s="567"/>
      <c r="R91" s="568"/>
      <c r="S91" s="551"/>
      <c r="T91" s="552"/>
      <c r="V91" s="549"/>
      <c r="W91" s="549"/>
      <c r="X91" s="550"/>
      <c r="Y91" s="551"/>
      <c r="Z91" s="552"/>
      <c r="AA91" s="555"/>
      <c r="AB91" s="549"/>
      <c r="AC91" s="549"/>
      <c r="AD91" s="550"/>
      <c r="AE91" s="551"/>
      <c r="AF91" s="552"/>
    </row>
    <row r="92" spans="1:32" ht="13.5" customHeight="1">
      <c r="A92" s="565"/>
      <c r="B92" s="566"/>
      <c r="C92" s="567"/>
      <c r="D92" s="568"/>
      <c r="E92" s="551"/>
      <c r="F92" s="552"/>
      <c r="G92" s="555"/>
      <c r="H92" s="566"/>
      <c r="I92" s="566"/>
      <c r="J92" s="567"/>
      <c r="K92" s="568"/>
      <c r="L92" s="551"/>
      <c r="M92" s="552"/>
      <c r="N92" s="561"/>
      <c r="O92" s="566"/>
      <c r="P92" s="566"/>
      <c r="Q92" s="567"/>
      <c r="R92" s="568"/>
      <c r="S92" s="551"/>
      <c r="T92" s="552"/>
      <c r="V92" s="549"/>
      <c r="W92" s="549"/>
      <c r="X92" s="550"/>
      <c r="Y92" s="551"/>
      <c r="Z92" s="552"/>
      <c r="AA92" s="555"/>
      <c r="AB92" s="549"/>
      <c r="AC92" s="549"/>
      <c r="AD92" s="550"/>
      <c r="AE92" s="551"/>
      <c r="AF92" s="552"/>
    </row>
    <row r="93" spans="1:32" ht="13.5" customHeight="1">
      <c r="A93" s="565"/>
      <c r="B93" s="566"/>
      <c r="C93" s="567"/>
      <c r="D93" s="568"/>
      <c r="E93" s="551"/>
      <c r="F93" s="552"/>
      <c r="G93" s="555"/>
      <c r="H93" s="566"/>
      <c r="I93" s="566"/>
      <c r="J93" s="567"/>
      <c r="K93" s="568"/>
      <c r="L93" s="551"/>
      <c r="M93" s="552"/>
      <c r="N93" s="561"/>
      <c r="O93" s="566"/>
      <c r="P93" s="566"/>
      <c r="Q93" s="567"/>
      <c r="R93" s="568"/>
      <c r="S93" s="551"/>
      <c r="T93" s="552"/>
      <c r="V93" s="549"/>
      <c r="W93" s="549"/>
      <c r="X93" s="550"/>
      <c r="Y93" s="551"/>
      <c r="Z93" s="552"/>
      <c r="AA93" s="555"/>
      <c r="AB93" s="549"/>
      <c r="AC93" s="549"/>
      <c r="AD93" s="550"/>
      <c r="AE93" s="551"/>
      <c r="AF93" s="552"/>
    </row>
    <row r="94" spans="1:32" ht="13.5" customHeight="1">
      <c r="A94" s="565"/>
      <c r="B94" s="566"/>
      <c r="C94" s="567"/>
      <c r="D94" s="568"/>
      <c r="E94" s="551"/>
      <c r="F94" s="552"/>
      <c r="G94" s="555"/>
      <c r="H94" s="566"/>
      <c r="I94" s="566"/>
      <c r="J94" s="567"/>
      <c r="K94" s="568"/>
      <c r="L94" s="551"/>
      <c r="M94" s="552"/>
      <c r="N94" s="561"/>
      <c r="O94" s="566"/>
      <c r="P94" s="566"/>
      <c r="Q94" s="567"/>
      <c r="R94" s="568"/>
      <c r="S94" s="551"/>
      <c r="T94" s="552"/>
      <c r="V94" s="549"/>
      <c r="W94" s="549"/>
      <c r="X94" s="550"/>
      <c r="Y94" s="551"/>
      <c r="Z94" s="552"/>
      <c r="AA94" s="555"/>
      <c r="AB94" s="549"/>
      <c r="AC94" s="549"/>
      <c r="AD94" s="550"/>
      <c r="AE94" s="551"/>
      <c r="AF94" s="552"/>
    </row>
    <row r="95" spans="1:32" ht="13.8" thickBot="1">
      <c r="A95" s="1452"/>
      <c r="B95" s="1453"/>
      <c r="C95" s="1453"/>
      <c r="D95" s="1453"/>
      <c r="E95" s="1453"/>
      <c r="F95" s="1453"/>
      <c r="G95" s="1453"/>
      <c r="H95" s="1453"/>
      <c r="I95" s="1453"/>
      <c r="J95" s="1453"/>
      <c r="K95" s="1453"/>
      <c r="L95" s="1453"/>
      <c r="M95" s="1453"/>
      <c r="N95" s="1453"/>
      <c r="O95" s="1453"/>
      <c r="P95" s="1453"/>
      <c r="Q95" s="1453"/>
      <c r="R95" s="1453"/>
      <c r="S95" s="1453"/>
      <c r="T95" s="1454"/>
      <c r="V95" s="557"/>
      <c r="W95" s="557"/>
      <c r="X95" s="557"/>
      <c r="Y95" s="557"/>
      <c r="Z95" s="557"/>
      <c r="AA95" s="557"/>
      <c r="AB95" s="557"/>
      <c r="AC95" s="557"/>
      <c r="AD95" s="557"/>
      <c r="AE95" s="557"/>
      <c r="AF95" s="557"/>
    </row>
    <row r="96" spans="1:32" ht="12.75" customHeight="1">
      <c r="A96" s="556"/>
      <c r="B96" s="549"/>
      <c r="C96" s="549"/>
      <c r="D96" s="549"/>
      <c r="E96" s="549"/>
      <c r="F96" s="549"/>
      <c r="G96" s="549"/>
      <c r="H96" s="549"/>
      <c r="I96" s="549"/>
      <c r="J96" s="549"/>
      <c r="K96" s="549"/>
      <c r="L96" s="549"/>
      <c r="M96" s="549"/>
      <c r="N96" s="561"/>
      <c r="O96" s="571"/>
      <c r="P96" s="571"/>
      <c r="Q96" s="571"/>
      <c r="R96" s="571"/>
      <c r="S96" s="571"/>
      <c r="T96" s="571"/>
      <c r="V96" s="549"/>
      <c r="W96" s="549"/>
      <c r="X96" s="549"/>
      <c r="Y96" s="549"/>
      <c r="Z96" s="549"/>
      <c r="AA96" s="549"/>
      <c r="AB96" s="549"/>
      <c r="AC96" s="549"/>
      <c r="AD96" s="549"/>
      <c r="AE96" s="549"/>
      <c r="AF96" s="549"/>
    </row>
    <row r="97" spans="1:20" ht="13.8" thickBot="1">
      <c r="A97" s="560"/>
      <c r="B97" s="561"/>
      <c r="C97" s="561"/>
      <c r="D97" s="561"/>
      <c r="E97" s="561"/>
      <c r="F97" s="561"/>
      <c r="G97" s="561"/>
      <c r="H97" s="561"/>
      <c r="I97" s="561"/>
      <c r="J97" s="561"/>
      <c r="K97" s="561"/>
      <c r="L97" s="561"/>
      <c r="M97" s="561"/>
      <c r="N97" s="561"/>
      <c r="O97" s="561"/>
      <c r="P97" s="561"/>
      <c r="Q97" s="561"/>
      <c r="R97" s="561"/>
      <c r="S97" s="561"/>
      <c r="T97" s="561"/>
    </row>
    <row r="98" spans="1:20" ht="12.75" customHeight="1">
      <c r="A98" s="1455" t="s">
        <v>289</v>
      </c>
      <c r="B98" s="1458"/>
      <c r="C98" s="1461" t="s">
        <v>290</v>
      </c>
      <c r="D98" s="1463" t="s">
        <v>185</v>
      </c>
      <c r="E98" s="1463"/>
      <c r="F98" s="1463"/>
      <c r="G98" s="1465" t="s">
        <v>182</v>
      </c>
      <c r="H98" s="1461" t="s">
        <v>291</v>
      </c>
      <c r="I98" s="572"/>
      <c r="J98" s="520"/>
      <c r="K98" s="1455" t="str">
        <f>A98</f>
        <v>No Urut Titik Ukur</v>
      </c>
      <c r="L98" s="1469"/>
      <c r="M98" s="1461" t="s">
        <v>290</v>
      </c>
      <c r="N98" s="1463" t="s">
        <v>185</v>
      </c>
      <c r="O98" s="1463"/>
      <c r="P98" s="1463"/>
      <c r="Q98" s="1465" t="s">
        <v>182</v>
      </c>
      <c r="R98" s="1461" t="s">
        <v>291</v>
      </c>
      <c r="S98" s="1447"/>
    </row>
    <row r="99" spans="1:20" ht="12.75" customHeight="1">
      <c r="A99" s="1456"/>
      <c r="B99" s="1459"/>
      <c r="C99" s="1462"/>
      <c r="D99" s="1464"/>
      <c r="E99" s="1464"/>
      <c r="F99" s="1464"/>
      <c r="G99" s="1466"/>
      <c r="H99" s="1462"/>
      <c r="I99" s="573"/>
      <c r="K99" s="1456"/>
      <c r="L99" s="1470"/>
      <c r="M99" s="1462"/>
      <c r="N99" s="1464"/>
      <c r="O99" s="1464"/>
      <c r="P99" s="1464"/>
      <c r="Q99" s="1466"/>
      <c r="R99" s="1462"/>
      <c r="S99" s="1448"/>
    </row>
    <row r="100" spans="1:20" ht="15" thickBot="1">
      <c r="A100" s="1457"/>
      <c r="B100" s="1460"/>
      <c r="C100" s="574" t="s">
        <v>174</v>
      </c>
      <c r="E100" s="575"/>
      <c r="F100" s="575"/>
      <c r="G100" s="1467"/>
      <c r="H100" s="1468"/>
      <c r="I100" s="576"/>
      <c r="K100" s="1456"/>
      <c r="L100" s="1470"/>
      <c r="M100" s="577" t="s">
        <v>174</v>
      </c>
      <c r="N100" s="578"/>
      <c r="O100" s="578"/>
      <c r="P100" s="578"/>
      <c r="Q100" s="1478"/>
      <c r="R100" s="1462"/>
      <c r="S100" s="1448"/>
    </row>
    <row r="101" spans="1:20">
      <c r="A101" s="1449" t="s">
        <v>51</v>
      </c>
      <c r="B101" s="579">
        <v>1</v>
      </c>
      <c r="C101" s="580">
        <f t="shared" ref="C101:H101" si="17">A5</f>
        <v>0</v>
      </c>
      <c r="D101" s="580">
        <f t="shared" si="17"/>
        <v>0</v>
      </c>
      <c r="E101" s="580">
        <f t="shared" si="17"/>
        <v>0</v>
      </c>
      <c r="F101" s="580">
        <f t="shared" si="17"/>
        <v>9.9999999999999995E-7</v>
      </c>
      <c r="G101" s="580">
        <f t="shared" si="17"/>
        <v>4.9999999999999998E-7</v>
      </c>
      <c r="H101" s="580">
        <f t="shared" si="17"/>
        <v>0.12</v>
      </c>
      <c r="I101" s="581"/>
      <c r="K101" s="1451" t="s">
        <v>292</v>
      </c>
      <c r="L101" s="579">
        <v>1</v>
      </c>
      <c r="M101" s="582">
        <f t="shared" ref="M101:R101" si="18">A$11</f>
        <v>60</v>
      </c>
      <c r="N101" s="582">
        <f t="shared" si="18"/>
        <v>0.02</v>
      </c>
      <c r="O101" s="582">
        <f t="shared" si="18"/>
        <v>0.01</v>
      </c>
      <c r="P101" s="582">
        <f t="shared" si="18"/>
        <v>-6.0000000000000001E-3</v>
      </c>
      <c r="Q101" s="582">
        <f t="shared" si="18"/>
        <v>8.0000000000000002E-3</v>
      </c>
      <c r="R101" s="582">
        <f t="shared" si="18"/>
        <v>0.12</v>
      </c>
      <c r="S101" s="583"/>
    </row>
    <row r="102" spans="1:20">
      <c r="A102" s="1450"/>
      <c r="B102" s="584">
        <v>2</v>
      </c>
      <c r="C102" s="585">
        <f t="shared" ref="C102:H102" si="19">H5</f>
        <v>0</v>
      </c>
      <c r="D102" s="585">
        <f t="shared" si="19"/>
        <v>0</v>
      </c>
      <c r="E102" s="585">
        <f t="shared" si="19"/>
        <v>0</v>
      </c>
      <c r="F102" s="585">
        <f t="shared" si="19"/>
        <v>9.9999999999999995E-7</v>
      </c>
      <c r="G102" s="585">
        <f t="shared" si="19"/>
        <v>4.9999999999999998E-7</v>
      </c>
      <c r="H102" s="585">
        <f t="shared" si="19"/>
        <v>0.121</v>
      </c>
      <c r="I102" s="586"/>
      <c r="K102" s="1451"/>
      <c r="L102" s="584">
        <v>2</v>
      </c>
      <c r="M102" s="585">
        <f t="shared" ref="M102:R102" si="20">H$11</f>
        <v>60</v>
      </c>
      <c r="N102" s="585">
        <f t="shared" si="20"/>
        <v>0</v>
      </c>
      <c r="O102" s="585">
        <f t="shared" si="20"/>
        <v>0</v>
      </c>
      <c r="P102" s="585">
        <f t="shared" si="20"/>
        <v>3.0000000000000001E-3</v>
      </c>
      <c r="Q102" s="585">
        <f t="shared" si="20"/>
        <v>1.5E-3</v>
      </c>
      <c r="R102" s="585">
        <f t="shared" si="20"/>
        <v>0.121</v>
      </c>
      <c r="S102" s="587"/>
    </row>
    <row r="103" spans="1:20">
      <c r="A103" s="1450"/>
      <c r="B103" s="584">
        <v>3</v>
      </c>
      <c r="C103" s="585">
        <f t="shared" ref="C103:H103" si="21">O5</f>
        <v>0</v>
      </c>
      <c r="D103" s="585">
        <f t="shared" si="21"/>
        <v>0</v>
      </c>
      <c r="E103" s="585">
        <f t="shared" si="21"/>
        <v>0</v>
      </c>
      <c r="F103" s="585">
        <f t="shared" si="21"/>
        <v>0</v>
      </c>
      <c r="G103" s="585">
        <f t="shared" si="21"/>
        <v>0</v>
      </c>
      <c r="H103" s="585">
        <f t="shared" si="21"/>
        <v>0</v>
      </c>
      <c r="I103" s="586"/>
      <c r="K103" s="1451"/>
      <c r="L103" s="584">
        <v>3</v>
      </c>
      <c r="M103" s="585">
        <f t="shared" ref="M103:R103" si="22">O$11</f>
        <v>60</v>
      </c>
      <c r="N103" s="585">
        <f t="shared" si="22"/>
        <v>-2E-3</v>
      </c>
      <c r="O103" s="585">
        <f t="shared" si="22"/>
        <v>1E-3</v>
      </c>
      <c r="P103" s="585">
        <f t="shared" si="22"/>
        <v>-2E-3</v>
      </c>
      <c r="Q103" s="585">
        <f t="shared" si="22"/>
        <v>1.5E-3</v>
      </c>
      <c r="R103" s="585">
        <f t="shared" si="22"/>
        <v>0.12</v>
      </c>
      <c r="S103" s="587"/>
    </row>
    <row r="104" spans="1:20">
      <c r="A104" s="1450"/>
      <c r="B104" s="584">
        <v>4</v>
      </c>
      <c r="C104" s="585">
        <f t="shared" ref="C104:H104" si="23">A20</f>
        <v>0</v>
      </c>
      <c r="D104" s="585" t="str">
        <f t="shared" si="23"/>
        <v>-</v>
      </c>
      <c r="E104" s="585">
        <f t="shared" si="23"/>
        <v>9.9999999999999995E-7</v>
      </c>
      <c r="F104" s="585">
        <f t="shared" si="23"/>
        <v>9.9999999999999995E-7</v>
      </c>
      <c r="G104" s="585">
        <f t="shared" si="23"/>
        <v>0</v>
      </c>
      <c r="H104" s="585">
        <f t="shared" si="23"/>
        <v>0.12</v>
      </c>
      <c r="I104" s="586"/>
      <c r="K104" s="1451"/>
      <c r="L104" s="584">
        <v>4</v>
      </c>
      <c r="M104" s="585">
        <f t="shared" ref="M104:R104" si="24">A$26</f>
        <v>60</v>
      </c>
      <c r="N104" s="585" t="str">
        <f t="shared" si="24"/>
        <v>-</v>
      </c>
      <c r="O104" s="585">
        <f t="shared" si="24"/>
        <v>-0.01</v>
      </c>
      <c r="P104" s="585">
        <f t="shared" si="24"/>
        <v>2E-3</v>
      </c>
      <c r="Q104" s="585">
        <f t="shared" si="24"/>
        <v>6.0000000000000001E-3</v>
      </c>
      <c r="R104" s="585">
        <f t="shared" si="24"/>
        <v>0.12</v>
      </c>
      <c r="S104" s="587"/>
    </row>
    <row r="105" spans="1:20">
      <c r="A105" s="1450"/>
      <c r="B105" s="584">
        <v>5</v>
      </c>
      <c r="C105" s="585">
        <f t="shared" ref="C105:H105" si="25">H20</f>
        <v>0</v>
      </c>
      <c r="D105" s="585">
        <f t="shared" si="25"/>
        <v>0</v>
      </c>
      <c r="E105" s="585">
        <f t="shared" si="25"/>
        <v>0</v>
      </c>
      <c r="F105" s="585">
        <f t="shared" si="25"/>
        <v>9.9999999999999995E-7</v>
      </c>
      <c r="G105" s="585">
        <f t="shared" si="25"/>
        <v>4.9999999999999998E-7</v>
      </c>
      <c r="H105" s="585">
        <f t="shared" si="25"/>
        <v>0</v>
      </c>
      <c r="I105" s="586"/>
      <c r="K105" s="1451"/>
      <c r="L105" s="584">
        <v>5</v>
      </c>
      <c r="M105" s="585">
        <f t="shared" ref="M105:R105" si="26">H$26</f>
        <v>60</v>
      </c>
      <c r="N105" s="585">
        <f t="shared" si="26"/>
        <v>-0.01</v>
      </c>
      <c r="O105" s="585">
        <f t="shared" si="26"/>
        <v>0.01</v>
      </c>
      <c r="P105" s="585">
        <f t="shared" si="26"/>
        <v>-0.03</v>
      </c>
      <c r="Q105" s="585">
        <f t="shared" si="26"/>
        <v>0.02</v>
      </c>
      <c r="R105" s="585">
        <f t="shared" si="26"/>
        <v>0.12</v>
      </c>
      <c r="S105" s="588"/>
    </row>
    <row r="106" spans="1:20">
      <c r="A106" s="1450"/>
      <c r="B106" s="584">
        <v>6</v>
      </c>
      <c r="C106" s="585">
        <f t="shared" ref="C106:H106" si="27">O20</f>
        <v>0</v>
      </c>
      <c r="D106" s="585">
        <f t="shared" si="27"/>
        <v>0</v>
      </c>
      <c r="E106" s="585">
        <f t="shared" si="27"/>
        <v>0</v>
      </c>
      <c r="F106" s="585">
        <f t="shared" si="27"/>
        <v>9.9999999999999995E-7</v>
      </c>
      <c r="G106" s="585">
        <f t="shared" si="27"/>
        <v>4.9999999999999998E-7</v>
      </c>
      <c r="H106" s="585">
        <f t="shared" si="27"/>
        <v>0</v>
      </c>
      <c r="I106" s="586"/>
      <c r="K106" s="1451"/>
      <c r="L106" s="584">
        <v>6</v>
      </c>
      <c r="M106" s="585">
        <f t="shared" ref="M106:R106" si="28">O$26</f>
        <v>60</v>
      </c>
      <c r="N106" s="585">
        <f t="shared" si="28"/>
        <v>-0.01</v>
      </c>
      <c r="O106" s="585">
        <f t="shared" si="28"/>
        <v>0</v>
      </c>
      <c r="P106" s="585">
        <f t="shared" si="28"/>
        <v>0.01</v>
      </c>
      <c r="Q106" s="585">
        <f t="shared" si="28"/>
        <v>5.0000000000000001E-3</v>
      </c>
      <c r="R106" s="585">
        <f t="shared" si="28"/>
        <v>0.12</v>
      </c>
      <c r="S106" s="587"/>
    </row>
    <row r="107" spans="1:20">
      <c r="A107" s="1450"/>
      <c r="B107" s="584">
        <v>7</v>
      </c>
      <c r="C107" s="585">
        <f t="shared" ref="C107:H107" si="29">A36</f>
        <v>0</v>
      </c>
      <c r="D107" s="585">
        <f t="shared" si="29"/>
        <v>0</v>
      </c>
      <c r="E107" s="585">
        <f t="shared" si="29"/>
        <v>0</v>
      </c>
      <c r="F107" s="585">
        <f t="shared" si="29"/>
        <v>9.9999999999999995E-7</v>
      </c>
      <c r="G107" s="585">
        <f t="shared" si="29"/>
        <v>4.9999999999999998E-7</v>
      </c>
      <c r="H107" s="585">
        <f t="shared" si="29"/>
        <v>0</v>
      </c>
      <c r="I107" s="586"/>
      <c r="K107" s="1451"/>
      <c r="L107" s="584">
        <v>7</v>
      </c>
      <c r="M107" s="585">
        <f t="shared" ref="M107:R107" si="30">A$42</f>
        <v>60</v>
      </c>
      <c r="N107" s="585">
        <f t="shared" si="30"/>
        <v>-0.05</v>
      </c>
      <c r="O107" s="585">
        <f t="shared" si="30"/>
        <v>-0.02</v>
      </c>
      <c r="P107" s="585">
        <f t="shared" si="30"/>
        <v>0.03</v>
      </c>
      <c r="Q107" s="585">
        <f t="shared" si="30"/>
        <v>2.5000000000000001E-2</v>
      </c>
      <c r="R107" s="585">
        <f t="shared" si="30"/>
        <v>0.12</v>
      </c>
      <c r="S107" s="587"/>
    </row>
    <row r="108" spans="1:20">
      <c r="A108" s="1450"/>
      <c r="B108" s="584">
        <v>8</v>
      </c>
      <c r="C108" s="585">
        <f t="shared" ref="C108:H108" si="31">H36</f>
        <v>0</v>
      </c>
      <c r="D108" s="585">
        <f t="shared" si="31"/>
        <v>0</v>
      </c>
      <c r="E108" s="585">
        <f t="shared" si="31"/>
        <v>0</v>
      </c>
      <c r="F108" s="585">
        <f t="shared" si="31"/>
        <v>9.9999999999999995E-7</v>
      </c>
      <c r="G108" s="585">
        <f t="shared" si="31"/>
        <v>4.9999999999999998E-7</v>
      </c>
      <c r="H108" s="585">
        <f t="shared" si="31"/>
        <v>0</v>
      </c>
      <c r="I108" s="586"/>
      <c r="K108" s="1451"/>
      <c r="L108" s="584">
        <v>8</v>
      </c>
      <c r="M108" s="585">
        <f t="shared" ref="M108:R108" si="32">H$42</f>
        <v>60</v>
      </c>
      <c r="N108" s="585">
        <f t="shared" si="32"/>
        <v>-0.02</v>
      </c>
      <c r="O108" s="585">
        <f t="shared" si="32"/>
        <v>0</v>
      </c>
      <c r="P108" s="585">
        <f t="shared" si="32"/>
        <v>0.01</v>
      </c>
      <c r="Q108" s="585">
        <f t="shared" si="32"/>
        <v>5.0000000000000001E-3</v>
      </c>
      <c r="R108" s="585">
        <f t="shared" si="32"/>
        <v>0.12</v>
      </c>
      <c r="S108" s="587"/>
    </row>
    <row r="109" spans="1:20">
      <c r="A109" s="1450"/>
      <c r="B109" s="584">
        <v>9</v>
      </c>
      <c r="C109" s="585">
        <f t="shared" ref="C109:H109" si="33">O36</f>
        <v>0</v>
      </c>
      <c r="D109" s="585">
        <f t="shared" si="33"/>
        <v>0</v>
      </c>
      <c r="E109" s="585">
        <f t="shared" si="33"/>
        <v>9.9999999999999995E-7</v>
      </c>
      <c r="F109" s="585">
        <f t="shared" si="33"/>
        <v>9.9999999999999995E-7</v>
      </c>
      <c r="G109" s="585">
        <f t="shared" si="33"/>
        <v>0</v>
      </c>
      <c r="H109" s="585">
        <f t="shared" si="33"/>
        <v>0</v>
      </c>
      <c r="I109" s="586"/>
      <c r="K109" s="1451"/>
      <c r="L109" s="584">
        <v>9</v>
      </c>
      <c r="M109" s="585">
        <f t="shared" ref="M109:R109" si="34">O$42</f>
        <v>60</v>
      </c>
      <c r="N109" s="585">
        <f t="shared" si="34"/>
        <v>0.01</v>
      </c>
      <c r="O109" s="585">
        <f t="shared" si="34"/>
        <v>0.02</v>
      </c>
      <c r="P109" s="585">
        <f t="shared" si="34"/>
        <v>-0.01</v>
      </c>
      <c r="Q109" s="585">
        <f t="shared" si="34"/>
        <v>1.4999999999999999E-2</v>
      </c>
      <c r="R109" s="585">
        <f t="shared" si="34"/>
        <v>0.12</v>
      </c>
      <c r="S109" s="587"/>
    </row>
    <row r="110" spans="1:20">
      <c r="A110" s="1450"/>
      <c r="B110" s="584">
        <v>10</v>
      </c>
      <c r="C110" s="585">
        <f t="shared" ref="C110:H110" si="35">A51</f>
        <v>0</v>
      </c>
      <c r="D110" s="585">
        <f t="shared" si="35"/>
        <v>0</v>
      </c>
      <c r="E110" s="585">
        <f t="shared" si="35"/>
        <v>0</v>
      </c>
      <c r="F110" s="585">
        <f t="shared" si="35"/>
        <v>9.9999999999999995E-7</v>
      </c>
      <c r="G110" s="585">
        <f t="shared" si="35"/>
        <v>4.9999999999999998E-7</v>
      </c>
      <c r="H110" s="585">
        <f t="shared" si="35"/>
        <v>0</v>
      </c>
      <c r="I110" s="586"/>
      <c r="K110" s="1451"/>
      <c r="L110" s="584">
        <v>10</v>
      </c>
      <c r="M110" s="585">
        <f t="shared" ref="M110:R110" si="36">A$57</f>
        <v>60</v>
      </c>
      <c r="N110" s="585">
        <f t="shared" si="36"/>
        <v>-0.03</v>
      </c>
      <c r="O110" s="585">
        <f t="shared" si="36"/>
        <v>0</v>
      </c>
      <c r="P110" s="585">
        <f t="shared" si="36"/>
        <v>-0.06</v>
      </c>
      <c r="Q110" s="585">
        <f t="shared" si="36"/>
        <v>0.03</v>
      </c>
      <c r="R110" s="585">
        <f t="shared" si="36"/>
        <v>0.12</v>
      </c>
      <c r="S110" s="587"/>
    </row>
    <row r="111" spans="1:20">
      <c r="A111" s="1450"/>
      <c r="B111" s="584">
        <v>11</v>
      </c>
      <c r="C111" s="582">
        <f t="shared" ref="C111:H111" si="37">H51</f>
        <v>0</v>
      </c>
      <c r="D111" s="582">
        <f t="shared" si="37"/>
        <v>0</v>
      </c>
      <c r="E111" s="582">
        <f t="shared" si="37"/>
        <v>0</v>
      </c>
      <c r="F111" s="582">
        <f t="shared" si="37"/>
        <v>9.9999999999999995E-7</v>
      </c>
      <c r="G111" s="582">
        <f t="shared" si="37"/>
        <v>4.9999999999999998E-7</v>
      </c>
      <c r="H111" s="582">
        <f t="shared" si="37"/>
        <v>0</v>
      </c>
      <c r="I111" s="589"/>
      <c r="K111" s="590"/>
      <c r="L111" s="591">
        <v>11</v>
      </c>
      <c r="M111" s="582">
        <f t="shared" ref="M111:R111" si="38">H$57</f>
        <v>60</v>
      </c>
      <c r="N111" s="582">
        <f t="shared" si="38"/>
        <v>-0.04</v>
      </c>
      <c r="O111" s="582">
        <f t="shared" si="38"/>
        <v>0</v>
      </c>
      <c r="P111" s="582">
        <f t="shared" si="38"/>
        <v>-0.03</v>
      </c>
      <c r="Q111" s="582">
        <f t="shared" si="38"/>
        <v>1.4999999999999999E-2</v>
      </c>
      <c r="R111" s="582">
        <f t="shared" si="38"/>
        <v>0.12</v>
      </c>
      <c r="S111" s="583"/>
    </row>
    <row r="112" spans="1:20">
      <c r="A112" s="1450"/>
      <c r="B112" s="584">
        <v>12</v>
      </c>
      <c r="C112" s="582">
        <f>O51</f>
        <v>0</v>
      </c>
      <c r="D112" s="582">
        <f t="shared" ref="D112:H112" si="39">P51</f>
        <v>0</v>
      </c>
      <c r="E112" s="582">
        <f t="shared" si="39"/>
        <v>0</v>
      </c>
      <c r="F112" s="582">
        <f t="shared" si="39"/>
        <v>9.9999999999999995E-7</v>
      </c>
      <c r="G112" s="582">
        <f t="shared" si="39"/>
        <v>4.9999999999999998E-7</v>
      </c>
      <c r="H112" s="582">
        <f t="shared" si="39"/>
        <v>0</v>
      </c>
      <c r="I112" s="589"/>
      <c r="K112" s="590"/>
      <c r="L112" s="584">
        <v>12</v>
      </c>
      <c r="M112" s="582">
        <f t="shared" ref="M112:R112" si="40">O$57</f>
        <v>60</v>
      </c>
      <c r="N112" s="582">
        <f t="shared" si="40"/>
        <v>0.03</v>
      </c>
      <c r="O112" s="582">
        <f t="shared" si="40"/>
        <v>0.01</v>
      </c>
      <c r="P112" s="582">
        <f t="shared" si="40"/>
        <v>0.02</v>
      </c>
      <c r="Q112" s="582">
        <f t="shared" si="40"/>
        <v>5.0000000000000001E-3</v>
      </c>
      <c r="R112" s="582">
        <f t="shared" si="40"/>
        <v>0.12</v>
      </c>
      <c r="S112" s="583"/>
    </row>
    <row r="113" spans="1:19">
      <c r="A113" s="1450"/>
      <c r="B113" s="584">
        <v>13</v>
      </c>
      <c r="C113" s="582">
        <f>A66</f>
        <v>0</v>
      </c>
      <c r="D113" s="582">
        <f t="shared" ref="D113:H113" si="41">B66</f>
        <v>0</v>
      </c>
      <c r="E113" s="582">
        <f t="shared" si="41"/>
        <v>0</v>
      </c>
      <c r="F113" s="582">
        <f t="shared" si="41"/>
        <v>9.9999999999999995E-7</v>
      </c>
      <c r="G113" s="582">
        <f t="shared" si="41"/>
        <v>4.9999999999999998E-7</v>
      </c>
      <c r="H113" s="582">
        <f t="shared" si="41"/>
        <v>0</v>
      </c>
      <c r="I113" s="589"/>
      <c r="K113" s="590"/>
      <c r="L113" s="584">
        <v>13</v>
      </c>
      <c r="M113" s="582">
        <f t="shared" ref="M113:R113" si="42">A$72</f>
        <v>60</v>
      </c>
      <c r="N113" s="582">
        <f t="shared" si="42"/>
        <v>-0.01</v>
      </c>
      <c r="O113" s="582">
        <f t="shared" si="42"/>
        <v>0</v>
      </c>
      <c r="P113" s="582">
        <f t="shared" si="42"/>
        <v>0.02</v>
      </c>
      <c r="Q113" s="582">
        <f t="shared" si="42"/>
        <v>0.01</v>
      </c>
      <c r="R113" s="582">
        <f t="shared" si="42"/>
        <v>0.12</v>
      </c>
      <c r="S113" s="583"/>
    </row>
    <row r="114" spans="1:19">
      <c r="A114" s="1450"/>
      <c r="B114" s="584">
        <v>14</v>
      </c>
      <c r="C114" s="582">
        <f t="shared" ref="C114:H114" si="43">H66</f>
        <v>0</v>
      </c>
      <c r="D114" s="582">
        <f t="shared" si="43"/>
        <v>0</v>
      </c>
      <c r="E114" s="582">
        <f t="shared" si="43"/>
        <v>0</v>
      </c>
      <c r="F114" s="582">
        <f t="shared" si="43"/>
        <v>9.9999999999999995E-7</v>
      </c>
      <c r="G114" s="582">
        <f t="shared" si="43"/>
        <v>4.9999999999999998E-7</v>
      </c>
      <c r="H114" s="582">
        <f t="shared" si="43"/>
        <v>0</v>
      </c>
      <c r="I114" s="589"/>
      <c r="K114" s="590"/>
      <c r="L114" s="584">
        <v>14</v>
      </c>
      <c r="M114" s="582">
        <f t="shared" ref="M114:R114" si="44">H$72</f>
        <v>60</v>
      </c>
      <c r="N114" s="582">
        <f t="shared" si="44"/>
        <v>-0.05</v>
      </c>
      <c r="O114" s="582">
        <f t="shared" si="44"/>
        <v>0.01</v>
      </c>
      <c r="P114" s="582">
        <f t="shared" si="44"/>
        <v>0.03</v>
      </c>
      <c r="Q114" s="582">
        <f t="shared" si="44"/>
        <v>9.9999999999999985E-3</v>
      </c>
      <c r="R114" s="582">
        <f t="shared" si="44"/>
        <v>0.12</v>
      </c>
      <c r="S114" s="583"/>
    </row>
    <row r="115" spans="1:19">
      <c r="A115" s="1450"/>
      <c r="B115" s="584">
        <v>15</v>
      </c>
      <c r="C115" s="582">
        <f t="shared" ref="C115:H115" si="45">O66</f>
        <v>0</v>
      </c>
      <c r="D115" s="582">
        <f t="shared" si="45"/>
        <v>0</v>
      </c>
      <c r="E115" s="582">
        <f t="shared" si="45"/>
        <v>9.9999999999999995E-7</v>
      </c>
      <c r="F115" s="582">
        <f t="shared" si="45"/>
        <v>9.9999999999999995E-7</v>
      </c>
      <c r="G115" s="582">
        <f t="shared" si="45"/>
        <v>0</v>
      </c>
      <c r="H115" s="582">
        <f t="shared" si="45"/>
        <v>0</v>
      </c>
      <c r="I115" s="589"/>
      <c r="K115" s="590"/>
      <c r="L115" s="584">
        <v>15</v>
      </c>
      <c r="M115" s="582">
        <f t="shared" ref="M115:R115" si="46">O$72</f>
        <v>60</v>
      </c>
      <c r="N115" s="582">
        <f t="shared" si="46"/>
        <v>0.01</v>
      </c>
      <c r="O115" s="582">
        <f t="shared" si="46"/>
        <v>0.04</v>
      </c>
      <c r="P115" s="582">
        <f t="shared" si="46"/>
        <v>9.9999999999999995E-7</v>
      </c>
      <c r="Q115" s="582">
        <f t="shared" si="46"/>
        <v>1.99995E-2</v>
      </c>
      <c r="R115" s="582">
        <f t="shared" si="46"/>
        <v>0.12</v>
      </c>
      <c r="S115" s="583"/>
    </row>
    <row r="116" spans="1:19" ht="13.8" thickBot="1">
      <c r="A116" s="1450"/>
      <c r="B116" s="584">
        <v>16</v>
      </c>
      <c r="C116" s="246">
        <f>A81</f>
        <v>0</v>
      </c>
      <c r="D116" s="246">
        <f t="shared" ref="D116:H116" si="47">B81</f>
        <v>0</v>
      </c>
      <c r="E116" s="246">
        <f>C81</f>
        <v>0</v>
      </c>
      <c r="F116" s="246">
        <f t="shared" si="47"/>
        <v>9.9999999999999995E-7</v>
      </c>
      <c r="G116" s="246">
        <f t="shared" si="47"/>
        <v>4.9999999999999998E-7</v>
      </c>
      <c r="H116" s="246">
        <f t="shared" si="47"/>
        <v>0</v>
      </c>
      <c r="I116" s="248"/>
      <c r="K116" s="590"/>
      <c r="L116" s="592">
        <v>16</v>
      </c>
      <c r="M116" s="582">
        <f t="shared" ref="M116:R116" si="48">A$87</f>
        <v>60</v>
      </c>
      <c r="N116" s="582">
        <f t="shared" si="48"/>
        <v>0</v>
      </c>
      <c r="O116" s="582">
        <f t="shared" si="48"/>
        <v>0</v>
      </c>
      <c r="P116" s="582">
        <f t="shared" si="48"/>
        <v>-0.01</v>
      </c>
      <c r="Q116" s="582">
        <f t="shared" si="48"/>
        <v>5.0000000000000001E-3</v>
      </c>
      <c r="R116" s="582">
        <f t="shared" si="48"/>
        <v>0.12</v>
      </c>
      <c r="S116" s="583"/>
    </row>
    <row r="117" spans="1:19" ht="13.8" thickBot="1">
      <c r="A117" s="593"/>
      <c r="B117" s="591">
        <v>17</v>
      </c>
      <c r="C117" s="594">
        <f>H81</f>
        <v>0</v>
      </c>
      <c r="D117" s="594">
        <f t="shared" ref="D117:H117" si="49">I81</f>
        <v>0</v>
      </c>
      <c r="E117" s="594">
        <f t="shared" si="49"/>
        <v>0</v>
      </c>
      <c r="F117" s="594" t="str">
        <f t="shared" si="49"/>
        <v>-</v>
      </c>
      <c r="G117" s="594">
        <f t="shared" si="49"/>
        <v>0</v>
      </c>
      <c r="H117" s="594">
        <f t="shared" si="49"/>
        <v>0</v>
      </c>
      <c r="I117" s="595"/>
      <c r="K117" s="590"/>
      <c r="L117" s="584">
        <v>17</v>
      </c>
      <c r="M117" s="582">
        <f>H87</f>
        <v>60</v>
      </c>
      <c r="N117" s="582">
        <f t="shared" ref="N117:R117" si="50">I87</f>
        <v>0.01</v>
      </c>
      <c r="O117" s="582">
        <f t="shared" si="50"/>
        <v>0</v>
      </c>
      <c r="P117" s="582" t="str">
        <f t="shared" si="50"/>
        <v>-</v>
      </c>
      <c r="Q117" s="582">
        <f t="shared" si="50"/>
        <v>3.9999999999999994E-2</v>
      </c>
      <c r="R117" s="582">
        <f t="shared" si="50"/>
        <v>0.12</v>
      </c>
      <c r="S117" s="583"/>
    </row>
    <row r="118" spans="1:19">
      <c r="A118" s="1449" t="s">
        <v>52</v>
      </c>
      <c r="B118" s="579">
        <v>1</v>
      </c>
      <c r="C118" s="580">
        <f>A$6</f>
        <v>10</v>
      </c>
      <c r="D118" s="580">
        <f t="shared" ref="D118:H118" si="51">B$6</f>
        <v>0.04</v>
      </c>
      <c r="E118" s="580">
        <f t="shared" si="51"/>
        <v>0.01</v>
      </c>
      <c r="F118" s="580">
        <f t="shared" si="51"/>
        <v>-1E-3</v>
      </c>
      <c r="G118" s="580">
        <f t="shared" si="51"/>
        <v>5.4999999999999997E-3</v>
      </c>
      <c r="H118" s="580">
        <f t="shared" si="51"/>
        <v>0.12</v>
      </c>
      <c r="I118" s="581"/>
      <c r="K118" s="1471" t="s">
        <v>293</v>
      </c>
      <c r="L118" s="579">
        <v>1</v>
      </c>
      <c r="M118" s="580">
        <f t="shared" ref="M118:R118" si="52">A$12</f>
        <v>300</v>
      </c>
      <c r="N118" s="580">
        <f t="shared" si="52"/>
        <v>0.02</v>
      </c>
      <c r="O118" s="580">
        <f t="shared" si="52"/>
        <v>0.01</v>
      </c>
      <c r="P118" s="580">
        <f t="shared" si="52"/>
        <v>-2E-3</v>
      </c>
      <c r="Q118" s="580">
        <f t="shared" si="52"/>
        <v>6.0000000000000001E-3</v>
      </c>
      <c r="R118" s="580">
        <f t="shared" si="52"/>
        <v>0.12</v>
      </c>
      <c r="S118" s="596"/>
    </row>
    <row r="119" spans="1:19">
      <c r="A119" s="1450"/>
      <c r="B119" s="584">
        <v>2</v>
      </c>
      <c r="C119" s="585">
        <f>H$6</f>
        <v>10</v>
      </c>
      <c r="D119" s="585">
        <f t="shared" ref="D119:H119" si="53">I$6</f>
        <v>2E-3</v>
      </c>
      <c r="E119" s="585">
        <f t="shared" si="53"/>
        <v>0</v>
      </c>
      <c r="F119" s="585">
        <f t="shared" si="53"/>
        <v>1E-3</v>
      </c>
      <c r="G119" s="585">
        <f t="shared" si="53"/>
        <v>5.0000000000000001E-4</v>
      </c>
      <c r="H119" s="585">
        <f t="shared" si="53"/>
        <v>0.121</v>
      </c>
      <c r="I119" s="586"/>
      <c r="K119" s="1451"/>
      <c r="L119" s="584">
        <v>2</v>
      </c>
      <c r="M119" s="585">
        <f t="shared" ref="M119:R119" si="54">H$12</f>
        <v>300</v>
      </c>
      <c r="N119" s="585">
        <f t="shared" si="54"/>
        <v>4.0000000000000001E-3</v>
      </c>
      <c r="O119" s="585">
        <f t="shared" si="54"/>
        <v>1E-3</v>
      </c>
      <c r="P119" s="585">
        <f t="shared" si="54"/>
        <v>3.0000000000000001E-3</v>
      </c>
      <c r="Q119" s="585">
        <f t="shared" si="54"/>
        <v>1E-3</v>
      </c>
      <c r="R119" s="585">
        <f t="shared" si="54"/>
        <v>0.121</v>
      </c>
      <c r="S119" s="597"/>
    </row>
    <row r="120" spans="1:19">
      <c r="A120" s="1450"/>
      <c r="B120" s="584">
        <v>3</v>
      </c>
      <c r="C120" s="585">
        <f>O$6</f>
        <v>10</v>
      </c>
      <c r="D120" s="585">
        <f t="shared" ref="D120:H120" si="55">P$6</f>
        <v>-2E-3</v>
      </c>
      <c r="E120" s="585">
        <f t="shared" si="55"/>
        <v>0</v>
      </c>
      <c r="F120" s="585" t="str">
        <f t="shared" si="55"/>
        <v>-</v>
      </c>
      <c r="G120" s="585">
        <f t="shared" si="55"/>
        <v>3.9999999999999994E-2</v>
      </c>
      <c r="H120" s="585">
        <f t="shared" si="55"/>
        <v>0.12</v>
      </c>
      <c r="I120" s="586"/>
      <c r="K120" s="1451"/>
      <c r="L120" s="584">
        <v>3</v>
      </c>
      <c r="M120" s="585">
        <f t="shared" ref="M120:R120" si="56">O$12</f>
        <v>300</v>
      </c>
      <c r="N120" s="585">
        <f t="shared" si="56"/>
        <v>-1E-3</v>
      </c>
      <c r="O120" s="585">
        <f t="shared" si="56"/>
        <v>1E-3</v>
      </c>
      <c r="P120" s="585">
        <f t="shared" si="56"/>
        <v>1E-3</v>
      </c>
      <c r="Q120" s="585">
        <f t="shared" si="56"/>
        <v>0</v>
      </c>
      <c r="R120" s="585">
        <f t="shared" si="56"/>
        <v>0.12</v>
      </c>
      <c r="S120" s="597"/>
    </row>
    <row r="121" spans="1:19">
      <c r="A121" s="1450"/>
      <c r="B121" s="584">
        <v>4</v>
      </c>
      <c r="C121" s="585">
        <f>A$21</f>
        <v>60</v>
      </c>
      <c r="D121" s="585" t="str">
        <f t="shared" ref="D121:H121" si="57">B$21</f>
        <v>-</v>
      </c>
      <c r="E121" s="585">
        <f t="shared" si="57"/>
        <v>-0.01</v>
      </c>
      <c r="F121" s="585">
        <f t="shared" si="57"/>
        <v>2E-3</v>
      </c>
      <c r="G121" s="585">
        <f t="shared" si="57"/>
        <v>6.0000000000000001E-3</v>
      </c>
      <c r="H121" s="585">
        <f t="shared" si="57"/>
        <v>0.12</v>
      </c>
      <c r="I121" s="586"/>
      <c r="K121" s="1451"/>
      <c r="L121" s="584">
        <v>4</v>
      </c>
      <c r="M121" s="585">
        <f t="shared" ref="M121:R121" si="58">A$27</f>
        <v>300</v>
      </c>
      <c r="N121" s="585" t="str">
        <f t="shared" si="58"/>
        <v>-</v>
      </c>
      <c r="O121" s="585">
        <f t="shared" si="58"/>
        <v>-0.01</v>
      </c>
      <c r="P121" s="585">
        <f t="shared" si="58"/>
        <v>1E-3</v>
      </c>
      <c r="Q121" s="585">
        <f t="shared" si="58"/>
        <v>5.4999999999999997E-3</v>
      </c>
      <c r="R121" s="585">
        <f t="shared" si="58"/>
        <v>0.12</v>
      </c>
      <c r="S121" s="597"/>
    </row>
    <row r="122" spans="1:19">
      <c r="A122" s="1450"/>
      <c r="B122" s="584">
        <v>5</v>
      </c>
      <c r="C122" s="585">
        <f>H$21</f>
        <v>10</v>
      </c>
      <c r="D122" s="585">
        <f t="shared" ref="D122:H122" si="59">I$21</f>
        <v>0</v>
      </c>
      <c r="E122" s="585">
        <f t="shared" si="59"/>
        <v>0.01</v>
      </c>
      <c r="F122" s="585">
        <f t="shared" si="59"/>
        <v>-0.02</v>
      </c>
      <c r="G122" s="585">
        <f t="shared" si="59"/>
        <v>1.4999999999999999E-2</v>
      </c>
      <c r="H122" s="585">
        <f t="shared" si="59"/>
        <v>0.12</v>
      </c>
      <c r="I122" s="586"/>
      <c r="K122" s="1451"/>
      <c r="L122" s="584">
        <v>5</v>
      </c>
      <c r="M122" s="585">
        <f t="shared" ref="M122:R122" si="60">H$27</f>
        <v>300</v>
      </c>
      <c r="N122" s="585">
        <f t="shared" si="60"/>
        <v>0</v>
      </c>
      <c r="O122" s="585">
        <f t="shared" si="60"/>
        <v>0.01</v>
      </c>
      <c r="P122" s="585">
        <f t="shared" si="60"/>
        <v>-0.02</v>
      </c>
      <c r="Q122" s="585">
        <f t="shared" si="60"/>
        <v>1.4999999999999999E-2</v>
      </c>
      <c r="R122" s="585">
        <f t="shared" si="60"/>
        <v>0.12</v>
      </c>
      <c r="S122" s="588"/>
    </row>
    <row r="123" spans="1:19">
      <c r="A123" s="1450"/>
      <c r="B123" s="584">
        <v>6</v>
      </c>
      <c r="C123" s="585">
        <f>O$21</f>
        <v>10</v>
      </c>
      <c r="D123" s="585">
        <f t="shared" ref="D123:H123" si="61">P$21</f>
        <v>-0.01</v>
      </c>
      <c r="E123" s="585">
        <f t="shared" si="61"/>
        <v>0</v>
      </c>
      <c r="F123" s="585" t="str">
        <f t="shared" si="61"/>
        <v>-</v>
      </c>
      <c r="G123" s="585">
        <f t="shared" si="61"/>
        <v>3.9999999999999994E-2</v>
      </c>
      <c r="H123" s="585">
        <f t="shared" si="61"/>
        <v>0.12</v>
      </c>
      <c r="I123" s="586"/>
      <c r="K123" s="1451"/>
      <c r="L123" s="584">
        <v>6</v>
      </c>
      <c r="M123" s="585">
        <f t="shared" ref="M123:R123" si="62">O$27</f>
        <v>300</v>
      </c>
      <c r="N123" s="585">
        <f t="shared" si="62"/>
        <v>-0.01</v>
      </c>
      <c r="O123" s="585">
        <f t="shared" si="62"/>
        <v>0</v>
      </c>
      <c r="P123" s="585">
        <f t="shared" si="62"/>
        <v>0.01</v>
      </c>
      <c r="Q123" s="585">
        <f t="shared" si="62"/>
        <v>5.0000000000000001E-3</v>
      </c>
      <c r="R123" s="585">
        <f t="shared" si="62"/>
        <v>0.12</v>
      </c>
      <c r="S123" s="597"/>
    </row>
    <row r="124" spans="1:19">
      <c r="A124" s="1450"/>
      <c r="B124" s="584">
        <v>7</v>
      </c>
      <c r="C124" s="585">
        <f>A$37</f>
        <v>10</v>
      </c>
      <c r="D124" s="585">
        <f t="shared" ref="D124:H124" si="63">B$37</f>
        <v>-0.05</v>
      </c>
      <c r="E124" s="585">
        <f t="shared" si="63"/>
        <v>-0.01</v>
      </c>
      <c r="F124" s="585" t="str">
        <f t="shared" si="63"/>
        <v>-</v>
      </c>
      <c r="G124" s="585">
        <f t="shared" si="63"/>
        <v>3.9999999999999994E-2</v>
      </c>
      <c r="H124" s="585">
        <f t="shared" si="63"/>
        <v>0.12</v>
      </c>
      <c r="I124" s="586"/>
      <c r="K124" s="1451"/>
      <c r="L124" s="584">
        <v>7</v>
      </c>
      <c r="M124" s="585">
        <f t="shared" ref="M124:R124" si="64">A$43</f>
        <v>300</v>
      </c>
      <c r="N124" s="585">
        <f t="shared" si="64"/>
        <v>-0.06</v>
      </c>
      <c r="O124" s="585">
        <f t="shared" si="64"/>
        <v>-0.01</v>
      </c>
      <c r="P124" s="585">
        <f t="shared" si="64"/>
        <v>0.02</v>
      </c>
      <c r="Q124" s="585">
        <f t="shared" si="64"/>
        <v>1.4999999999999999E-2</v>
      </c>
      <c r="R124" s="585">
        <f t="shared" si="64"/>
        <v>0.12</v>
      </c>
      <c r="S124" s="597"/>
    </row>
    <row r="125" spans="1:19">
      <c r="A125" s="1450"/>
      <c r="B125" s="584">
        <v>8</v>
      </c>
      <c r="C125" s="585">
        <f>H$37</f>
        <v>10</v>
      </c>
      <c r="D125" s="585">
        <f t="shared" ref="D125:H125" si="65">I$37</f>
        <v>-0.01</v>
      </c>
      <c r="E125" s="585">
        <f t="shared" si="65"/>
        <v>0.01</v>
      </c>
      <c r="F125" s="585" t="str">
        <f t="shared" si="65"/>
        <v>-</v>
      </c>
      <c r="G125" s="585">
        <f t="shared" si="65"/>
        <v>3.9999999999999994E-2</v>
      </c>
      <c r="H125" s="585">
        <f t="shared" si="65"/>
        <v>0.12</v>
      </c>
      <c r="I125" s="586"/>
      <c r="K125" s="1451"/>
      <c r="L125" s="584">
        <v>8</v>
      </c>
      <c r="M125" s="585">
        <f t="shared" ref="M125:R125" si="66">H$43</f>
        <v>300</v>
      </c>
      <c r="N125" s="585">
        <f t="shared" si="66"/>
        <v>-0.02</v>
      </c>
      <c r="O125" s="585">
        <f t="shared" si="66"/>
        <v>0.01</v>
      </c>
      <c r="P125" s="585">
        <f t="shared" si="66"/>
        <v>0.02</v>
      </c>
      <c r="Q125" s="585">
        <f t="shared" si="66"/>
        <v>5.0000000000000001E-3</v>
      </c>
      <c r="R125" s="585">
        <f t="shared" si="66"/>
        <v>0.12</v>
      </c>
      <c r="S125" s="597"/>
    </row>
    <row r="126" spans="1:19">
      <c r="A126" s="1450"/>
      <c r="B126" s="584">
        <v>9</v>
      </c>
      <c r="C126" s="585">
        <f>O$37</f>
        <v>10</v>
      </c>
      <c r="D126" s="585">
        <f t="shared" ref="D126:H126" si="67">P$37</f>
        <v>0</v>
      </c>
      <c r="E126" s="585" t="str">
        <f t="shared" si="67"/>
        <v>-</v>
      </c>
      <c r="F126" s="585" t="str">
        <f t="shared" si="67"/>
        <v>-</v>
      </c>
      <c r="G126" s="585">
        <f t="shared" si="67"/>
        <v>3.9999999999999994E-2</v>
      </c>
      <c r="H126" s="585">
        <f t="shared" si="67"/>
        <v>0.12</v>
      </c>
      <c r="I126" s="586"/>
      <c r="K126" s="1451"/>
      <c r="L126" s="584">
        <v>9</v>
      </c>
      <c r="M126" s="585">
        <f t="shared" ref="M126:R126" si="68">O$43</f>
        <v>300</v>
      </c>
      <c r="N126" s="585">
        <f t="shared" si="68"/>
        <v>0.01</v>
      </c>
      <c r="O126" s="585">
        <f t="shared" si="68"/>
        <v>0.01</v>
      </c>
      <c r="P126" s="585">
        <f t="shared" si="68"/>
        <v>-0.02</v>
      </c>
      <c r="Q126" s="585">
        <f t="shared" si="68"/>
        <v>1.4999999999999999E-2</v>
      </c>
      <c r="R126" s="585">
        <f t="shared" si="68"/>
        <v>0.12</v>
      </c>
      <c r="S126" s="597"/>
    </row>
    <row r="127" spans="1:19">
      <c r="A127" s="1450"/>
      <c r="B127" s="584">
        <v>10</v>
      </c>
      <c r="C127" s="585">
        <f>A$52</f>
        <v>10</v>
      </c>
      <c r="D127" s="585">
        <f t="shared" ref="D127:H127" si="69">B$52</f>
        <v>-0.03</v>
      </c>
      <c r="E127" s="585">
        <f t="shared" si="69"/>
        <v>0.01</v>
      </c>
      <c r="F127" s="585">
        <f t="shared" si="69"/>
        <v>-7.0000000000000007E-2</v>
      </c>
      <c r="G127" s="585">
        <f t="shared" si="69"/>
        <v>0.04</v>
      </c>
      <c r="H127" s="585">
        <f t="shared" si="69"/>
        <v>0.12</v>
      </c>
      <c r="I127" s="586"/>
      <c r="K127" s="1451"/>
      <c r="L127" s="584">
        <v>10</v>
      </c>
      <c r="M127" s="585">
        <f t="shared" ref="M127:R127" si="70">A$58</f>
        <v>300</v>
      </c>
      <c r="N127" s="585">
        <f t="shared" si="70"/>
        <v>-0.03</v>
      </c>
      <c r="O127" s="585">
        <f t="shared" si="70"/>
        <v>0.01</v>
      </c>
      <c r="P127" s="585">
        <f t="shared" si="70"/>
        <v>-0.05</v>
      </c>
      <c r="Q127" s="585">
        <f t="shared" si="70"/>
        <v>3.0000000000000002E-2</v>
      </c>
      <c r="R127" s="585">
        <f t="shared" si="70"/>
        <v>0.12</v>
      </c>
      <c r="S127" s="587"/>
    </row>
    <row r="128" spans="1:19">
      <c r="A128" s="1450"/>
      <c r="B128" s="584">
        <v>11</v>
      </c>
      <c r="C128" s="582">
        <f>H$52</f>
        <v>10</v>
      </c>
      <c r="D128" s="582">
        <f t="shared" ref="D128:H128" si="71">I$52</f>
        <v>-0.03</v>
      </c>
      <c r="E128" s="582">
        <f t="shared" si="71"/>
        <v>0</v>
      </c>
      <c r="F128" s="582">
        <f t="shared" si="71"/>
        <v>-0.03</v>
      </c>
      <c r="G128" s="582">
        <f t="shared" si="71"/>
        <v>1.4999999999999999E-2</v>
      </c>
      <c r="H128" s="582">
        <f t="shared" si="71"/>
        <v>0.12</v>
      </c>
      <c r="I128" s="589"/>
      <c r="K128" s="1451"/>
      <c r="L128" s="591">
        <v>11</v>
      </c>
      <c r="M128" s="582">
        <f t="shared" ref="M128:R128" si="72">H$58</f>
        <v>300</v>
      </c>
      <c r="N128" s="582">
        <f t="shared" si="72"/>
        <v>-0.03</v>
      </c>
      <c r="O128" s="582">
        <f t="shared" si="72"/>
        <v>0</v>
      </c>
      <c r="P128" s="582">
        <f t="shared" si="72"/>
        <v>-0.03</v>
      </c>
      <c r="Q128" s="582">
        <f t="shared" si="72"/>
        <v>1.4999999999999999E-2</v>
      </c>
      <c r="R128" s="582">
        <f t="shared" si="72"/>
        <v>0.12</v>
      </c>
      <c r="S128" s="583"/>
    </row>
    <row r="129" spans="1:19">
      <c r="A129" s="1450"/>
      <c r="B129" s="584">
        <v>12</v>
      </c>
      <c r="C129" s="582">
        <f>O$52</f>
        <v>10</v>
      </c>
      <c r="D129" s="582">
        <f t="shared" ref="D129:H129" si="73">P$52</f>
        <v>0.03</v>
      </c>
      <c r="E129" s="582">
        <f t="shared" si="73"/>
        <v>0.01</v>
      </c>
      <c r="F129" s="582">
        <f t="shared" si="73"/>
        <v>0.02</v>
      </c>
      <c r="G129" s="582">
        <f t="shared" si="73"/>
        <v>5.0000000000000001E-3</v>
      </c>
      <c r="H129" s="582">
        <f t="shared" si="73"/>
        <v>0.12</v>
      </c>
      <c r="I129" s="589"/>
      <c r="K129" s="1451"/>
      <c r="L129" s="584">
        <v>12</v>
      </c>
      <c r="M129" s="582">
        <f t="shared" ref="M129:R129" si="74">O$58</f>
        <v>300</v>
      </c>
      <c r="N129" s="582">
        <f t="shared" si="74"/>
        <v>0.03</v>
      </c>
      <c r="O129" s="582">
        <f t="shared" si="74"/>
        <v>-0.01</v>
      </c>
      <c r="P129" s="582">
        <f t="shared" si="74"/>
        <v>0.02</v>
      </c>
      <c r="Q129" s="582">
        <f t="shared" si="74"/>
        <v>1.4999999999999999E-2</v>
      </c>
      <c r="R129" s="582">
        <f t="shared" si="74"/>
        <v>0.12</v>
      </c>
      <c r="S129" s="583"/>
    </row>
    <row r="130" spans="1:19">
      <c r="A130" s="1450"/>
      <c r="B130" s="584">
        <v>13</v>
      </c>
      <c r="C130" s="582">
        <f>A$67</f>
        <v>10</v>
      </c>
      <c r="D130" s="582">
        <f t="shared" ref="D130:H130" si="75">B$67</f>
        <v>-0.01</v>
      </c>
      <c r="E130" s="582">
        <f t="shared" si="75"/>
        <v>0</v>
      </c>
      <c r="F130" s="582">
        <f t="shared" si="75"/>
        <v>0.02</v>
      </c>
      <c r="G130" s="582">
        <f t="shared" si="75"/>
        <v>0.01</v>
      </c>
      <c r="H130" s="582">
        <f t="shared" si="75"/>
        <v>0.12</v>
      </c>
      <c r="I130" s="589"/>
      <c r="K130" s="1451"/>
      <c r="L130" s="584">
        <v>13</v>
      </c>
      <c r="M130" s="582">
        <f t="shared" ref="M130:R130" si="76">A$73</f>
        <v>300</v>
      </c>
      <c r="N130" s="582">
        <f t="shared" si="76"/>
        <v>-0.01</v>
      </c>
      <c r="O130" s="582">
        <f t="shared" si="76"/>
        <v>0</v>
      </c>
      <c r="P130" s="582">
        <f t="shared" si="76"/>
        <v>0.01</v>
      </c>
      <c r="Q130" s="582">
        <f t="shared" si="76"/>
        <v>5.0000000000000001E-3</v>
      </c>
      <c r="R130" s="582">
        <f t="shared" si="76"/>
        <v>0.12</v>
      </c>
      <c r="S130" s="583"/>
    </row>
    <row r="131" spans="1:19">
      <c r="A131" s="1450"/>
      <c r="B131" s="584">
        <v>14</v>
      </c>
      <c r="C131" s="582">
        <f>H$67</f>
        <v>10</v>
      </c>
      <c r="D131" s="582">
        <f t="shared" ref="D131:H131" si="77">I$67</f>
        <v>-0.04</v>
      </c>
      <c r="E131" s="582">
        <f t="shared" si="77"/>
        <v>0</v>
      </c>
      <c r="F131" s="582">
        <f t="shared" si="77"/>
        <v>0.02</v>
      </c>
      <c r="G131" s="582">
        <f t="shared" si="77"/>
        <v>0.01</v>
      </c>
      <c r="H131" s="582">
        <f t="shared" si="77"/>
        <v>0.12</v>
      </c>
      <c r="I131" s="589"/>
      <c r="K131" s="1451"/>
      <c r="L131" s="584">
        <v>14</v>
      </c>
      <c r="M131" s="582">
        <f t="shared" ref="M131:R131" si="78">H$73</f>
        <v>300</v>
      </c>
      <c r="N131" s="582">
        <f t="shared" si="78"/>
        <v>-0.04</v>
      </c>
      <c r="O131" s="582">
        <f t="shared" si="78"/>
        <v>0.01</v>
      </c>
      <c r="P131" s="582">
        <f t="shared" si="78"/>
        <v>0.03</v>
      </c>
      <c r="Q131" s="582">
        <f t="shared" si="78"/>
        <v>9.9999999999999985E-3</v>
      </c>
      <c r="R131" s="582">
        <f t="shared" si="78"/>
        <v>0.12</v>
      </c>
      <c r="S131" s="583"/>
    </row>
    <row r="132" spans="1:19">
      <c r="A132" s="1450"/>
      <c r="B132" s="584">
        <v>15</v>
      </c>
      <c r="C132" s="582">
        <f>O$67</f>
        <v>10</v>
      </c>
      <c r="D132" s="582">
        <f t="shared" ref="D132:H132" si="79">P$67</f>
        <v>0.01</v>
      </c>
      <c r="E132" s="582">
        <f t="shared" si="79"/>
        <v>0.03</v>
      </c>
      <c r="F132" s="582" t="str">
        <f t="shared" si="79"/>
        <v>-</v>
      </c>
      <c r="G132" s="582">
        <f t="shared" si="79"/>
        <v>3.9999999999999994E-2</v>
      </c>
      <c r="H132" s="582">
        <f t="shared" si="79"/>
        <v>0.12</v>
      </c>
      <c r="I132" s="589"/>
      <c r="K132" s="1451"/>
      <c r="L132" s="584">
        <v>15</v>
      </c>
      <c r="M132" s="582">
        <f t="shared" ref="M132:R132" si="80">O$73</f>
        <v>300</v>
      </c>
      <c r="N132" s="582">
        <f t="shared" si="80"/>
        <v>0.01</v>
      </c>
      <c r="O132" s="582">
        <f t="shared" si="80"/>
        <v>0.04</v>
      </c>
      <c r="P132" s="582">
        <f t="shared" si="80"/>
        <v>-0.01</v>
      </c>
      <c r="Q132" s="582">
        <f t="shared" si="80"/>
        <v>2.5000000000000001E-2</v>
      </c>
      <c r="R132" s="582">
        <f t="shared" si="80"/>
        <v>0.12</v>
      </c>
      <c r="S132" s="583"/>
    </row>
    <row r="133" spans="1:19" ht="13.8" thickBot="1">
      <c r="A133" s="1450"/>
      <c r="B133" s="584">
        <v>16</v>
      </c>
      <c r="C133" s="598">
        <f>A$82</f>
        <v>10</v>
      </c>
      <c r="D133" s="598">
        <f t="shared" ref="D133:H133" si="81">B$82</f>
        <v>0</v>
      </c>
      <c r="E133" s="598">
        <f t="shared" si="81"/>
        <v>0</v>
      </c>
      <c r="F133" s="598" t="str">
        <f t="shared" si="81"/>
        <v>-</v>
      </c>
      <c r="G133" s="598">
        <f t="shared" si="81"/>
        <v>3.9999999999999994E-2</v>
      </c>
      <c r="H133" s="598">
        <f t="shared" si="81"/>
        <v>0.12</v>
      </c>
      <c r="I133" s="598"/>
      <c r="K133" s="1451"/>
      <c r="L133" s="592">
        <v>16</v>
      </c>
      <c r="M133" s="599">
        <f t="shared" ref="M133:R133" si="82">A$88</f>
        <v>300</v>
      </c>
      <c r="N133" s="599">
        <f t="shared" si="82"/>
        <v>0</v>
      </c>
      <c r="O133" s="599">
        <f t="shared" si="82"/>
        <v>0</v>
      </c>
      <c r="P133" s="599">
        <f t="shared" si="82"/>
        <v>-0.01</v>
      </c>
      <c r="Q133" s="599">
        <f t="shared" si="82"/>
        <v>5.0000000000000001E-3</v>
      </c>
      <c r="R133" s="599">
        <f t="shared" si="82"/>
        <v>0.12</v>
      </c>
      <c r="S133" s="600"/>
    </row>
    <row r="134" spans="1:19" ht="13.8" thickBot="1">
      <c r="A134" s="593"/>
      <c r="B134" s="584">
        <v>17</v>
      </c>
      <c r="C134" s="51">
        <f>H82</f>
        <v>10</v>
      </c>
      <c r="D134" s="51">
        <f t="shared" ref="D134:H134" si="83">I82</f>
        <v>0</v>
      </c>
      <c r="E134" s="51" t="str">
        <f t="shared" si="83"/>
        <v>-</v>
      </c>
      <c r="F134" s="51" t="str">
        <f t="shared" si="83"/>
        <v>-</v>
      </c>
      <c r="G134" s="51">
        <f t="shared" si="83"/>
        <v>3.9999999999999994E-2</v>
      </c>
      <c r="H134" s="51">
        <f t="shared" si="83"/>
        <v>0.12</v>
      </c>
      <c r="I134" s="601"/>
      <c r="K134" s="590"/>
      <c r="L134" s="584">
        <v>17</v>
      </c>
      <c r="M134" s="599">
        <f>H88</f>
        <v>300</v>
      </c>
      <c r="N134" s="599">
        <f t="shared" ref="N134:R134" si="84">I88</f>
        <v>0.01</v>
      </c>
      <c r="O134" s="599">
        <f t="shared" si="84"/>
        <v>-2E-3</v>
      </c>
      <c r="P134" s="599" t="str">
        <f t="shared" si="84"/>
        <v>-</v>
      </c>
      <c r="Q134" s="599">
        <f t="shared" si="84"/>
        <v>3.9999999999999994E-2</v>
      </c>
      <c r="R134" s="599">
        <f t="shared" si="84"/>
        <v>0.12</v>
      </c>
      <c r="S134" s="600"/>
    </row>
    <row r="135" spans="1:19">
      <c r="A135" s="1449" t="s">
        <v>53</v>
      </c>
      <c r="B135" s="579">
        <v>1</v>
      </c>
      <c r="C135" s="580">
        <f>A$7</f>
        <v>20</v>
      </c>
      <c r="D135" s="580" t="str">
        <f>B$7</f>
        <v>-</v>
      </c>
      <c r="E135" s="580" t="str">
        <f t="shared" ref="E135:H135" si="85">C$7</f>
        <v>-</v>
      </c>
      <c r="F135" s="580">
        <f t="shared" si="85"/>
        <v>-1E-3</v>
      </c>
      <c r="G135" s="580">
        <f t="shared" si="85"/>
        <v>3.9999999999999994E-2</v>
      </c>
      <c r="H135" s="580">
        <f t="shared" si="85"/>
        <v>0.12</v>
      </c>
      <c r="I135" s="581"/>
      <c r="K135" s="1472" t="s">
        <v>294</v>
      </c>
      <c r="L135" s="579">
        <v>1</v>
      </c>
      <c r="M135" s="580">
        <f t="shared" ref="M135:R135" si="86">A$13</f>
        <v>600</v>
      </c>
      <c r="N135" s="580">
        <f t="shared" si="86"/>
        <v>0.03</v>
      </c>
      <c r="O135" s="580">
        <f t="shared" si="86"/>
        <v>0.01</v>
      </c>
      <c r="P135" s="580">
        <f t="shared" si="86"/>
        <v>-8.0000000000000002E-3</v>
      </c>
      <c r="Q135" s="580">
        <f t="shared" si="86"/>
        <v>9.0000000000000011E-3</v>
      </c>
      <c r="R135" s="580">
        <f t="shared" si="86"/>
        <v>0.12</v>
      </c>
      <c r="S135" s="596"/>
    </row>
    <row r="136" spans="1:19">
      <c r="A136" s="1450"/>
      <c r="B136" s="584">
        <v>2</v>
      </c>
      <c r="C136" s="585">
        <f>H$7</f>
        <v>20</v>
      </c>
      <c r="D136" s="585" t="str">
        <f t="shared" ref="D136:H136" si="87">I$7</f>
        <v>-</v>
      </c>
      <c r="E136" s="585" t="str">
        <f t="shared" si="87"/>
        <v>-</v>
      </c>
      <c r="F136" s="585">
        <f t="shared" si="87"/>
        <v>1E-3</v>
      </c>
      <c r="G136" s="585">
        <f t="shared" si="87"/>
        <v>4.0333333333333332E-2</v>
      </c>
      <c r="H136" s="585">
        <f t="shared" si="87"/>
        <v>0.121</v>
      </c>
      <c r="I136" s="586"/>
      <c r="K136" s="1473"/>
      <c r="L136" s="584">
        <v>2</v>
      </c>
      <c r="M136" s="585">
        <f t="shared" ref="M136:R136" si="88">H$13</f>
        <v>600</v>
      </c>
      <c r="N136" s="585">
        <f t="shared" si="88"/>
        <v>2E-3</v>
      </c>
      <c r="O136" s="585">
        <f t="shared" si="88"/>
        <v>1E-3</v>
      </c>
      <c r="P136" s="585">
        <f t="shared" si="88"/>
        <v>4.0000000000000001E-3</v>
      </c>
      <c r="Q136" s="585">
        <f t="shared" si="88"/>
        <v>1.5E-3</v>
      </c>
      <c r="R136" s="585">
        <f t="shared" si="88"/>
        <v>0.121</v>
      </c>
      <c r="S136" s="597"/>
    </row>
    <row r="137" spans="1:19">
      <c r="A137" s="1450"/>
      <c r="B137" s="584">
        <v>3</v>
      </c>
      <c r="C137" s="585">
        <f>O$7</f>
        <v>20</v>
      </c>
      <c r="D137" s="585" t="str">
        <f t="shared" ref="D137:H137" si="89">P$7</f>
        <v>-</v>
      </c>
      <c r="E137" s="585" t="str">
        <f>Q$7</f>
        <v>-</v>
      </c>
      <c r="F137" s="585" t="str">
        <f t="shared" si="89"/>
        <v>-</v>
      </c>
      <c r="G137" s="585">
        <f t="shared" si="89"/>
        <v>3.9999999999999994E-2</v>
      </c>
      <c r="H137" s="585">
        <f t="shared" si="89"/>
        <v>0.12</v>
      </c>
      <c r="I137" s="586"/>
      <c r="K137" s="1473"/>
      <c r="L137" s="584">
        <v>3</v>
      </c>
      <c r="M137" s="585">
        <f t="shared" ref="M137:R137" si="90">O$13</f>
        <v>600</v>
      </c>
      <c r="N137" s="585">
        <f t="shared" si="90"/>
        <v>-1E-3</v>
      </c>
      <c r="O137" s="585">
        <f t="shared" si="90"/>
        <v>1E-3</v>
      </c>
      <c r="P137" s="585">
        <f t="shared" si="90"/>
        <v>0</v>
      </c>
      <c r="Q137" s="585">
        <f t="shared" si="90"/>
        <v>5.0000000000000001E-4</v>
      </c>
      <c r="R137" s="585">
        <f t="shared" si="90"/>
        <v>0.12</v>
      </c>
      <c r="S137" s="597"/>
    </row>
    <row r="138" spans="1:19">
      <c r="A138" s="1450"/>
      <c r="B138" s="584">
        <v>4</v>
      </c>
      <c r="C138" s="585">
        <f>A$22</f>
        <v>60</v>
      </c>
      <c r="D138" s="585" t="str">
        <f t="shared" ref="D138:H138" si="91">B$22</f>
        <v>-</v>
      </c>
      <c r="E138" s="585">
        <f t="shared" si="91"/>
        <v>-0.01</v>
      </c>
      <c r="F138" s="585">
        <f t="shared" si="91"/>
        <v>2E-3</v>
      </c>
      <c r="G138" s="585">
        <f t="shared" si="91"/>
        <v>6.0000000000000001E-3</v>
      </c>
      <c r="H138" s="585">
        <f t="shared" si="91"/>
        <v>0.12</v>
      </c>
      <c r="I138" s="586"/>
      <c r="K138" s="1473"/>
      <c r="L138" s="584">
        <v>4</v>
      </c>
      <c r="M138" s="585">
        <f t="shared" ref="M138:R138" si="92">A$28</f>
        <v>600</v>
      </c>
      <c r="N138" s="585" t="str">
        <f t="shared" si="92"/>
        <v>-</v>
      </c>
      <c r="O138" s="585">
        <f t="shared" si="92"/>
        <v>0.03</v>
      </c>
      <c r="P138" s="585">
        <f t="shared" si="92"/>
        <v>6.0000000000000001E-3</v>
      </c>
      <c r="Q138" s="585">
        <f t="shared" si="92"/>
        <v>1.2E-2</v>
      </c>
      <c r="R138" s="585">
        <f t="shared" si="92"/>
        <v>0.12</v>
      </c>
      <c r="S138" s="597"/>
    </row>
    <row r="139" spans="1:19">
      <c r="A139" s="1450"/>
      <c r="B139" s="584">
        <v>5</v>
      </c>
      <c r="C139" s="585">
        <f>H$22</f>
        <v>20</v>
      </c>
      <c r="D139" s="585" t="str">
        <f t="shared" ref="D139:H139" si="93">I$22</f>
        <v>-</v>
      </c>
      <c r="E139" s="585" t="str">
        <f t="shared" si="93"/>
        <v>-</v>
      </c>
      <c r="F139" s="585">
        <f t="shared" si="93"/>
        <v>-0.02</v>
      </c>
      <c r="G139" s="585">
        <f t="shared" si="93"/>
        <v>3.9999999999999994E-2</v>
      </c>
      <c r="H139" s="585">
        <f t="shared" si="93"/>
        <v>0.12</v>
      </c>
      <c r="I139" s="586"/>
      <c r="K139" s="1473"/>
      <c r="L139" s="584">
        <v>5</v>
      </c>
      <c r="M139" s="585">
        <f t="shared" ref="M139:R139" si="94">H$28</f>
        <v>600</v>
      </c>
      <c r="N139" s="585">
        <f t="shared" si="94"/>
        <v>-0.01</v>
      </c>
      <c r="O139" s="585">
        <f t="shared" si="94"/>
        <v>0.01</v>
      </c>
      <c r="P139" s="585">
        <f t="shared" si="94"/>
        <v>-0.03</v>
      </c>
      <c r="Q139" s="585">
        <f t="shared" si="94"/>
        <v>0.02</v>
      </c>
      <c r="R139" s="585">
        <f t="shared" si="94"/>
        <v>0.12</v>
      </c>
      <c r="S139" s="588"/>
    </row>
    <row r="140" spans="1:19">
      <c r="A140" s="1450"/>
      <c r="B140" s="584">
        <v>6</v>
      </c>
      <c r="C140" s="585">
        <f>O$22</f>
        <v>30</v>
      </c>
      <c r="D140" s="585">
        <f>P$22</f>
        <v>0</v>
      </c>
      <c r="E140" s="585">
        <f t="shared" ref="E140:H140" si="95">Q$22</f>
        <v>0</v>
      </c>
      <c r="F140" s="585" t="str">
        <f t="shared" si="95"/>
        <v>-</v>
      </c>
      <c r="G140" s="585">
        <f t="shared" si="95"/>
        <v>3.9999999999999994E-2</v>
      </c>
      <c r="H140" s="585">
        <f t="shared" si="95"/>
        <v>0.12</v>
      </c>
      <c r="I140" s="586"/>
      <c r="K140" s="1473"/>
      <c r="L140" s="584">
        <v>6</v>
      </c>
      <c r="M140" s="585">
        <f t="shared" ref="M140:R140" si="96">O$28</f>
        <v>600</v>
      </c>
      <c r="N140" s="585">
        <f t="shared" si="96"/>
        <v>0</v>
      </c>
      <c r="O140" s="585">
        <f t="shared" si="96"/>
        <v>0</v>
      </c>
      <c r="P140" s="585">
        <f t="shared" si="96"/>
        <v>0.01</v>
      </c>
      <c r="Q140" s="585">
        <f t="shared" si="96"/>
        <v>5.0000000000000001E-3</v>
      </c>
      <c r="R140" s="585">
        <f t="shared" si="96"/>
        <v>0.12</v>
      </c>
      <c r="S140" s="597"/>
    </row>
    <row r="141" spans="1:19">
      <c r="A141" s="1450"/>
      <c r="B141" s="584">
        <v>7</v>
      </c>
      <c r="C141" s="585">
        <f>A$38</f>
        <v>30</v>
      </c>
      <c r="D141" s="585">
        <f t="shared" ref="D141:H141" si="97">B$38</f>
        <v>-0.04</v>
      </c>
      <c r="E141" s="585">
        <f t="shared" si="97"/>
        <v>0.01</v>
      </c>
      <c r="F141" s="585" t="str">
        <f t="shared" si="97"/>
        <v>-</v>
      </c>
      <c r="G141" s="585">
        <f t="shared" si="97"/>
        <v>3.9999999999999994E-2</v>
      </c>
      <c r="H141" s="585">
        <f t="shared" si="97"/>
        <v>0.12</v>
      </c>
      <c r="I141" s="586"/>
      <c r="K141" s="1473"/>
      <c r="L141" s="584">
        <v>7</v>
      </c>
      <c r="M141" s="585">
        <f t="shared" ref="M141:R141" si="98">A$44</f>
        <v>600</v>
      </c>
      <c r="N141" s="585">
        <f t="shared" si="98"/>
        <v>-0.05</v>
      </c>
      <c r="O141" s="585">
        <f t="shared" si="98"/>
        <v>-0.03</v>
      </c>
      <c r="P141" s="585">
        <f t="shared" si="98"/>
        <v>0.04</v>
      </c>
      <c r="Q141" s="585">
        <f t="shared" si="98"/>
        <v>3.5000000000000003E-2</v>
      </c>
      <c r="R141" s="585">
        <f t="shared" si="98"/>
        <v>0.12</v>
      </c>
      <c r="S141" s="597"/>
    </row>
    <row r="142" spans="1:19">
      <c r="A142" s="1450"/>
      <c r="B142" s="584">
        <v>8</v>
      </c>
      <c r="C142" s="585">
        <f>H$38</f>
        <v>30</v>
      </c>
      <c r="D142" s="585">
        <f t="shared" ref="D142:H142" si="99">I$38</f>
        <v>0</v>
      </c>
      <c r="E142" s="585">
        <f t="shared" si="99"/>
        <v>0.01</v>
      </c>
      <c r="F142" s="585" t="str">
        <f t="shared" si="99"/>
        <v>-</v>
      </c>
      <c r="G142" s="585">
        <f t="shared" si="99"/>
        <v>3.9999999999999994E-2</v>
      </c>
      <c r="H142" s="585">
        <f t="shared" si="99"/>
        <v>0.12</v>
      </c>
      <c r="I142" s="586"/>
      <c r="K142" s="1473"/>
      <c r="L142" s="584">
        <v>8</v>
      </c>
      <c r="M142" s="585">
        <f t="shared" ref="M142:R142" si="100">H$44</f>
        <v>600</v>
      </c>
      <c r="N142" s="585">
        <f t="shared" si="100"/>
        <v>-0.02</v>
      </c>
      <c r="O142" s="585">
        <f t="shared" si="100"/>
        <v>0.01</v>
      </c>
      <c r="P142" s="585">
        <f t="shared" si="100"/>
        <v>0.02</v>
      </c>
      <c r="Q142" s="585">
        <f t="shared" si="100"/>
        <v>5.0000000000000001E-3</v>
      </c>
      <c r="R142" s="585">
        <f t="shared" si="100"/>
        <v>0.12</v>
      </c>
      <c r="S142" s="597"/>
    </row>
    <row r="143" spans="1:19">
      <c r="A143" s="1450"/>
      <c r="B143" s="584">
        <v>9</v>
      </c>
      <c r="C143" s="585">
        <f>O$38</f>
        <v>30</v>
      </c>
      <c r="D143" s="585">
        <f t="shared" ref="D143:H143" si="101">P$38</f>
        <v>0.01</v>
      </c>
      <c r="E143" s="585" t="str">
        <f t="shared" si="101"/>
        <v>-</v>
      </c>
      <c r="F143" s="585" t="str">
        <f t="shared" si="101"/>
        <v>-</v>
      </c>
      <c r="G143" s="585">
        <f t="shared" si="101"/>
        <v>3.9999999999999994E-2</v>
      </c>
      <c r="H143" s="585">
        <f t="shared" si="101"/>
        <v>0.12</v>
      </c>
      <c r="I143" s="586"/>
      <c r="K143" s="1473"/>
      <c r="L143" s="584">
        <v>9</v>
      </c>
      <c r="M143" s="585">
        <f t="shared" ref="M143:R143" si="102">O$44</f>
        <v>600</v>
      </c>
      <c r="N143" s="585">
        <f t="shared" si="102"/>
        <v>0.01</v>
      </c>
      <c r="O143" s="585">
        <f t="shared" si="102"/>
        <v>0.01</v>
      </c>
      <c r="P143" s="585">
        <f t="shared" si="102"/>
        <v>-0.02</v>
      </c>
      <c r="Q143" s="585">
        <f t="shared" si="102"/>
        <v>1.4999999999999999E-2</v>
      </c>
      <c r="R143" s="585">
        <f t="shared" si="102"/>
        <v>0.12</v>
      </c>
      <c r="S143" s="597"/>
    </row>
    <row r="144" spans="1:19">
      <c r="A144" s="1450"/>
      <c r="B144" s="584">
        <v>10</v>
      </c>
      <c r="C144" s="585">
        <f>A$53</f>
        <v>30</v>
      </c>
      <c r="D144" s="585">
        <f t="shared" ref="D144:H144" si="103">B$53</f>
        <v>-0.03</v>
      </c>
      <c r="E144" s="585">
        <f t="shared" si="103"/>
        <v>0.01</v>
      </c>
      <c r="F144" s="585">
        <f t="shared" si="103"/>
        <v>-0.06</v>
      </c>
      <c r="G144" s="585">
        <f t="shared" si="103"/>
        <v>3.4999999999999996E-2</v>
      </c>
      <c r="H144" s="585">
        <f t="shared" si="103"/>
        <v>0.12</v>
      </c>
      <c r="I144" s="586"/>
      <c r="K144" s="1473"/>
      <c r="L144" s="584">
        <v>10</v>
      </c>
      <c r="M144" s="585">
        <f t="shared" ref="M144:R144" si="104">A$59</f>
        <v>600</v>
      </c>
      <c r="N144" s="585">
        <f t="shared" si="104"/>
        <v>-0.03</v>
      </c>
      <c r="O144" s="585">
        <f t="shared" si="104"/>
        <v>0.01</v>
      </c>
      <c r="P144" s="585">
        <f t="shared" si="104"/>
        <v>-0.06</v>
      </c>
      <c r="Q144" s="585">
        <f t="shared" si="104"/>
        <v>3.4999999999999996E-2</v>
      </c>
      <c r="R144" s="585">
        <f t="shared" si="104"/>
        <v>0.12</v>
      </c>
      <c r="S144" s="587"/>
    </row>
    <row r="145" spans="1:19">
      <c r="A145" s="1450"/>
      <c r="B145" s="591">
        <v>11</v>
      </c>
      <c r="C145" s="582">
        <f>H$53</f>
        <v>30</v>
      </c>
      <c r="D145" s="582">
        <f t="shared" ref="D145:H145" si="105">I$53</f>
        <v>-0.03</v>
      </c>
      <c r="E145" s="582">
        <f t="shared" si="105"/>
        <v>0</v>
      </c>
      <c r="F145" s="582">
        <f t="shared" si="105"/>
        <v>-0.04</v>
      </c>
      <c r="G145" s="582">
        <f t="shared" si="105"/>
        <v>0.02</v>
      </c>
      <c r="H145" s="582">
        <f t="shared" si="105"/>
        <v>0.12</v>
      </c>
      <c r="I145" s="589"/>
      <c r="K145" s="1473"/>
      <c r="L145" s="591">
        <v>11</v>
      </c>
      <c r="M145" s="585">
        <f t="shared" ref="M145:R145" si="106">H$59</f>
        <v>600</v>
      </c>
      <c r="N145" s="585">
        <f t="shared" si="106"/>
        <v>-0.04</v>
      </c>
      <c r="O145" s="585">
        <f t="shared" si="106"/>
        <v>0.01</v>
      </c>
      <c r="P145" s="585">
        <f t="shared" si="106"/>
        <v>-0.04</v>
      </c>
      <c r="Q145" s="585">
        <f t="shared" si="106"/>
        <v>2.5000000000000001E-2</v>
      </c>
      <c r="R145" s="585">
        <f t="shared" si="106"/>
        <v>0.12</v>
      </c>
      <c r="S145" s="587"/>
    </row>
    <row r="146" spans="1:19">
      <c r="A146" s="1450"/>
      <c r="B146" s="584">
        <v>12</v>
      </c>
      <c r="C146" s="582">
        <f>O$53</f>
        <v>20</v>
      </c>
      <c r="D146" s="582" t="str">
        <f t="shared" ref="D146:H146" si="107">P$53</f>
        <v>-</v>
      </c>
      <c r="E146" s="582" t="str">
        <f t="shared" si="107"/>
        <v>-</v>
      </c>
      <c r="F146" s="582">
        <f t="shared" si="107"/>
        <v>0.01</v>
      </c>
      <c r="G146" s="582">
        <f t="shared" si="107"/>
        <v>3.9999999999999994E-2</v>
      </c>
      <c r="H146" s="582">
        <f t="shared" si="107"/>
        <v>0.12</v>
      </c>
      <c r="I146" s="589"/>
      <c r="K146" s="1473"/>
      <c r="L146" s="584">
        <v>12</v>
      </c>
      <c r="M146" s="585">
        <f t="shared" ref="M146:R146" si="108">O$59</f>
        <v>600</v>
      </c>
      <c r="N146" s="585">
        <f t="shared" si="108"/>
        <v>0.03</v>
      </c>
      <c r="O146" s="585">
        <f t="shared" si="108"/>
        <v>-0.01</v>
      </c>
      <c r="P146" s="585">
        <f t="shared" si="108"/>
        <v>0.01</v>
      </c>
      <c r="Q146" s="585">
        <f t="shared" si="108"/>
        <v>0.01</v>
      </c>
      <c r="R146" s="585">
        <f t="shared" si="108"/>
        <v>0.12</v>
      </c>
      <c r="S146" s="587"/>
    </row>
    <row r="147" spans="1:19">
      <c r="A147" s="1450"/>
      <c r="B147" s="584">
        <v>13</v>
      </c>
      <c r="C147" s="582">
        <f>A$68</f>
        <v>20</v>
      </c>
      <c r="D147" s="582" t="str">
        <f t="shared" ref="D147:H147" si="109">B$68</f>
        <v>-</v>
      </c>
      <c r="E147" s="582" t="str">
        <f t="shared" si="109"/>
        <v>-</v>
      </c>
      <c r="F147" s="582">
        <f t="shared" si="109"/>
        <v>0.03</v>
      </c>
      <c r="G147" s="582">
        <f t="shared" si="109"/>
        <v>3.9999999999999994E-2</v>
      </c>
      <c r="H147" s="582">
        <f t="shared" si="109"/>
        <v>0.12</v>
      </c>
      <c r="I147" s="589"/>
      <c r="K147" s="1473"/>
      <c r="L147" s="584">
        <v>13</v>
      </c>
      <c r="M147" s="585">
        <f t="shared" ref="M147:R147" si="110">A$74</f>
        <v>600</v>
      </c>
      <c r="N147" s="585">
        <f t="shared" si="110"/>
        <v>-0.02</v>
      </c>
      <c r="O147" s="585">
        <f t="shared" si="110"/>
        <v>-0.01</v>
      </c>
      <c r="P147" s="585">
        <f t="shared" si="110"/>
        <v>0.01</v>
      </c>
      <c r="Q147" s="585">
        <f t="shared" si="110"/>
        <v>0.01</v>
      </c>
      <c r="R147" s="585">
        <f t="shared" si="110"/>
        <v>0.12</v>
      </c>
      <c r="S147" s="587"/>
    </row>
    <row r="148" spans="1:19">
      <c r="A148" s="1450"/>
      <c r="B148" s="584">
        <v>14</v>
      </c>
      <c r="C148" s="582">
        <f>H$68</f>
        <v>20</v>
      </c>
      <c r="D148" s="582" t="str">
        <f t="shared" ref="D148:H148" si="111">I$68</f>
        <v>-</v>
      </c>
      <c r="E148" s="582" t="str">
        <f t="shared" si="111"/>
        <v>-</v>
      </c>
      <c r="F148" s="582">
        <f t="shared" si="111"/>
        <v>0.02</v>
      </c>
      <c r="G148" s="582">
        <f t="shared" si="111"/>
        <v>3.9999999999999994E-2</v>
      </c>
      <c r="H148" s="582">
        <f t="shared" si="111"/>
        <v>0.12</v>
      </c>
      <c r="I148" s="589"/>
      <c r="K148" s="1473"/>
      <c r="L148" s="584">
        <v>14</v>
      </c>
      <c r="M148" s="585">
        <f t="shared" ref="M148:R148" si="112">H$74</f>
        <v>600</v>
      </c>
      <c r="N148" s="585">
        <f t="shared" si="112"/>
        <v>-0.04</v>
      </c>
      <c r="O148" s="585">
        <f t="shared" si="112"/>
        <v>0.01</v>
      </c>
      <c r="P148" s="585">
        <f t="shared" si="112"/>
        <v>0.04</v>
      </c>
      <c r="Q148" s="585">
        <f t="shared" si="112"/>
        <v>1.4999999999999999E-2</v>
      </c>
      <c r="R148" s="585">
        <f t="shared" si="112"/>
        <v>0.12</v>
      </c>
      <c r="S148" s="587"/>
    </row>
    <row r="149" spans="1:19">
      <c r="A149" s="1450"/>
      <c r="B149" s="584">
        <v>15</v>
      </c>
      <c r="C149" s="582">
        <f>O$68</f>
        <v>30</v>
      </c>
      <c r="D149" s="582">
        <f t="shared" ref="D149:H149" si="113">P$68</f>
        <v>0.01</v>
      </c>
      <c r="E149" s="582">
        <f t="shared" si="113"/>
        <v>0.03</v>
      </c>
      <c r="F149" s="582" t="str">
        <f t="shared" si="113"/>
        <v>-</v>
      </c>
      <c r="G149" s="582">
        <f t="shared" si="113"/>
        <v>3.9999999999999994E-2</v>
      </c>
      <c r="H149" s="582">
        <f t="shared" si="113"/>
        <v>0.12</v>
      </c>
      <c r="I149" s="589"/>
      <c r="K149" s="1473"/>
      <c r="L149" s="584">
        <v>15</v>
      </c>
      <c r="M149" s="585">
        <f t="shared" ref="M149:R149" si="114">O$74</f>
        <v>600</v>
      </c>
      <c r="N149" s="585">
        <f t="shared" si="114"/>
        <v>0.02</v>
      </c>
      <c r="O149" s="585">
        <f t="shared" si="114"/>
        <v>0.04</v>
      </c>
      <c r="P149" s="585">
        <f t="shared" si="114"/>
        <v>-0.02</v>
      </c>
      <c r="Q149" s="585">
        <f t="shared" si="114"/>
        <v>0.03</v>
      </c>
      <c r="R149" s="585">
        <f t="shared" si="114"/>
        <v>0.12</v>
      </c>
      <c r="S149" s="587"/>
    </row>
    <row r="150" spans="1:19" ht="13.8" thickBot="1">
      <c r="A150" s="1450"/>
      <c r="B150" s="602">
        <v>16</v>
      </c>
      <c r="C150" s="603">
        <f>A$83</f>
        <v>30</v>
      </c>
      <c r="D150" s="603">
        <f t="shared" ref="D150:H150" si="115">B$83</f>
        <v>0</v>
      </c>
      <c r="E150" s="603">
        <f t="shared" si="115"/>
        <v>0.01</v>
      </c>
      <c r="F150" s="603" t="str">
        <f t="shared" si="115"/>
        <v>-</v>
      </c>
      <c r="G150" s="603">
        <f t="shared" si="115"/>
        <v>3.9999999999999994E-2</v>
      </c>
      <c r="H150" s="603">
        <f t="shared" si="115"/>
        <v>0.12</v>
      </c>
      <c r="I150" s="604"/>
      <c r="K150" s="1474"/>
      <c r="L150" s="592">
        <v>16</v>
      </c>
      <c r="M150" s="605">
        <f t="shared" ref="M150:R150" si="116">A$89</f>
        <v>600</v>
      </c>
      <c r="N150" s="605">
        <f t="shared" si="116"/>
        <v>0</v>
      </c>
      <c r="O150" s="605">
        <f t="shared" si="116"/>
        <v>0</v>
      </c>
      <c r="P150" s="605">
        <f t="shared" si="116"/>
        <v>-0.01</v>
      </c>
      <c r="Q150" s="605">
        <f t="shared" si="116"/>
        <v>5.0000000000000001E-3</v>
      </c>
      <c r="R150" s="605">
        <f t="shared" si="116"/>
        <v>0.12</v>
      </c>
      <c r="S150" s="606"/>
    </row>
    <row r="151" spans="1:19" ht="13.8" thickBot="1">
      <c r="A151" s="607"/>
      <c r="B151" s="584">
        <v>17</v>
      </c>
      <c r="C151" s="51">
        <f>H83</f>
        <v>20</v>
      </c>
      <c r="D151" s="51">
        <f t="shared" ref="D151:H151" si="117">I83</f>
        <v>0</v>
      </c>
      <c r="E151" s="51" t="str">
        <f t="shared" si="117"/>
        <v>-</v>
      </c>
      <c r="F151" s="51" t="str">
        <f t="shared" si="117"/>
        <v>-</v>
      </c>
      <c r="G151" s="51">
        <f t="shared" si="117"/>
        <v>3.9999999999999994E-2</v>
      </c>
      <c r="H151" s="51">
        <f t="shared" si="117"/>
        <v>0.12</v>
      </c>
      <c r="I151" s="601"/>
      <c r="K151" s="590"/>
      <c r="L151" s="584">
        <v>17</v>
      </c>
      <c r="M151" s="599">
        <f>H89</f>
        <v>600</v>
      </c>
      <c r="N151" s="599">
        <f t="shared" ref="N151:R151" si="118">I89</f>
        <v>0.02</v>
      </c>
      <c r="O151" s="599">
        <f t="shared" si="118"/>
        <v>-3.0000000000000001E-3</v>
      </c>
      <c r="P151" s="599" t="str">
        <f t="shared" si="118"/>
        <v>-</v>
      </c>
      <c r="Q151" s="599">
        <f t="shared" si="118"/>
        <v>3.9999999999999994E-2</v>
      </c>
      <c r="R151" s="599">
        <f t="shared" si="118"/>
        <v>0.12</v>
      </c>
      <c r="S151" s="600"/>
    </row>
    <row r="152" spans="1:19">
      <c r="A152" s="1471" t="s">
        <v>54</v>
      </c>
      <c r="B152" s="579">
        <v>1</v>
      </c>
      <c r="C152" s="580">
        <f>A$8</f>
        <v>30</v>
      </c>
      <c r="D152" s="580">
        <f t="shared" ref="D152:H152" si="119">B$8</f>
        <v>0.03</v>
      </c>
      <c r="E152" s="580">
        <f t="shared" si="119"/>
        <v>0</v>
      </c>
      <c r="F152" s="580">
        <f t="shared" si="119"/>
        <v>-1E-3</v>
      </c>
      <c r="G152" s="580">
        <f t="shared" si="119"/>
        <v>5.0000000000000001E-4</v>
      </c>
      <c r="H152" s="580">
        <f t="shared" si="119"/>
        <v>0.12</v>
      </c>
      <c r="I152" s="581"/>
      <c r="K152" s="1475" t="s">
        <v>295</v>
      </c>
      <c r="L152" s="579">
        <v>1</v>
      </c>
      <c r="M152" s="608">
        <f t="shared" ref="M152:R152" si="120">A$14</f>
        <v>900</v>
      </c>
      <c r="N152" s="608">
        <f t="shared" si="120"/>
        <v>0.02</v>
      </c>
      <c r="O152" s="608">
        <f t="shared" si="120"/>
        <v>0.01</v>
      </c>
      <c r="P152" s="608">
        <f t="shared" si="120"/>
        <v>-8.0000000000000002E-3</v>
      </c>
      <c r="Q152" s="608">
        <f t="shared" si="120"/>
        <v>9.0000000000000011E-3</v>
      </c>
      <c r="R152" s="608">
        <f t="shared" si="120"/>
        <v>0.12</v>
      </c>
      <c r="S152" s="609"/>
    </row>
    <row r="153" spans="1:19">
      <c r="A153" s="1451"/>
      <c r="B153" s="584">
        <v>2</v>
      </c>
      <c r="C153" s="585">
        <f>H$8</f>
        <v>30</v>
      </c>
      <c r="D153" s="585">
        <f t="shared" ref="D153:H153" si="121">I$8</f>
        <v>2E-3</v>
      </c>
      <c r="E153" s="585">
        <f t="shared" si="121"/>
        <v>0</v>
      </c>
      <c r="F153" s="585">
        <f t="shared" si="121"/>
        <v>1E-3</v>
      </c>
      <c r="G153" s="585">
        <f t="shared" si="121"/>
        <v>5.0000000000000001E-4</v>
      </c>
      <c r="H153" s="585">
        <f t="shared" si="121"/>
        <v>0.121</v>
      </c>
      <c r="I153" s="586"/>
      <c r="K153" s="1476"/>
      <c r="L153" s="584">
        <v>2</v>
      </c>
      <c r="M153" s="598">
        <f t="shared" ref="M153:R153" si="122">H$14</f>
        <v>900</v>
      </c>
      <c r="N153" s="598">
        <f t="shared" si="122"/>
        <v>1E-3</v>
      </c>
      <c r="O153" s="598">
        <f t="shared" si="122"/>
        <v>0</v>
      </c>
      <c r="P153" s="598">
        <f t="shared" si="122"/>
        <v>2E-3</v>
      </c>
      <c r="Q153" s="598">
        <f t="shared" si="122"/>
        <v>1E-3</v>
      </c>
      <c r="R153" s="598">
        <f t="shared" si="122"/>
        <v>0.121</v>
      </c>
      <c r="S153" s="610"/>
    </row>
    <row r="154" spans="1:19">
      <c r="A154" s="1451"/>
      <c r="B154" s="584">
        <v>3</v>
      </c>
      <c r="C154" s="585">
        <f>O$8</f>
        <v>30</v>
      </c>
      <c r="D154" s="585">
        <f t="shared" ref="D154:H154" si="123">P$8</f>
        <v>-3.0000000000000001E-3</v>
      </c>
      <c r="E154" s="585">
        <f t="shared" si="123"/>
        <v>1E-3</v>
      </c>
      <c r="F154" s="585">
        <f t="shared" si="123"/>
        <v>-5.0000000000000001E-3</v>
      </c>
      <c r="G154" s="585">
        <f t="shared" si="123"/>
        <v>3.0000000000000001E-3</v>
      </c>
      <c r="H154" s="585">
        <f t="shared" si="123"/>
        <v>0.12</v>
      </c>
      <c r="I154" s="586"/>
      <c r="K154" s="1476"/>
      <c r="L154" s="584">
        <v>3</v>
      </c>
      <c r="M154" s="598">
        <f t="shared" ref="M154:R154" si="124">O$14</f>
        <v>900</v>
      </c>
      <c r="N154" s="598">
        <f t="shared" si="124"/>
        <v>0</v>
      </c>
      <c r="O154" s="598">
        <f t="shared" si="124"/>
        <v>2E-3</v>
      </c>
      <c r="P154" s="598">
        <f t="shared" si="124"/>
        <v>3.0000000000000001E-3</v>
      </c>
      <c r="Q154" s="598">
        <f t="shared" si="124"/>
        <v>5.0000000000000001E-4</v>
      </c>
      <c r="R154" s="598">
        <f t="shared" si="124"/>
        <v>0.12</v>
      </c>
      <c r="S154" s="610"/>
    </row>
    <row r="155" spans="1:19">
      <c r="A155" s="1451"/>
      <c r="B155" s="584">
        <v>4</v>
      </c>
      <c r="C155" s="585">
        <f>A$23</f>
        <v>60</v>
      </c>
      <c r="D155" s="585" t="str">
        <f t="shared" ref="D155:H155" si="125">B$23</f>
        <v>-</v>
      </c>
      <c r="E155" s="585">
        <f t="shared" si="125"/>
        <v>-0.01</v>
      </c>
      <c r="F155" s="585">
        <f t="shared" si="125"/>
        <v>2E-3</v>
      </c>
      <c r="G155" s="585">
        <f t="shared" si="125"/>
        <v>6.0000000000000001E-3</v>
      </c>
      <c r="H155" s="585">
        <f t="shared" si="125"/>
        <v>0.12</v>
      </c>
      <c r="I155" s="586"/>
      <c r="K155" s="1476"/>
      <c r="L155" s="584">
        <v>4</v>
      </c>
      <c r="M155" s="598">
        <f t="shared" ref="M155:R155" si="126">A$29</f>
        <v>900</v>
      </c>
      <c r="N155" s="598" t="str">
        <f t="shared" si="126"/>
        <v>-</v>
      </c>
      <c r="O155" s="598">
        <f t="shared" si="126"/>
        <v>0.03</v>
      </c>
      <c r="P155" s="598">
        <f t="shared" si="126"/>
        <v>6.0000000000000001E-3</v>
      </c>
      <c r="Q155" s="598">
        <f t="shared" si="126"/>
        <v>1.2E-2</v>
      </c>
      <c r="R155" s="598">
        <f t="shared" si="126"/>
        <v>0.12</v>
      </c>
      <c r="S155" s="610"/>
    </row>
    <row r="156" spans="1:19">
      <c r="A156" s="1451"/>
      <c r="B156" s="584">
        <v>5</v>
      </c>
      <c r="C156" s="585">
        <f>H$23</f>
        <v>30</v>
      </c>
      <c r="D156" s="585">
        <f t="shared" ref="D156:H156" si="127">I$23</f>
        <v>-0.01</v>
      </c>
      <c r="E156" s="585">
        <f t="shared" si="127"/>
        <v>0.01</v>
      </c>
      <c r="F156" s="585">
        <f t="shared" si="127"/>
        <v>-0.02</v>
      </c>
      <c r="G156" s="585">
        <f t="shared" si="127"/>
        <v>1.4999999999999999E-2</v>
      </c>
      <c r="H156" s="585">
        <f t="shared" si="127"/>
        <v>0.12</v>
      </c>
      <c r="I156" s="586"/>
      <c r="K156" s="1476"/>
      <c r="L156" s="584">
        <v>5</v>
      </c>
      <c r="M156" s="598">
        <f t="shared" ref="M156:R156" si="128">H$29</f>
        <v>900</v>
      </c>
      <c r="N156" s="598">
        <f t="shared" si="128"/>
        <v>0</v>
      </c>
      <c r="O156" s="598">
        <f t="shared" si="128"/>
        <v>-0.02</v>
      </c>
      <c r="P156" s="598" t="str">
        <f t="shared" si="128"/>
        <v>-</v>
      </c>
      <c r="Q156" s="598">
        <f t="shared" si="128"/>
        <v>3.9999999999999994E-2</v>
      </c>
      <c r="R156" s="598">
        <f t="shared" si="128"/>
        <v>0.12</v>
      </c>
      <c r="S156" s="610"/>
    </row>
    <row r="157" spans="1:19">
      <c r="A157" s="1451"/>
      <c r="B157" s="584">
        <v>6</v>
      </c>
      <c r="C157" s="585">
        <f>O$23</f>
        <v>60</v>
      </c>
      <c r="D157" s="585">
        <f t="shared" ref="D157:H157" si="129">P$23</f>
        <v>-0.01</v>
      </c>
      <c r="E157" s="585">
        <f t="shared" si="129"/>
        <v>0</v>
      </c>
      <c r="F157" s="585">
        <f t="shared" si="129"/>
        <v>0.01</v>
      </c>
      <c r="G157" s="585">
        <f t="shared" si="129"/>
        <v>5.0000000000000001E-3</v>
      </c>
      <c r="H157" s="585">
        <f t="shared" si="129"/>
        <v>0.12</v>
      </c>
      <c r="I157" s="586"/>
      <c r="K157" s="1476"/>
      <c r="L157" s="584">
        <v>6</v>
      </c>
      <c r="M157" s="598">
        <f t="shared" ref="M157:R157" si="130">O$29</f>
        <v>900</v>
      </c>
      <c r="N157" s="598">
        <f t="shared" si="130"/>
        <v>0</v>
      </c>
      <c r="O157" s="598">
        <f t="shared" si="130"/>
        <v>0</v>
      </c>
      <c r="P157" s="598">
        <f t="shared" si="130"/>
        <v>0.02</v>
      </c>
      <c r="Q157" s="598">
        <f t="shared" si="130"/>
        <v>0.01</v>
      </c>
      <c r="R157" s="598">
        <f t="shared" si="130"/>
        <v>0.12</v>
      </c>
      <c r="S157" s="610"/>
    </row>
    <row r="158" spans="1:19">
      <c r="A158" s="1451"/>
      <c r="B158" s="584">
        <v>7</v>
      </c>
      <c r="C158" s="585">
        <f>A$39</f>
        <v>60</v>
      </c>
      <c r="D158" s="585">
        <f t="shared" ref="D158:H158" si="131">B$39</f>
        <v>-0.05</v>
      </c>
      <c r="E158" s="585">
        <f t="shared" si="131"/>
        <v>-0.02</v>
      </c>
      <c r="F158" s="585">
        <f t="shared" si="131"/>
        <v>0.03</v>
      </c>
      <c r="G158" s="585">
        <f t="shared" si="131"/>
        <v>2.5000000000000001E-2</v>
      </c>
      <c r="H158" s="585">
        <f t="shared" si="131"/>
        <v>0.12</v>
      </c>
      <c r="I158" s="586"/>
      <c r="K158" s="1476"/>
      <c r="L158" s="584">
        <v>7</v>
      </c>
      <c r="M158" s="598">
        <f t="shared" ref="M158:R158" si="132">A$45</f>
        <v>900</v>
      </c>
      <c r="N158" s="598">
        <f t="shared" si="132"/>
        <v>-0.05</v>
      </c>
      <c r="O158" s="598">
        <f t="shared" si="132"/>
        <v>-0.02</v>
      </c>
      <c r="P158" s="598">
        <f t="shared" si="132"/>
        <v>0.02</v>
      </c>
      <c r="Q158" s="598">
        <f t="shared" si="132"/>
        <v>0.02</v>
      </c>
      <c r="R158" s="598">
        <f t="shared" si="132"/>
        <v>0.12</v>
      </c>
      <c r="S158" s="610"/>
    </row>
    <row r="159" spans="1:19">
      <c r="A159" s="1451"/>
      <c r="B159" s="584">
        <v>8</v>
      </c>
      <c r="C159" s="585">
        <f>H$39</f>
        <v>60</v>
      </c>
      <c r="D159" s="585">
        <f t="shared" ref="D159:H159" si="133">I$39</f>
        <v>-0.02</v>
      </c>
      <c r="E159" s="585">
        <f t="shared" si="133"/>
        <v>0</v>
      </c>
      <c r="F159" s="585">
        <f t="shared" si="133"/>
        <v>0.01</v>
      </c>
      <c r="G159" s="585">
        <f t="shared" si="133"/>
        <v>5.0000000000000001E-3</v>
      </c>
      <c r="H159" s="585">
        <f t="shared" si="133"/>
        <v>0.12</v>
      </c>
      <c r="I159" s="586"/>
      <c r="K159" s="1476"/>
      <c r="L159" s="584">
        <v>8</v>
      </c>
      <c r="M159" s="598">
        <f t="shared" ref="M159:R159" si="134">H$45</f>
        <v>900</v>
      </c>
      <c r="N159" s="598">
        <f t="shared" si="134"/>
        <v>-0.02</v>
      </c>
      <c r="O159" s="598">
        <f t="shared" si="134"/>
        <v>-0.01</v>
      </c>
      <c r="P159" s="598">
        <f t="shared" si="134"/>
        <v>0.02</v>
      </c>
      <c r="Q159" s="598">
        <f t="shared" si="134"/>
        <v>1.4999999999999999E-2</v>
      </c>
      <c r="R159" s="598">
        <f t="shared" si="134"/>
        <v>0.12</v>
      </c>
      <c r="S159" s="610"/>
    </row>
    <row r="160" spans="1:19">
      <c r="A160" s="1451"/>
      <c r="B160" s="584">
        <v>9</v>
      </c>
      <c r="C160" s="585">
        <f>O$39</f>
        <v>60</v>
      </c>
      <c r="D160" s="585">
        <f t="shared" ref="D160:H160" si="135">P$39</f>
        <v>0.01</v>
      </c>
      <c r="E160" s="585">
        <f t="shared" si="135"/>
        <v>0.02</v>
      </c>
      <c r="F160" s="585">
        <f t="shared" si="135"/>
        <v>-0.01</v>
      </c>
      <c r="G160" s="585">
        <f t="shared" si="135"/>
        <v>1.4999999999999999E-2</v>
      </c>
      <c r="H160" s="585">
        <f t="shared" si="135"/>
        <v>0.12</v>
      </c>
      <c r="I160" s="586"/>
      <c r="K160" s="1476"/>
      <c r="L160" s="584">
        <v>9</v>
      </c>
      <c r="M160" s="598">
        <f t="shared" ref="M160:R160" si="136">O$45</f>
        <v>900</v>
      </c>
      <c r="N160" s="598">
        <f t="shared" si="136"/>
        <v>0.01</v>
      </c>
      <c r="O160" s="598">
        <f t="shared" si="136"/>
        <v>0.02</v>
      </c>
      <c r="P160" s="598">
        <f t="shared" si="136"/>
        <v>-0.02</v>
      </c>
      <c r="Q160" s="598">
        <f t="shared" si="136"/>
        <v>0.02</v>
      </c>
      <c r="R160" s="598">
        <f t="shared" si="136"/>
        <v>0.12</v>
      </c>
      <c r="S160" s="610"/>
    </row>
    <row r="161" spans="1:19">
      <c r="A161" s="1451"/>
      <c r="B161" s="584">
        <v>10</v>
      </c>
      <c r="C161" s="585">
        <f>A$54</f>
        <v>60</v>
      </c>
      <c r="D161" s="585">
        <f t="shared" ref="D161:H161" si="137">B$54</f>
        <v>-0.03</v>
      </c>
      <c r="E161" s="585">
        <f t="shared" si="137"/>
        <v>0</v>
      </c>
      <c r="F161" s="585">
        <f t="shared" si="137"/>
        <v>-0.06</v>
      </c>
      <c r="G161" s="585">
        <f t="shared" si="137"/>
        <v>0.03</v>
      </c>
      <c r="H161" s="585">
        <f t="shared" si="137"/>
        <v>0.12</v>
      </c>
      <c r="I161" s="586"/>
      <c r="K161" s="1476"/>
      <c r="L161" s="584">
        <v>10</v>
      </c>
      <c r="M161" s="598">
        <f t="shared" ref="M161:R161" si="138">A$60</f>
        <v>900</v>
      </c>
      <c r="N161" s="598">
        <f t="shared" si="138"/>
        <v>-0.02</v>
      </c>
      <c r="O161" s="598">
        <f t="shared" si="138"/>
        <v>0.01</v>
      </c>
      <c r="P161" s="598">
        <f t="shared" si="138"/>
        <v>-0.06</v>
      </c>
      <c r="Q161" s="598">
        <f t="shared" si="138"/>
        <v>3.4999999999999996E-2</v>
      </c>
      <c r="R161" s="598">
        <f t="shared" si="138"/>
        <v>0.12</v>
      </c>
      <c r="S161" s="610"/>
    </row>
    <row r="162" spans="1:19">
      <c r="A162" s="1451"/>
      <c r="B162" s="591">
        <v>11</v>
      </c>
      <c r="C162" s="582">
        <f>H$54</f>
        <v>60</v>
      </c>
      <c r="D162" s="582">
        <f t="shared" ref="D162:H162" si="139">I$54</f>
        <v>-0.04</v>
      </c>
      <c r="E162" s="582">
        <f t="shared" si="139"/>
        <v>0</v>
      </c>
      <c r="F162" s="582">
        <f t="shared" si="139"/>
        <v>-0.03</v>
      </c>
      <c r="G162" s="582">
        <f t="shared" si="139"/>
        <v>1.4999999999999999E-2</v>
      </c>
      <c r="H162" s="582">
        <f t="shared" si="139"/>
        <v>0.12</v>
      </c>
      <c r="I162" s="589"/>
      <c r="K162" s="1476"/>
      <c r="L162" s="591">
        <v>11</v>
      </c>
      <c r="M162" s="598">
        <f t="shared" ref="M162:R162" si="140">H$60</f>
        <v>900</v>
      </c>
      <c r="N162" s="598">
        <f t="shared" si="140"/>
        <v>-0.04</v>
      </c>
      <c r="O162" s="598">
        <f t="shared" si="140"/>
        <v>0.01</v>
      </c>
      <c r="P162" s="598">
        <f t="shared" si="140"/>
        <v>-0.03</v>
      </c>
      <c r="Q162" s="598">
        <f t="shared" si="140"/>
        <v>0.02</v>
      </c>
      <c r="R162" s="598">
        <f t="shared" si="140"/>
        <v>0.12</v>
      </c>
      <c r="S162" s="610"/>
    </row>
    <row r="163" spans="1:19">
      <c r="A163" s="1451"/>
      <c r="B163" s="584">
        <v>12</v>
      </c>
      <c r="C163" s="582">
        <f>O$54</f>
        <v>30</v>
      </c>
      <c r="D163" s="582">
        <f t="shared" ref="D163:H163" si="141">P$54</f>
        <v>0.02</v>
      </c>
      <c r="E163" s="582">
        <f t="shared" si="141"/>
        <v>0</v>
      </c>
      <c r="F163" s="582">
        <f t="shared" si="141"/>
        <v>0.01</v>
      </c>
      <c r="G163" s="582">
        <f t="shared" si="141"/>
        <v>5.0000000000000001E-3</v>
      </c>
      <c r="H163" s="582">
        <f t="shared" si="141"/>
        <v>0.12</v>
      </c>
      <c r="I163" s="589"/>
      <c r="K163" s="1476"/>
      <c r="L163" s="584">
        <v>12</v>
      </c>
      <c r="M163" s="598">
        <f t="shared" ref="M163:R163" si="142">O$60</f>
        <v>900</v>
      </c>
      <c r="N163" s="598">
        <f t="shared" si="142"/>
        <v>0.02</v>
      </c>
      <c r="O163" s="598">
        <f t="shared" si="142"/>
        <v>0</v>
      </c>
      <c r="P163" s="598" t="str">
        <f t="shared" si="142"/>
        <v>-</v>
      </c>
      <c r="Q163" s="598">
        <f t="shared" si="142"/>
        <v>3.9999999999999994E-2</v>
      </c>
      <c r="R163" s="598">
        <f t="shared" si="142"/>
        <v>0.12</v>
      </c>
      <c r="S163" s="610"/>
    </row>
    <row r="164" spans="1:19">
      <c r="A164" s="1451"/>
      <c r="B164" s="584">
        <v>13</v>
      </c>
      <c r="C164" s="582">
        <f>A$69</f>
        <v>30</v>
      </c>
      <c r="D164" s="582">
        <f t="shared" ref="D164:H164" si="143">B$69</f>
        <v>-0.02</v>
      </c>
      <c r="E164" s="582">
        <f t="shared" si="143"/>
        <v>0.01</v>
      </c>
      <c r="F164" s="582">
        <f t="shared" si="143"/>
        <v>0.02</v>
      </c>
      <c r="G164" s="582">
        <f t="shared" si="143"/>
        <v>5.0000000000000001E-3</v>
      </c>
      <c r="H164" s="582">
        <f t="shared" si="143"/>
        <v>0.12</v>
      </c>
      <c r="I164" s="589"/>
      <c r="K164" s="1476"/>
      <c r="L164" s="584">
        <v>13</v>
      </c>
      <c r="M164" s="598">
        <f t="shared" ref="M164:R164" si="144">A$75</f>
        <v>900</v>
      </c>
      <c r="N164" s="598">
        <f t="shared" si="144"/>
        <v>-0.03</v>
      </c>
      <c r="O164" s="598">
        <f t="shared" si="144"/>
        <v>-0.05</v>
      </c>
      <c r="P164" s="598" t="str">
        <f t="shared" si="144"/>
        <v>-</v>
      </c>
      <c r="Q164" s="598">
        <f t="shared" si="144"/>
        <v>3.9999999999999994E-2</v>
      </c>
      <c r="R164" s="598">
        <f t="shared" si="144"/>
        <v>0.12</v>
      </c>
      <c r="S164" s="610"/>
    </row>
    <row r="165" spans="1:19">
      <c r="A165" s="1451"/>
      <c r="B165" s="584">
        <v>14</v>
      </c>
      <c r="C165" s="582">
        <f>H$69</f>
        <v>30</v>
      </c>
      <c r="D165" s="582">
        <f t="shared" ref="D165:H165" si="145">I$69</f>
        <v>-0.05</v>
      </c>
      <c r="E165" s="582">
        <f t="shared" si="145"/>
        <v>0.01</v>
      </c>
      <c r="F165" s="582">
        <f t="shared" si="145"/>
        <v>0.02</v>
      </c>
      <c r="G165" s="582">
        <f t="shared" si="145"/>
        <v>5.0000000000000001E-3</v>
      </c>
      <c r="H165" s="582">
        <f t="shared" si="145"/>
        <v>0.12</v>
      </c>
      <c r="I165" s="589"/>
      <c r="K165" s="1476"/>
      <c r="L165" s="584">
        <v>14</v>
      </c>
      <c r="M165" s="598">
        <f t="shared" ref="M165:R165" si="146">H$75</f>
        <v>900</v>
      </c>
      <c r="N165" s="598">
        <f t="shared" si="146"/>
        <v>-0.04</v>
      </c>
      <c r="O165" s="598">
        <f t="shared" si="146"/>
        <v>0.01</v>
      </c>
      <c r="P165" s="598" t="str">
        <f t="shared" si="146"/>
        <v>-</v>
      </c>
      <c r="Q165" s="598">
        <f t="shared" si="146"/>
        <v>3.9999999999999994E-2</v>
      </c>
      <c r="R165" s="598">
        <f t="shared" si="146"/>
        <v>0.12</v>
      </c>
      <c r="S165" s="610"/>
    </row>
    <row r="166" spans="1:19" ht="13.8" thickBot="1">
      <c r="A166" s="1451"/>
      <c r="B166" s="592">
        <v>15</v>
      </c>
      <c r="C166" s="582">
        <f>O$69</f>
        <v>60</v>
      </c>
      <c r="D166" s="582">
        <f t="shared" ref="D166:H166" si="147">P$69</f>
        <v>0.01</v>
      </c>
      <c r="E166" s="582">
        <f t="shared" si="147"/>
        <v>0.04</v>
      </c>
      <c r="F166" s="582">
        <f t="shared" si="147"/>
        <v>9.9999999999999995E-7</v>
      </c>
      <c r="G166" s="582">
        <f t="shared" si="147"/>
        <v>1.99995E-2</v>
      </c>
      <c r="H166" s="582">
        <f t="shared" si="147"/>
        <v>0.12</v>
      </c>
      <c r="I166" s="589"/>
      <c r="K166" s="1476"/>
      <c r="L166" s="584">
        <v>15</v>
      </c>
      <c r="M166" s="598">
        <f t="shared" ref="M166:R166" si="148">O$75</f>
        <v>900</v>
      </c>
      <c r="N166" s="598">
        <f t="shared" si="148"/>
        <v>0.01</v>
      </c>
      <c r="O166" s="598">
        <f t="shared" si="148"/>
        <v>0.04</v>
      </c>
      <c r="P166" s="598">
        <f t="shared" si="148"/>
        <v>-0.03</v>
      </c>
      <c r="Q166" s="598">
        <f t="shared" si="148"/>
        <v>3.5000000000000003E-2</v>
      </c>
      <c r="R166" s="598">
        <f t="shared" si="148"/>
        <v>0.12</v>
      </c>
      <c r="S166" s="610"/>
    </row>
    <row r="167" spans="1:19" ht="13.8" thickBot="1">
      <c r="A167" s="1451"/>
      <c r="B167" s="602">
        <v>16</v>
      </c>
      <c r="C167" s="603">
        <f>A$84</f>
        <v>60</v>
      </c>
      <c r="D167" s="603">
        <f t="shared" ref="D167:H167" si="149">B$84</f>
        <v>0</v>
      </c>
      <c r="E167" s="603">
        <f t="shared" si="149"/>
        <v>0</v>
      </c>
      <c r="F167" s="603">
        <f t="shared" si="149"/>
        <v>-0.01</v>
      </c>
      <c r="G167" s="603">
        <f t="shared" si="149"/>
        <v>5.0000000000000001E-3</v>
      </c>
      <c r="H167" s="603">
        <f t="shared" si="149"/>
        <v>0.12</v>
      </c>
      <c r="I167" s="604"/>
      <c r="K167" s="1477"/>
      <c r="L167" s="592">
        <v>16</v>
      </c>
      <c r="M167" s="611">
        <f t="shared" ref="M167:R167" si="150">A$90</f>
        <v>900</v>
      </c>
      <c r="N167" s="611">
        <f t="shared" si="150"/>
        <v>0</v>
      </c>
      <c r="O167" s="611">
        <f t="shared" si="150"/>
        <v>0</v>
      </c>
      <c r="P167" s="611">
        <f t="shared" si="150"/>
        <v>-0.01</v>
      </c>
      <c r="Q167" s="611">
        <f t="shared" si="150"/>
        <v>5.0000000000000001E-3</v>
      </c>
      <c r="R167" s="611">
        <f t="shared" si="150"/>
        <v>0.12</v>
      </c>
      <c r="S167" s="612"/>
    </row>
    <row r="168" spans="1:19" ht="13.8" thickBot="1">
      <c r="A168" s="613"/>
      <c r="B168" s="584">
        <v>17</v>
      </c>
      <c r="C168" s="51">
        <f>H84</f>
        <v>30</v>
      </c>
      <c r="D168" s="51">
        <f t="shared" ref="D168:H168" si="151">I84</f>
        <v>0</v>
      </c>
      <c r="E168" s="51" t="str">
        <f t="shared" si="151"/>
        <v>-</v>
      </c>
      <c r="F168" s="51" t="str">
        <f t="shared" si="151"/>
        <v>-</v>
      </c>
      <c r="G168" s="51">
        <f t="shared" si="151"/>
        <v>3.9999999999999994E-2</v>
      </c>
      <c r="H168" s="51">
        <f t="shared" si="151"/>
        <v>0.12</v>
      </c>
      <c r="I168" s="601"/>
      <c r="K168" s="614"/>
      <c r="L168" s="584">
        <v>17</v>
      </c>
      <c r="M168" s="615">
        <f>H90</f>
        <v>900</v>
      </c>
      <c r="N168" s="615" t="str">
        <f t="shared" ref="N168:R168" si="152">I90</f>
        <v>-</v>
      </c>
      <c r="O168" s="615" t="str">
        <f t="shared" si="152"/>
        <v>-</v>
      </c>
      <c r="P168" s="615" t="str">
        <f t="shared" si="152"/>
        <v>-</v>
      </c>
      <c r="Q168" s="615">
        <f t="shared" si="152"/>
        <v>3.9999999999999994E-2</v>
      </c>
      <c r="R168" s="615">
        <f t="shared" si="152"/>
        <v>0.12</v>
      </c>
      <c r="S168" s="616"/>
    </row>
    <row r="169" spans="1:19">
      <c r="A169" s="1472" t="s">
        <v>21</v>
      </c>
      <c r="B169" s="579">
        <v>1</v>
      </c>
      <c r="C169" s="580">
        <f>A$9</f>
        <v>40</v>
      </c>
      <c r="D169" s="580" t="str">
        <f t="shared" ref="D169:H169" si="153">B$9</f>
        <v>-</v>
      </c>
      <c r="E169" s="580" t="str">
        <f t="shared" si="153"/>
        <v>-</v>
      </c>
      <c r="F169" s="580">
        <f t="shared" si="153"/>
        <v>-1E-3</v>
      </c>
      <c r="G169" s="580">
        <f t="shared" si="153"/>
        <v>3.9999999999999994E-2</v>
      </c>
      <c r="H169" s="580">
        <f t="shared" si="153"/>
        <v>0.12</v>
      </c>
      <c r="I169" s="581"/>
      <c r="K169" s="1493" t="s">
        <v>296</v>
      </c>
      <c r="L169" s="579">
        <v>1</v>
      </c>
      <c r="M169" s="617">
        <f t="shared" ref="M169:R169" si="154">A$15</f>
        <v>1200</v>
      </c>
      <c r="N169" s="617" t="str">
        <f t="shared" si="154"/>
        <v>-</v>
      </c>
      <c r="O169" s="617" t="str">
        <f t="shared" si="154"/>
        <v>-</v>
      </c>
      <c r="P169" s="617">
        <f t="shared" si="154"/>
        <v>-1.2999999999999999E-2</v>
      </c>
      <c r="Q169" s="617">
        <f t="shared" si="154"/>
        <v>3.9999999999999994E-2</v>
      </c>
      <c r="R169" s="617">
        <f t="shared" si="154"/>
        <v>0.12</v>
      </c>
      <c r="S169" s="618"/>
    </row>
    <row r="170" spans="1:19">
      <c r="A170" s="1473"/>
      <c r="B170" s="584">
        <v>2</v>
      </c>
      <c r="C170" s="585">
        <f>H$9</f>
        <v>40</v>
      </c>
      <c r="D170" s="585" t="str">
        <f t="shared" ref="D170:H170" si="155">I$9</f>
        <v>-</v>
      </c>
      <c r="E170" s="585" t="str">
        <f t="shared" si="155"/>
        <v>-</v>
      </c>
      <c r="F170" s="585">
        <f t="shared" si="155"/>
        <v>1E-3</v>
      </c>
      <c r="G170" s="585">
        <f t="shared" si="155"/>
        <v>4.0333333333333332E-2</v>
      </c>
      <c r="H170" s="585">
        <f t="shared" si="155"/>
        <v>0.121</v>
      </c>
      <c r="I170" s="586"/>
      <c r="K170" s="1494"/>
      <c r="L170" s="584">
        <v>2</v>
      </c>
      <c r="M170" s="619">
        <f t="shared" ref="M170:R170" si="156">H$15</f>
        <v>1200</v>
      </c>
      <c r="N170" s="619" t="str">
        <f t="shared" si="156"/>
        <v>-</v>
      </c>
      <c r="O170" s="619" t="str">
        <f t="shared" si="156"/>
        <v>-</v>
      </c>
      <c r="P170" s="619">
        <f t="shared" si="156"/>
        <v>9.9999999999999995E-7</v>
      </c>
      <c r="Q170" s="619">
        <f t="shared" si="156"/>
        <v>4.0333333333333332E-2</v>
      </c>
      <c r="R170" s="619">
        <f t="shared" si="156"/>
        <v>0.121</v>
      </c>
      <c r="S170" s="620"/>
    </row>
    <row r="171" spans="1:19">
      <c r="A171" s="1473"/>
      <c r="B171" s="584">
        <v>3</v>
      </c>
      <c r="C171" s="585">
        <f>O$9</f>
        <v>40</v>
      </c>
      <c r="D171" s="585" t="str">
        <f t="shared" ref="D171:H171" si="157">P$9</f>
        <v>-</v>
      </c>
      <c r="E171" s="585" t="str">
        <f t="shared" si="157"/>
        <v>-</v>
      </c>
      <c r="F171" s="585" t="str">
        <f t="shared" si="157"/>
        <v>-</v>
      </c>
      <c r="G171" s="585">
        <f t="shared" si="157"/>
        <v>3.9999999999999994E-2</v>
      </c>
      <c r="H171" s="585">
        <f t="shared" si="157"/>
        <v>0.12</v>
      </c>
      <c r="I171" s="586"/>
      <c r="K171" s="1494"/>
      <c r="L171" s="584">
        <v>3</v>
      </c>
      <c r="M171" s="619">
        <f t="shared" ref="M171:R171" si="158">O$15</f>
        <v>1200</v>
      </c>
      <c r="N171" s="619" t="str">
        <f t="shared" si="158"/>
        <v>-</v>
      </c>
      <c r="O171" s="619" t="str">
        <f t="shared" si="158"/>
        <v>-</v>
      </c>
      <c r="P171" s="619">
        <f t="shared" si="158"/>
        <v>4.0000000000000001E-3</v>
      </c>
      <c r="Q171" s="619">
        <f t="shared" si="158"/>
        <v>3.9999999999999994E-2</v>
      </c>
      <c r="R171" s="619">
        <f t="shared" si="158"/>
        <v>0.12</v>
      </c>
      <c r="S171" s="620"/>
    </row>
    <row r="172" spans="1:19">
      <c r="A172" s="1473"/>
      <c r="B172" s="584">
        <v>4</v>
      </c>
      <c r="C172" s="585">
        <f>A$24</f>
        <v>60</v>
      </c>
      <c r="D172" s="585" t="str">
        <f t="shared" ref="D172:H172" si="159">B$24</f>
        <v>-</v>
      </c>
      <c r="E172" s="585">
        <f t="shared" si="159"/>
        <v>-0.01</v>
      </c>
      <c r="F172" s="585">
        <f t="shared" si="159"/>
        <v>2E-3</v>
      </c>
      <c r="G172" s="585">
        <f t="shared" si="159"/>
        <v>6.0000000000000001E-3</v>
      </c>
      <c r="H172" s="585">
        <f t="shared" si="159"/>
        <v>0.12</v>
      </c>
      <c r="I172" s="586"/>
      <c r="K172" s="1494"/>
      <c r="L172" s="584">
        <v>4</v>
      </c>
      <c r="M172" s="619">
        <f t="shared" ref="M172:R172" si="160">A$30</f>
        <v>1200</v>
      </c>
      <c r="N172" s="619" t="str">
        <f t="shared" si="160"/>
        <v>-</v>
      </c>
      <c r="O172" s="619">
        <f t="shared" si="160"/>
        <v>0.05</v>
      </c>
      <c r="P172" s="619" t="str">
        <f t="shared" si="160"/>
        <v>-</v>
      </c>
      <c r="Q172" s="619">
        <f t="shared" si="160"/>
        <v>3.9999999999999994E-2</v>
      </c>
      <c r="R172" s="619">
        <f t="shared" si="160"/>
        <v>0.12</v>
      </c>
      <c r="S172" s="620"/>
    </row>
    <row r="173" spans="1:19">
      <c r="A173" s="1473"/>
      <c r="B173" s="584">
        <v>5</v>
      </c>
      <c r="C173" s="585">
        <f>H$24</f>
        <v>40</v>
      </c>
      <c r="D173" s="585" t="str">
        <f t="shared" ref="D173:H173" si="161">I$24</f>
        <v>-</v>
      </c>
      <c r="E173" s="585" t="str">
        <f t="shared" si="161"/>
        <v>-</v>
      </c>
      <c r="F173" s="585">
        <f t="shared" si="161"/>
        <v>-0.02</v>
      </c>
      <c r="G173" s="585">
        <f t="shared" si="161"/>
        <v>3.9999999999999994E-2</v>
      </c>
      <c r="H173" s="585">
        <f t="shared" si="161"/>
        <v>0.12</v>
      </c>
      <c r="I173" s="586"/>
      <c r="K173" s="1494"/>
      <c r="L173" s="584">
        <v>5</v>
      </c>
      <c r="M173" s="619">
        <f t="shared" ref="M173:R173" si="162">H$30</f>
        <v>1200</v>
      </c>
      <c r="N173" s="619" t="str">
        <f t="shared" si="162"/>
        <v>-</v>
      </c>
      <c r="O173" s="619" t="str">
        <f t="shared" si="162"/>
        <v>-</v>
      </c>
      <c r="P173" s="619" t="str">
        <f t="shared" si="162"/>
        <v>-</v>
      </c>
      <c r="Q173" s="619">
        <f t="shared" si="162"/>
        <v>3.9999999999999994E-2</v>
      </c>
      <c r="R173" s="619">
        <f t="shared" si="162"/>
        <v>0.12</v>
      </c>
      <c r="S173" s="620"/>
    </row>
    <row r="174" spans="1:19">
      <c r="A174" s="1473"/>
      <c r="B174" s="584">
        <v>6</v>
      </c>
      <c r="C174" s="585">
        <f>O$24</f>
        <v>60</v>
      </c>
      <c r="D174" s="585">
        <f t="shared" ref="D174:H174" si="163">P$24</f>
        <v>-0.01</v>
      </c>
      <c r="E174" s="585">
        <f t="shared" si="163"/>
        <v>0</v>
      </c>
      <c r="F174" s="585">
        <f t="shared" si="163"/>
        <v>0.01</v>
      </c>
      <c r="G174" s="585">
        <f t="shared" si="163"/>
        <v>5.0000000000000001E-3</v>
      </c>
      <c r="H174" s="585">
        <f t="shared" si="163"/>
        <v>0.12</v>
      </c>
      <c r="I174" s="586"/>
      <c r="K174" s="1494"/>
      <c r="L174" s="584">
        <v>6</v>
      </c>
      <c r="M174" s="619">
        <f t="shared" ref="M174:R174" si="164">O$30</f>
        <v>1200</v>
      </c>
      <c r="N174" s="619" t="str">
        <f t="shared" si="164"/>
        <v>-</v>
      </c>
      <c r="O174" s="619" t="str">
        <f t="shared" si="164"/>
        <v>-</v>
      </c>
      <c r="P174" s="619">
        <f t="shared" si="164"/>
        <v>0.02</v>
      </c>
      <c r="Q174" s="619">
        <f t="shared" si="164"/>
        <v>3.9999999999999994E-2</v>
      </c>
      <c r="R174" s="619">
        <f t="shared" si="164"/>
        <v>0.12</v>
      </c>
      <c r="S174" s="620"/>
    </row>
    <row r="175" spans="1:19">
      <c r="A175" s="1473"/>
      <c r="B175" s="584">
        <v>7</v>
      </c>
      <c r="C175" s="585">
        <f>A$40</f>
        <v>60</v>
      </c>
      <c r="D175" s="585">
        <f t="shared" ref="D175:H175" si="165">B$40</f>
        <v>-0.05</v>
      </c>
      <c r="E175" s="585">
        <f t="shared" si="165"/>
        <v>-0.02</v>
      </c>
      <c r="F175" s="585">
        <f t="shared" si="165"/>
        <v>0.03</v>
      </c>
      <c r="G175" s="585">
        <f t="shared" si="165"/>
        <v>2.5000000000000001E-2</v>
      </c>
      <c r="H175" s="585">
        <f t="shared" si="165"/>
        <v>0.12</v>
      </c>
      <c r="I175" s="586"/>
      <c r="K175" s="1494"/>
      <c r="L175" s="584">
        <v>7</v>
      </c>
      <c r="M175" s="619">
        <f t="shared" ref="M175:R175" si="166">A$46</f>
        <v>1200</v>
      </c>
      <c r="N175" s="619" t="str">
        <f t="shared" si="166"/>
        <v>-</v>
      </c>
      <c r="O175" s="619" t="str">
        <f t="shared" si="166"/>
        <v>-</v>
      </c>
      <c r="P175" s="619">
        <f t="shared" si="166"/>
        <v>0.03</v>
      </c>
      <c r="Q175" s="619">
        <f t="shared" si="166"/>
        <v>3.9999999999999994E-2</v>
      </c>
      <c r="R175" s="619">
        <f t="shared" si="166"/>
        <v>0.12</v>
      </c>
      <c r="S175" s="620"/>
    </row>
    <row r="176" spans="1:19">
      <c r="A176" s="1473"/>
      <c r="B176" s="584">
        <v>8</v>
      </c>
      <c r="C176" s="585">
        <f>H$40</f>
        <v>60</v>
      </c>
      <c r="D176" s="585">
        <f t="shared" ref="D176:H176" si="167">I$40</f>
        <v>-0.02</v>
      </c>
      <c r="E176" s="585">
        <f t="shared" si="167"/>
        <v>0</v>
      </c>
      <c r="F176" s="585">
        <f t="shared" si="167"/>
        <v>0.01</v>
      </c>
      <c r="G176" s="585">
        <f t="shared" si="167"/>
        <v>5.0000000000000001E-3</v>
      </c>
      <c r="H176" s="585">
        <f t="shared" si="167"/>
        <v>0.12</v>
      </c>
      <c r="I176" s="586"/>
      <c r="K176" s="1494"/>
      <c r="L176" s="584">
        <v>8</v>
      </c>
      <c r="M176" s="619">
        <f t="shared" ref="M176:R176" si="168">H$46</f>
        <v>1200</v>
      </c>
      <c r="N176" s="619" t="str">
        <f t="shared" si="168"/>
        <v>-</v>
      </c>
      <c r="O176" s="619" t="str">
        <f t="shared" si="168"/>
        <v>-</v>
      </c>
      <c r="P176" s="619">
        <f t="shared" si="168"/>
        <v>0.02</v>
      </c>
      <c r="Q176" s="619">
        <f t="shared" si="168"/>
        <v>3.9999999999999994E-2</v>
      </c>
      <c r="R176" s="619">
        <f t="shared" si="168"/>
        <v>0.12</v>
      </c>
      <c r="S176" s="620"/>
    </row>
    <row r="177" spans="1:19">
      <c r="A177" s="1473"/>
      <c r="B177" s="584">
        <v>9</v>
      </c>
      <c r="C177" s="585">
        <f>O$40</f>
        <v>60</v>
      </c>
      <c r="D177" s="585">
        <f t="shared" ref="D177:H177" si="169">P$40</f>
        <v>0.01</v>
      </c>
      <c r="E177" s="585">
        <f t="shared" si="169"/>
        <v>0.02</v>
      </c>
      <c r="F177" s="585">
        <f t="shared" si="169"/>
        <v>-0.01</v>
      </c>
      <c r="G177" s="585">
        <f t="shared" si="169"/>
        <v>1.4999999999999999E-2</v>
      </c>
      <c r="H177" s="585">
        <f t="shared" si="169"/>
        <v>0.12</v>
      </c>
      <c r="I177" s="586"/>
      <c r="K177" s="1494"/>
      <c r="L177" s="584">
        <v>9</v>
      </c>
      <c r="M177" s="619">
        <f t="shared" ref="M177:R177" si="170">O$46</f>
        <v>1200</v>
      </c>
      <c r="N177" s="619" t="str">
        <f t="shared" si="170"/>
        <v>-</v>
      </c>
      <c r="O177" s="619">
        <f t="shared" si="170"/>
        <v>0.02</v>
      </c>
      <c r="P177" s="619">
        <f t="shared" si="170"/>
        <v>-0.03</v>
      </c>
      <c r="Q177" s="619">
        <f t="shared" si="170"/>
        <v>2.5000000000000001E-2</v>
      </c>
      <c r="R177" s="619">
        <f t="shared" si="170"/>
        <v>0.12</v>
      </c>
      <c r="S177" s="620"/>
    </row>
    <row r="178" spans="1:19">
      <c r="A178" s="1473"/>
      <c r="B178" s="591">
        <v>10</v>
      </c>
      <c r="C178" s="585">
        <f>A$55</f>
        <v>60</v>
      </c>
      <c r="D178" s="585">
        <f t="shared" ref="D178:H178" si="171">B$55</f>
        <v>-0.03</v>
      </c>
      <c r="E178" s="585">
        <f t="shared" si="171"/>
        <v>0</v>
      </c>
      <c r="F178" s="585">
        <f t="shared" si="171"/>
        <v>-0.06</v>
      </c>
      <c r="G178" s="585">
        <f t="shared" si="171"/>
        <v>0.03</v>
      </c>
      <c r="H178" s="585">
        <f t="shared" si="171"/>
        <v>0.12</v>
      </c>
      <c r="I178" s="586"/>
      <c r="K178" s="1494"/>
      <c r="L178" s="584">
        <v>10</v>
      </c>
      <c r="M178" s="619">
        <f t="shared" ref="M178:R178" si="172">A$61</f>
        <v>1200</v>
      </c>
      <c r="N178" s="619" t="str">
        <f t="shared" si="172"/>
        <v>-</v>
      </c>
      <c r="O178" s="619" t="str">
        <f t="shared" si="172"/>
        <v>-</v>
      </c>
      <c r="P178" s="619">
        <f t="shared" si="172"/>
        <v>-0.05</v>
      </c>
      <c r="Q178" s="619">
        <f t="shared" si="172"/>
        <v>3.9999999999999994E-2</v>
      </c>
      <c r="R178" s="619">
        <f t="shared" si="172"/>
        <v>0.12</v>
      </c>
      <c r="S178" s="620"/>
    </row>
    <row r="179" spans="1:19">
      <c r="A179" s="1473"/>
      <c r="B179" s="591">
        <v>11</v>
      </c>
      <c r="C179" s="585">
        <f>H$55</f>
        <v>60</v>
      </c>
      <c r="D179" s="585">
        <f t="shared" ref="D179:H179" si="173">I$55</f>
        <v>-0.04</v>
      </c>
      <c r="E179" s="585">
        <f t="shared" si="173"/>
        <v>0</v>
      </c>
      <c r="F179" s="585">
        <f t="shared" si="173"/>
        <v>-0.03</v>
      </c>
      <c r="G179" s="585">
        <f t="shared" si="173"/>
        <v>1.4999999999999999E-2</v>
      </c>
      <c r="H179" s="585">
        <f t="shared" si="173"/>
        <v>0.12</v>
      </c>
      <c r="I179" s="586"/>
      <c r="K179" s="1494"/>
      <c r="L179" s="591">
        <v>11</v>
      </c>
      <c r="M179" s="619">
        <f t="shared" ref="M179:R179" si="174">H$61</f>
        <v>1200</v>
      </c>
      <c r="N179" s="619" t="str">
        <f t="shared" si="174"/>
        <v>-</v>
      </c>
      <c r="O179" s="619" t="str">
        <f t="shared" si="174"/>
        <v>-</v>
      </c>
      <c r="P179" s="619">
        <f t="shared" si="174"/>
        <v>-0.02</v>
      </c>
      <c r="Q179" s="619">
        <f t="shared" si="174"/>
        <v>3.9999999999999994E-2</v>
      </c>
      <c r="R179" s="619">
        <f t="shared" si="174"/>
        <v>0.12</v>
      </c>
      <c r="S179" s="620"/>
    </row>
    <row r="180" spans="1:19">
      <c r="A180" s="1473"/>
      <c r="B180" s="584">
        <v>12</v>
      </c>
      <c r="C180" s="585">
        <f>O$55</f>
        <v>40</v>
      </c>
      <c r="D180" s="585" t="str">
        <f t="shared" ref="D180:H180" si="175">P$55</f>
        <v>-</v>
      </c>
      <c r="E180" s="585" t="str">
        <f t="shared" si="175"/>
        <v>-</v>
      </c>
      <c r="F180" s="585">
        <f t="shared" si="175"/>
        <v>0.02</v>
      </c>
      <c r="G180" s="585">
        <f t="shared" si="175"/>
        <v>3.9999999999999994E-2</v>
      </c>
      <c r="H180" s="585">
        <f t="shared" si="175"/>
        <v>0.12</v>
      </c>
      <c r="I180" s="586"/>
      <c r="K180" s="1494"/>
      <c r="L180" s="584">
        <v>12</v>
      </c>
      <c r="M180" s="619">
        <f t="shared" ref="M180:R180" si="176">O$61</f>
        <v>1200</v>
      </c>
      <c r="N180" s="619" t="str">
        <f t="shared" si="176"/>
        <v>-</v>
      </c>
      <c r="O180" s="619" t="str">
        <f t="shared" si="176"/>
        <v>-</v>
      </c>
      <c r="P180" s="619" t="str">
        <f t="shared" si="176"/>
        <v>-</v>
      </c>
      <c r="Q180" s="619">
        <f t="shared" si="176"/>
        <v>3.9999999999999994E-2</v>
      </c>
      <c r="R180" s="619">
        <f t="shared" si="176"/>
        <v>0.12</v>
      </c>
      <c r="S180" s="620"/>
    </row>
    <row r="181" spans="1:19">
      <c r="A181" s="1473"/>
      <c r="B181" s="584">
        <v>13</v>
      </c>
      <c r="C181" s="585">
        <f>A$70</f>
        <v>40</v>
      </c>
      <c r="D181" s="585" t="str">
        <f t="shared" ref="D181:H181" si="177">B$70</f>
        <v>-</v>
      </c>
      <c r="E181" s="585" t="str">
        <f t="shared" si="177"/>
        <v>-</v>
      </c>
      <c r="F181" s="585">
        <f t="shared" si="177"/>
        <v>0.01</v>
      </c>
      <c r="G181" s="585">
        <f t="shared" si="177"/>
        <v>3.9999999999999994E-2</v>
      </c>
      <c r="H181" s="585">
        <f t="shared" si="177"/>
        <v>0.12</v>
      </c>
      <c r="I181" s="586"/>
      <c r="K181" s="1494"/>
      <c r="L181" s="584">
        <v>13</v>
      </c>
      <c r="M181" s="619">
        <f t="shared" ref="M181:R181" si="178">A$76</f>
        <v>1200</v>
      </c>
      <c r="N181" s="619">
        <f t="shared" si="178"/>
        <v>0</v>
      </c>
      <c r="O181" s="619" t="str">
        <f t="shared" si="178"/>
        <v>-</v>
      </c>
      <c r="P181" s="619" t="str">
        <f t="shared" si="178"/>
        <v>-</v>
      </c>
      <c r="Q181" s="619">
        <f t="shared" si="178"/>
        <v>3.9999999999999994E-2</v>
      </c>
      <c r="R181" s="619">
        <f t="shared" si="178"/>
        <v>0.12</v>
      </c>
      <c r="S181" s="620"/>
    </row>
    <row r="182" spans="1:19">
      <c r="A182" s="1473"/>
      <c r="B182" s="584">
        <v>14</v>
      </c>
      <c r="C182" s="585">
        <f>H$70</f>
        <v>40</v>
      </c>
      <c r="D182" s="585" t="str">
        <f t="shared" ref="D182:H182" si="179">I$70</f>
        <v>-</v>
      </c>
      <c r="E182" s="585" t="str">
        <f t="shared" si="179"/>
        <v>-</v>
      </c>
      <c r="F182" s="585">
        <f t="shared" si="179"/>
        <v>0.03</v>
      </c>
      <c r="G182" s="585">
        <f t="shared" si="179"/>
        <v>3.9999999999999994E-2</v>
      </c>
      <c r="H182" s="585">
        <f t="shared" si="179"/>
        <v>0.12</v>
      </c>
      <c r="I182" s="586"/>
      <c r="K182" s="1494"/>
      <c r="L182" s="584">
        <v>14</v>
      </c>
      <c r="M182" s="619">
        <f t="shared" ref="M182:R182" si="180">H$76</f>
        <v>1200</v>
      </c>
      <c r="N182" s="619" t="str">
        <f t="shared" si="180"/>
        <v>-</v>
      </c>
      <c r="O182" s="619" t="str">
        <f t="shared" si="180"/>
        <v>-</v>
      </c>
      <c r="P182" s="619" t="str">
        <f t="shared" si="180"/>
        <v>-</v>
      </c>
      <c r="Q182" s="619">
        <f t="shared" si="180"/>
        <v>3.9999999999999994E-2</v>
      </c>
      <c r="R182" s="619">
        <f t="shared" si="180"/>
        <v>0.12</v>
      </c>
      <c r="S182" s="620"/>
    </row>
    <row r="183" spans="1:19">
      <c r="A183" s="1473"/>
      <c r="B183" s="584">
        <v>15</v>
      </c>
      <c r="C183" s="598">
        <f>O$70</f>
        <v>60</v>
      </c>
      <c r="D183" s="598">
        <f t="shared" ref="D183:H183" si="181">P$70</f>
        <v>0.01</v>
      </c>
      <c r="E183" s="598">
        <f t="shared" si="181"/>
        <v>0.04</v>
      </c>
      <c r="F183" s="598">
        <f t="shared" si="181"/>
        <v>9.9999999999999995E-7</v>
      </c>
      <c r="G183" s="598">
        <f t="shared" si="181"/>
        <v>1.99995E-2</v>
      </c>
      <c r="H183" s="598">
        <f t="shared" si="181"/>
        <v>0.12</v>
      </c>
      <c r="I183" s="621"/>
      <c r="K183" s="1494"/>
      <c r="L183" s="584">
        <v>15</v>
      </c>
      <c r="M183" s="619">
        <f t="shared" ref="M183:R183" si="182">O$76</f>
        <v>1200</v>
      </c>
      <c r="N183" s="619" t="str">
        <f t="shared" si="182"/>
        <v>-</v>
      </c>
      <c r="O183" s="619">
        <f t="shared" si="182"/>
        <v>0.04</v>
      </c>
      <c r="P183" s="619">
        <f t="shared" si="182"/>
        <v>-0.04</v>
      </c>
      <c r="Q183" s="619">
        <f t="shared" si="182"/>
        <v>0.04</v>
      </c>
      <c r="R183" s="619">
        <f t="shared" si="182"/>
        <v>0.12</v>
      </c>
      <c r="S183" s="620"/>
    </row>
    <row r="184" spans="1:19" ht="13.8" thickBot="1">
      <c r="A184" s="1474"/>
      <c r="B184" s="592">
        <v>16</v>
      </c>
      <c r="C184" s="250">
        <f>A$85</f>
        <v>60</v>
      </c>
      <c r="D184" s="250">
        <f t="shared" ref="D184:H184" si="183">B$85</f>
        <v>0</v>
      </c>
      <c r="E184" s="250">
        <f t="shared" si="183"/>
        <v>0</v>
      </c>
      <c r="F184" s="250">
        <f t="shared" si="183"/>
        <v>-0.01</v>
      </c>
      <c r="G184" s="250">
        <f t="shared" si="183"/>
        <v>5.0000000000000001E-3</v>
      </c>
      <c r="H184" s="250">
        <f t="shared" si="183"/>
        <v>0.12</v>
      </c>
      <c r="I184" s="251"/>
      <c r="K184" s="1495"/>
      <c r="L184" s="592">
        <v>16</v>
      </c>
      <c r="M184" s="622">
        <f t="shared" ref="M184:R184" si="184">A$91</f>
        <v>1200</v>
      </c>
      <c r="N184" s="622" t="str">
        <f t="shared" si="184"/>
        <v>-</v>
      </c>
      <c r="O184" s="622" t="str">
        <f t="shared" si="184"/>
        <v>-</v>
      </c>
      <c r="P184" s="622">
        <f t="shared" si="184"/>
        <v>0.02</v>
      </c>
      <c r="Q184" s="622">
        <f t="shared" si="184"/>
        <v>3.9999999999999994E-2</v>
      </c>
      <c r="R184" s="622">
        <f t="shared" si="184"/>
        <v>0.12</v>
      </c>
      <c r="S184" s="623"/>
    </row>
    <row r="185" spans="1:19" ht="13.8" thickBot="1">
      <c r="A185" s="613"/>
      <c r="B185" s="584">
        <v>17</v>
      </c>
      <c r="C185" s="594">
        <f>H85</f>
        <v>40</v>
      </c>
      <c r="D185" s="594">
        <f t="shared" ref="D185:H185" si="185">I85</f>
        <v>0</v>
      </c>
      <c r="E185" s="594" t="str">
        <f t="shared" si="185"/>
        <v>-</v>
      </c>
      <c r="F185" s="594" t="str">
        <f t="shared" si="185"/>
        <v>-</v>
      </c>
      <c r="G185" s="594">
        <f t="shared" si="185"/>
        <v>3.9999999999999994E-2</v>
      </c>
      <c r="H185" s="594">
        <f t="shared" si="185"/>
        <v>0.12</v>
      </c>
      <c r="I185" s="595"/>
      <c r="K185" s="51"/>
      <c r="L185" s="584">
        <v>17</v>
      </c>
      <c r="M185" s="624">
        <f>H91</f>
        <v>1200</v>
      </c>
      <c r="N185" s="624" t="str">
        <f t="shared" ref="N185:S185" si="186">I91</f>
        <v>-</v>
      </c>
      <c r="O185" s="624" t="str">
        <f t="shared" si="186"/>
        <v>-</v>
      </c>
      <c r="P185" s="624" t="str">
        <f t="shared" si="186"/>
        <v>-</v>
      </c>
      <c r="Q185" s="624">
        <f t="shared" si="186"/>
        <v>3.9999999999999994E-2</v>
      </c>
      <c r="R185" s="624">
        <f t="shared" si="186"/>
        <v>0.12</v>
      </c>
      <c r="S185" s="624">
        <f t="shared" si="186"/>
        <v>0</v>
      </c>
    </row>
    <row r="186" spans="1:19">
      <c r="A186" s="1471" t="s">
        <v>55</v>
      </c>
      <c r="B186" s="579">
        <v>1</v>
      </c>
      <c r="C186" s="580">
        <f>A$10</f>
        <v>50</v>
      </c>
      <c r="D186" s="580" t="str">
        <f t="shared" ref="D186:H186" si="187">B$10</f>
        <v>-</v>
      </c>
      <c r="E186" s="580" t="str">
        <f t="shared" si="187"/>
        <v>-</v>
      </c>
      <c r="F186" s="580">
        <f t="shared" si="187"/>
        <v>-1E-3</v>
      </c>
      <c r="G186" s="580">
        <f t="shared" si="187"/>
        <v>3.9999999999999994E-2</v>
      </c>
      <c r="H186" s="580">
        <f t="shared" si="187"/>
        <v>0.12</v>
      </c>
      <c r="I186" s="581"/>
      <c r="K186" s="625"/>
      <c r="L186" s="626"/>
      <c r="M186" s="549"/>
      <c r="N186" s="549"/>
      <c r="O186" s="549"/>
      <c r="P186" s="549"/>
      <c r="Q186" s="549"/>
      <c r="R186" s="549"/>
      <c r="S186" s="627"/>
    </row>
    <row r="187" spans="1:19">
      <c r="A187" s="1451"/>
      <c r="B187" s="584">
        <v>2</v>
      </c>
      <c r="C187" s="585">
        <f>H$10</f>
        <v>50</v>
      </c>
      <c r="D187" s="585" t="str">
        <f t="shared" ref="D187:H187" si="188">I$10</f>
        <v>-</v>
      </c>
      <c r="E187" s="585" t="str">
        <f t="shared" si="188"/>
        <v>-</v>
      </c>
      <c r="F187" s="585">
        <f t="shared" si="188"/>
        <v>1E-3</v>
      </c>
      <c r="G187" s="585">
        <f t="shared" si="188"/>
        <v>4.0333333333333332E-2</v>
      </c>
      <c r="H187" s="585">
        <f t="shared" si="188"/>
        <v>0.121</v>
      </c>
      <c r="I187" s="586"/>
      <c r="K187" s="625"/>
      <c r="L187" s="626"/>
      <c r="M187" s="549"/>
      <c r="N187" s="549"/>
      <c r="O187" s="549"/>
      <c r="P187" s="549"/>
      <c r="Q187" s="549"/>
      <c r="R187" s="549"/>
      <c r="S187" s="627"/>
    </row>
    <row r="188" spans="1:19">
      <c r="A188" s="1451"/>
      <c r="B188" s="584">
        <v>3</v>
      </c>
      <c r="C188" s="585">
        <f>O$10</f>
        <v>50</v>
      </c>
      <c r="D188" s="585" t="str">
        <f t="shared" ref="D188:H188" si="189">P$10</f>
        <v>-</v>
      </c>
      <c r="E188" s="585" t="str">
        <f t="shared" si="189"/>
        <v>-</v>
      </c>
      <c r="F188" s="585" t="str">
        <f t="shared" si="189"/>
        <v>-</v>
      </c>
      <c r="G188" s="585">
        <f t="shared" si="189"/>
        <v>3.9999999999999994E-2</v>
      </c>
      <c r="H188" s="585">
        <f t="shared" si="189"/>
        <v>0.12</v>
      </c>
      <c r="I188" s="586"/>
      <c r="K188" s="625"/>
      <c r="L188" s="626"/>
      <c r="M188" s="549"/>
      <c r="N188" s="549"/>
      <c r="O188" s="549"/>
      <c r="P188" s="549"/>
      <c r="Q188" s="549"/>
      <c r="R188" s="549"/>
      <c r="S188" s="627"/>
    </row>
    <row r="189" spans="1:19">
      <c r="A189" s="1451"/>
      <c r="B189" s="584">
        <v>4</v>
      </c>
      <c r="C189" s="585">
        <f>A$25</f>
        <v>60</v>
      </c>
      <c r="D189" s="585" t="str">
        <f t="shared" ref="D189:H189" si="190">B$25</f>
        <v>-</v>
      </c>
      <c r="E189" s="585">
        <f t="shared" si="190"/>
        <v>-0.01</v>
      </c>
      <c r="F189" s="585">
        <f t="shared" si="190"/>
        <v>2E-3</v>
      </c>
      <c r="G189" s="585">
        <f t="shared" si="190"/>
        <v>6.0000000000000001E-3</v>
      </c>
      <c r="H189" s="585">
        <f t="shared" si="190"/>
        <v>0.12</v>
      </c>
      <c r="I189" s="586"/>
      <c r="K189" s="625"/>
      <c r="L189" s="626"/>
      <c r="M189" s="549"/>
      <c r="N189" s="549"/>
      <c r="O189" s="549"/>
      <c r="P189" s="549"/>
      <c r="Q189" s="549"/>
      <c r="R189" s="549"/>
      <c r="S189" s="627"/>
    </row>
    <row r="190" spans="1:19">
      <c r="A190" s="1451"/>
      <c r="B190" s="584">
        <v>5</v>
      </c>
      <c r="C190" s="585">
        <f>H$25</f>
        <v>50</v>
      </c>
      <c r="D190" s="585" t="str">
        <f t="shared" ref="D190:H190" si="191">I$25</f>
        <v>-</v>
      </c>
      <c r="E190" s="585" t="str">
        <f t="shared" si="191"/>
        <v>-</v>
      </c>
      <c r="F190" s="585">
        <f t="shared" si="191"/>
        <v>-0.02</v>
      </c>
      <c r="G190" s="585">
        <f t="shared" si="191"/>
        <v>3.9999999999999994E-2</v>
      </c>
      <c r="H190" s="585">
        <f t="shared" si="191"/>
        <v>0.12</v>
      </c>
      <c r="I190" s="586"/>
      <c r="K190" s="625"/>
      <c r="L190" s="626"/>
      <c r="M190" s="549"/>
      <c r="N190" s="549"/>
      <c r="O190" s="549"/>
      <c r="P190" s="549"/>
      <c r="Q190" s="549"/>
      <c r="R190" s="549"/>
      <c r="S190" s="627"/>
    </row>
    <row r="191" spans="1:19">
      <c r="A191" s="1451"/>
      <c r="B191" s="584">
        <v>6</v>
      </c>
      <c r="C191" s="585">
        <f>O$25</f>
        <v>60</v>
      </c>
      <c r="D191" s="585">
        <f t="shared" ref="D191:H191" si="192">P$25</f>
        <v>-0.01</v>
      </c>
      <c r="E191" s="585">
        <f t="shared" si="192"/>
        <v>0</v>
      </c>
      <c r="F191" s="585">
        <f t="shared" si="192"/>
        <v>0.01</v>
      </c>
      <c r="G191" s="585">
        <f t="shared" si="192"/>
        <v>5.0000000000000001E-3</v>
      </c>
      <c r="H191" s="585">
        <f t="shared" si="192"/>
        <v>0.12</v>
      </c>
      <c r="I191" s="586"/>
      <c r="K191" s="625"/>
      <c r="L191" s="626"/>
      <c r="M191" s="549"/>
      <c r="N191" s="549"/>
      <c r="O191" s="549"/>
      <c r="P191" s="549"/>
      <c r="Q191" s="549"/>
      <c r="R191" s="549"/>
      <c r="S191" s="627"/>
    </row>
    <row r="192" spans="1:19">
      <c r="A192" s="1451"/>
      <c r="B192" s="584">
        <v>7</v>
      </c>
      <c r="C192" s="585">
        <f>A$41</f>
        <v>60</v>
      </c>
      <c r="D192" s="585">
        <f t="shared" ref="D192:H192" si="193">B$41</f>
        <v>-0.05</v>
      </c>
      <c r="E192" s="585">
        <f t="shared" si="193"/>
        <v>-0.02</v>
      </c>
      <c r="F192" s="585">
        <f t="shared" si="193"/>
        <v>0.03</v>
      </c>
      <c r="G192" s="585">
        <f t="shared" si="193"/>
        <v>2.5000000000000001E-2</v>
      </c>
      <c r="H192" s="585">
        <f t="shared" si="193"/>
        <v>0.12</v>
      </c>
      <c r="I192" s="586"/>
      <c r="K192" s="625"/>
      <c r="L192" s="626"/>
      <c r="M192" s="549"/>
      <c r="N192" s="549"/>
      <c r="O192" s="549"/>
      <c r="P192" s="549"/>
      <c r="Q192" s="549"/>
      <c r="R192" s="549"/>
      <c r="S192" s="627"/>
    </row>
    <row r="193" spans="1:27">
      <c r="A193" s="1451"/>
      <c r="B193" s="584">
        <v>8</v>
      </c>
      <c r="C193" s="585">
        <f>H$41</f>
        <v>60</v>
      </c>
      <c r="D193" s="585">
        <f t="shared" ref="D193:H193" si="194">I$41</f>
        <v>-0.02</v>
      </c>
      <c r="E193" s="585">
        <f t="shared" si="194"/>
        <v>0</v>
      </c>
      <c r="F193" s="585">
        <f t="shared" si="194"/>
        <v>0.01</v>
      </c>
      <c r="G193" s="585">
        <f t="shared" si="194"/>
        <v>5.0000000000000001E-3</v>
      </c>
      <c r="H193" s="585">
        <f t="shared" si="194"/>
        <v>0.12</v>
      </c>
      <c r="I193" s="586"/>
      <c r="K193" s="625"/>
      <c r="L193" s="626"/>
      <c r="M193" s="549"/>
      <c r="N193" s="549"/>
      <c r="O193" s="549"/>
      <c r="P193" s="549"/>
      <c r="Q193" s="549"/>
      <c r="R193" s="549"/>
      <c r="S193" s="627"/>
    </row>
    <row r="194" spans="1:27">
      <c r="A194" s="1451"/>
      <c r="B194" s="584">
        <v>9</v>
      </c>
      <c r="C194" s="585">
        <f>O$41</f>
        <v>60</v>
      </c>
      <c r="D194" s="585">
        <f t="shared" ref="D194:H194" si="195">P$41</f>
        <v>0.01</v>
      </c>
      <c r="E194" s="585">
        <f t="shared" si="195"/>
        <v>0.02</v>
      </c>
      <c r="F194" s="585">
        <f t="shared" si="195"/>
        <v>-0.01</v>
      </c>
      <c r="G194" s="585">
        <f t="shared" si="195"/>
        <v>1.4999999999999999E-2</v>
      </c>
      <c r="H194" s="585">
        <f t="shared" si="195"/>
        <v>0.12</v>
      </c>
      <c r="I194" s="586"/>
      <c r="K194" s="625"/>
      <c r="L194" s="626"/>
      <c r="M194" s="549"/>
      <c r="N194" s="549"/>
      <c r="O194" s="549"/>
      <c r="P194" s="549"/>
      <c r="Q194" s="549"/>
      <c r="R194" s="549"/>
      <c r="S194" s="627"/>
    </row>
    <row r="195" spans="1:27">
      <c r="A195" s="1451"/>
      <c r="B195" s="584">
        <v>10</v>
      </c>
      <c r="C195" s="585">
        <f>A$56</f>
        <v>60</v>
      </c>
      <c r="D195" s="585">
        <f t="shared" ref="D195:H195" si="196">B$56</f>
        <v>-0.03</v>
      </c>
      <c r="E195" s="585">
        <f t="shared" si="196"/>
        <v>0</v>
      </c>
      <c r="F195" s="585">
        <f t="shared" si="196"/>
        <v>-0.06</v>
      </c>
      <c r="G195" s="585">
        <f t="shared" si="196"/>
        <v>0.03</v>
      </c>
      <c r="H195" s="585">
        <f t="shared" si="196"/>
        <v>0.12</v>
      </c>
      <c r="I195" s="586"/>
      <c r="K195" s="625"/>
      <c r="L195" s="626"/>
      <c r="M195" s="549"/>
      <c r="N195" s="549"/>
      <c r="O195" s="549"/>
      <c r="P195" s="549"/>
      <c r="Q195" s="549"/>
      <c r="R195" s="549"/>
      <c r="S195" s="627"/>
    </row>
    <row r="196" spans="1:27">
      <c r="A196" s="1451"/>
      <c r="B196" s="591">
        <v>11</v>
      </c>
      <c r="C196" s="582">
        <f>H$56</f>
        <v>60</v>
      </c>
      <c r="D196" s="582">
        <f t="shared" ref="D196:H196" si="197">I$56</f>
        <v>-0.04</v>
      </c>
      <c r="E196" s="582">
        <f t="shared" si="197"/>
        <v>0</v>
      </c>
      <c r="F196" s="582">
        <f t="shared" si="197"/>
        <v>-0.03</v>
      </c>
      <c r="G196" s="582">
        <f t="shared" si="197"/>
        <v>1.4999999999999999E-2</v>
      </c>
      <c r="H196" s="582">
        <f t="shared" si="197"/>
        <v>0.12</v>
      </c>
      <c r="I196" s="589"/>
      <c r="K196" s="625"/>
      <c r="L196" s="626"/>
      <c r="M196" s="549"/>
      <c r="N196" s="549"/>
      <c r="O196" s="549"/>
      <c r="P196" s="549"/>
      <c r="Q196" s="549"/>
      <c r="R196" s="549"/>
      <c r="S196" s="627"/>
    </row>
    <row r="197" spans="1:27">
      <c r="A197" s="1451"/>
      <c r="B197" s="584">
        <v>12</v>
      </c>
      <c r="C197" s="582">
        <f>O$56</f>
        <v>50</v>
      </c>
      <c r="D197" s="582" t="str">
        <f t="shared" ref="D197:H197" si="198">P$56</f>
        <v>-</v>
      </c>
      <c r="E197" s="582" t="str">
        <f t="shared" si="198"/>
        <v>-</v>
      </c>
      <c r="F197" s="582">
        <f t="shared" si="198"/>
        <v>0.02</v>
      </c>
      <c r="G197" s="582">
        <f t="shared" si="198"/>
        <v>3.9999999999999994E-2</v>
      </c>
      <c r="H197" s="582">
        <f t="shared" si="198"/>
        <v>0.12</v>
      </c>
      <c r="I197" s="589"/>
      <c r="K197" s="625"/>
      <c r="L197" s="626"/>
      <c r="M197" s="549"/>
      <c r="N197" s="549"/>
      <c r="O197" s="549"/>
      <c r="P197" s="549"/>
      <c r="Q197" s="549"/>
      <c r="R197" s="549"/>
      <c r="S197" s="627"/>
    </row>
    <row r="198" spans="1:27">
      <c r="A198" s="1451"/>
      <c r="B198" s="584">
        <v>13</v>
      </c>
      <c r="C198" s="582">
        <f>A$71</f>
        <v>50</v>
      </c>
      <c r="D198" s="582" t="str">
        <f t="shared" ref="D198:H198" si="199">B$71</f>
        <v>-</v>
      </c>
      <c r="E198" s="582" t="str">
        <f t="shared" si="199"/>
        <v>-</v>
      </c>
      <c r="F198" s="582">
        <f t="shared" si="199"/>
        <v>0.02</v>
      </c>
      <c r="G198" s="582">
        <f t="shared" si="199"/>
        <v>3.9999999999999994E-2</v>
      </c>
      <c r="H198" s="582">
        <f t="shared" si="199"/>
        <v>0.12</v>
      </c>
      <c r="I198" s="589"/>
      <c r="K198" s="625"/>
      <c r="L198" s="626"/>
      <c r="M198" s="549"/>
      <c r="N198" s="549"/>
      <c r="O198" s="549"/>
      <c r="P198" s="549"/>
      <c r="Q198" s="549"/>
      <c r="R198" s="549"/>
      <c r="S198" s="627"/>
    </row>
    <row r="199" spans="1:27">
      <c r="A199" s="1451"/>
      <c r="B199" s="584">
        <v>14</v>
      </c>
      <c r="C199" s="582">
        <f>H$71</f>
        <v>50</v>
      </c>
      <c r="D199" s="582" t="str">
        <f t="shared" ref="D199:H199" si="200">I$71</f>
        <v>-</v>
      </c>
      <c r="E199" s="582" t="str">
        <f t="shared" si="200"/>
        <v>-</v>
      </c>
      <c r="F199" s="582">
        <f t="shared" si="200"/>
        <v>0.03</v>
      </c>
      <c r="G199" s="582">
        <f t="shared" si="200"/>
        <v>3.9999999999999994E-2</v>
      </c>
      <c r="H199" s="582">
        <f t="shared" si="200"/>
        <v>0.12</v>
      </c>
      <c r="I199" s="589"/>
      <c r="K199" s="625"/>
      <c r="L199" s="626"/>
      <c r="M199" s="549"/>
      <c r="N199" s="549"/>
      <c r="O199" s="549"/>
      <c r="P199" s="549"/>
      <c r="Q199" s="549"/>
      <c r="R199" s="549"/>
      <c r="S199" s="627"/>
    </row>
    <row r="200" spans="1:27">
      <c r="A200" s="1451"/>
      <c r="B200" s="584">
        <v>15</v>
      </c>
      <c r="C200" s="582">
        <f>O$71</f>
        <v>60</v>
      </c>
      <c r="D200" s="582">
        <f t="shared" ref="D200:H200" si="201">P$71</f>
        <v>0.01</v>
      </c>
      <c r="E200" s="582">
        <f t="shared" si="201"/>
        <v>0.04</v>
      </c>
      <c r="F200" s="582">
        <f t="shared" si="201"/>
        <v>9.9999999999999995E-7</v>
      </c>
      <c r="G200" s="582">
        <f t="shared" si="201"/>
        <v>1.99995E-2</v>
      </c>
      <c r="H200" s="582">
        <f t="shared" si="201"/>
        <v>0.12</v>
      </c>
      <c r="I200" s="589"/>
      <c r="K200" s="625"/>
      <c r="L200" s="626"/>
      <c r="M200" s="549"/>
      <c r="N200" s="549"/>
      <c r="O200" s="549"/>
      <c r="P200" s="549"/>
      <c r="Q200" s="549"/>
      <c r="R200" s="549"/>
      <c r="S200" s="627"/>
    </row>
    <row r="201" spans="1:27" ht="13.8" thickBot="1">
      <c r="A201" s="1496"/>
      <c r="B201" s="592">
        <v>16</v>
      </c>
      <c r="C201" s="250">
        <f>A$86</f>
        <v>60</v>
      </c>
      <c r="D201" s="250">
        <f t="shared" ref="D201:H201" si="202">B$86</f>
        <v>0</v>
      </c>
      <c r="E201" s="250">
        <f t="shared" si="202"/>
        <v>0</v>
      </c>
      <c r="F201" s="250">
        <f t="shared" si="202"/>
        <v>-0.01</v>
      </c>
      <c r="G201" s="250">
        <f t="shared" si="202"/>
        <v>5.0000000000000001E-3</v>
      </c>
      <c r="H201" s="250">
        <f t="shared" si="202"/>
        <v>0.12</v>
      </c>
      <c r="I201" s="628"/>
      <c r="K201" s="625"/>
      <c r="L201" s="626"/>
      <c r="M201" s="549"/>
      <c r="N201" s="549"/>
      <c r="O201" s="549"/>
      <c r="P201" s="549"/>
      <c r="Q201" s="549"/>
      <c r="R201" s="549"/>
      <c r="S201" s="627"/>
    </row>
    <row r="202" spans="1:27">
      <c r="A202" s="629"/>
      <c r="B202" s="584">
        <v>17</v>
      </c>
      <c r="C202" s="51">
        <f>H86</f>
        <v>50</v>
      </c>
      <c r="D202" s="51">
        <f t="shared" ref="D202:H202" si="203">I86</f>
        <v>0</v>
      </c>
      <c r="E202" s="51" t="str">
        <f t="shared" si="203"/>
        <v>-</v>
      </c>
      <c r="F202" s="51" t="str">
        <f t="shared" si="203"/>
        <v>-</v>
      </c>
      <c r="G202" s="51">
        <f t="shared" si="203"/>
        <v>3.9999999999999994E-2</v>
      </c>
      <c r="H202" s="51">
        <f t="shared" si="203"/>
        <v>0.12</v>
      </c>
      <c r="I202" s="51"/>
      <c r="K202" s="625"/>
      <c r="L202" s="626"/>
      <c r="M202" s="549"/>
      <c r="N202" s="549"/>
      <c r="O202" s="549"/>
      <c r="P202" s="549"/>
      <c r="Q202" s="549"/>
      <c r="R202" s="549"/>
      <c r="S202" s="627"/>
    </row>
    <row r="203" spans="1:27">
      <c r="A203" s="630"/>
      <c r="B203" s="624"/>
      <c r="C203" s="626"/>
      <c r="D203" s="624"/>
      <c r="E203" s="624"/>
      <c r="F203" s="624"/>
      <c r="G203" s="624"/>
      <c r="H203" s="624"/>
      <c r="I203" s="624"/>
    </row>
    <row r="204" spans="1:27">
      <c r="A204" s="560"/>
      <c r="B204" s="561"/>
      <c r="C204" s="561"/>
      <c r="D204" s="561"/>
      <c r="E204" s="561"/>
      <c r="F204" s="561"/>
      <c r="G204" s="561"/>
      <c r="H204" s="561"/>
      <c r="I204" s="561"/>
      <c r="J204" s="561"/>
      <c r="K204" s="561"/>
      <c r="L204" s="631"/>
      <c r="M204" s="631"/>
      <c r="N204" s="631"/>
      <c r="O204" s="631"/>
      <c r="P204" s="631"/>
      <c r="Q204" s="554"/>
      <c r="R204" s="631"/>
      <c r="S204" s="631"/>
      <c r="T204" s="631"/>
    </row>
    <row r="205" spans="1:27" ht="28.5" customHeight="1">
      <c r="A205" s="632">
        <f>A248</f>
        <v>7</v>
      </c>
      <c r="B205" s="1497" t="str">
        <f>A230</f>
        <v>Stopwatch, Merek : EXTECH, Model : 365535, SN :001382</v>
      </c>
      <c r="C205" s="1498"/>
      <c r="D205" s="1498"/>
      <c r="E205" s="1498"/>
      <c r="F205" s="1499"/>
      <c r="G205" s="633"/>
      <c r="H205" s="634"/>
      <c r="I205" s="634"/>
      <c r="J205" s="1500"/>
      <c r="K205" s="1500"/>
      <c r="L205" s="1500"/>
      <c r="M205" s="1500"/>
      <c r="N205" s="523"/>
      <c r="O205" s="633"/>
      <c r="P205" s="633"/>
      <c r="Q205" s="554"/>
      <c r="R205" s="631"/>
      <c r="S205" s="631"/>
      <c r="T205" s="631"/>
      <c r="AA205" s="635"/>
    </row>
    <row r="206" spans="1:27" ht="13.8">
      <c r="A206" s="636" t="s">
        <v>290</v>
      </c>
      <c r="B206" s="1501" t="s">
        <v>185</v>
      </c>
      <c r="C206" s="1502"/>
      <c r="D206" s="1503"/>
      <c r="E206" s="1504" t="s">
        <v>297</v>
      </c>
      <c r="F206" s="1506" t="s">
        <v>182</v>
      </c>
      <c r="G206" s="1506"/>
      <c r="H206" s="1507" t="s">
        <v>291</v>
      </c>
      <c r="J206" s="1508"/>
      <c r="K206" s="1508"/>
      <c r="L206" s="532"/>
      <c r="M206" s="1479"/>
      <c r="N206" s="523"/>
      <c r="O206" s="523"/>
      <c r="P206" s="523"/>
      <c r="Q206" s="554"/>
      <c r="R206" s="631"/>
      <c r="S206" s="631"/>
      <c r="T206" s="631"/>
    </row>
    <row r="207" spans="1:27" ht="14.4">
      <c r="A207" s="537" t="s">
        <v>174</v>
      </c>
      <c r="B207" s="537">
        <f>VLOOKUP(B205,A231:M246,10,FALSE)</f>
        <v>2023</v>
      </c>
      <c r="C207" s="636">
        <f>VLOOKUP(B205,A231:M246,11,FALSE)</f>
        <v>2022</v>
      </c>
      <c r="D207" s="636">
        <f>VLOOKUP(B205,A231:M246,12,FALSE)</f>
        <v>2021</v>
      </c>
      <c r="E207" s="1505"/>
      <c r="F207" s="637"/>
      <c r="G207" s="638" t="s">
        <v>298</v>
      </c>
      <c r="H207" s="1507"/>
      <c r="J207" s="532"/>
      <c r="K207" s="532"/>
      <c r="L207" s="532"/>
      <c r="M207" s="1479"/>
      <c r="N207" s="523"/>
      <c r="O207" s="523"/>
      <c r="P207" s="523"/>
      <c r="Q207" s="554"/>
      <c r="R207" s="561"/>
      <c r="S207" s="561"/>
      <c r="T207" s="561"/>
    </row>
    <row r="208" spans="1:27">
      <c r="A208" s="619">
        <f>VLOOKUP(A205,B101:H116,2)</f>
        <v>0</v>
      </c>
      <c r="B208" s="619">
        <f>VLOOKUP($A$205,$B$101:$H$116,3,FALSE)</f>
        <v>0</v>
      </c>
      <c r="C208" s="619">
        <f>VLOOKUP($A$205,$B$101:$H$116,4,FALSE)</f>
        <v>0</v>
      </c>
      <c r="D208" s="619">
        <f>VLOOKUP($A$205,B101:H116,5,FALSE)</f>
        <v>9.9999999999999995E-7</v>
      </c>
      <c r="E208" s="246">
        <f>IF(AND(B208="-",C208="-"),D208,IF(B208="-",C208,B208))</f>
        <v>0</v>
      </c>
      <c r="F208" s="639">
        <f>IFERROR(IF(OR(AND(B208="-",C208="-"),AND(B208="-",D208="-")),G208,0.5*(MAX(B208:D208)-MIN(B208:D208))),0)</f>
        <v>4.9999999999999998E-7</v>
      </c>
      <c r="G208" s="246">
        <f>1/3*H208</f>
        <v>0</v>
      </c>
      <c r="H208" s="619">
        <f>VLOOKUP($A$205,B101:H116,7,FALSE)</f>
        <v>0</v>
      </c>
      <c r="J208" s="549"/>
      <c r="K208" s="549"/>
      <c r="L208" s="549"/>
      <c r="M208" s="549"/>
      <c r="N208" s="523"/>
      <c r="O208" s="523"/>
      <c r="P208" s="523"/>
      <c r="Q208" s="554"/>
      <c r="R208" s="561"/>
      <c r="S208" s="561"/>
      <c r="T208" s="561"/>
    </row>
    <row r="209" spans="1:20">
      <c r="A209" s="619">
        <f>VLOOKUP(A205,B118:H133,2)</f>
        <v>10</v>
      </c>
      <c r="B209" s="619">
        <f>VLOOKUP($A$205,$B$118:$H$133,3,FALSE)</f>
        <v>-0.05</v>
      </c>
      <c r="C209" s="619">
        <f>VLOOKUP($A$205,$B$118:$H$133,4,FALSE)</f>
        <v>-0.01</v>
      </c>
      <c r="D209" s="619" t="str">
        <f>VLOOKUP($A$205,B118:H133,5,FALSE)</f>
        <v>-</v>
      </c>
      <c r="E209" s="246">
        <f t="shared" ref="E209:E218" si="204">IF(AND(B209="-",C209="-"),D209,IF(B209="-",C209,B209))</f>
        <v>-0.05</v>
      </c>
      <c r="F209" s="639">
        <f>IFERROR(IF(OR(AND(B209="-",C209="-"),AND(B209="-",D209="-")),G209,0.5*(MAX(B209:D209)-MIN(B209:D209))),0)</f>
        <v>0.02</v>
      </c>
      <c r="G209" s="246">
        <f t="shared" ref="G209:G218" si="205">1/3*H209</f>
        <v>3.9999999999999994E-2</v>
      </c>
      <c r="H209" s="619">
        <f>VLOOKUP($A$205,B118:H133,7,FALSE)</f>
        <v>0.12</v>
      </c>
      <c r="J209" s="549"/>
      <c r="K209" s="549"/>
      <c r="L209" s="549"/>
      <c r="M209" s="549"/>
      <c r="N209" s="523"/>
      <c r="O209" s="523"/>
      <c r="P209" s="523"/>
      <c r="Q209" s="554"/>
      <c r="R209" s="561"/>
      <c r="S209" s="561"/>
      <c r="T209" s="561"/>
    </row>
    <row r="210" spans="1:20">
      <c r="A210" s="619">
        <f>VLOOKUP(A205,B135:H150,2)</f>
        <v>30</v>
      </c>
      <c r="B210" s="619">
        <f>VLOOKUP($A$205,$B$135:$H$150,3,FALSE)</f>
        <v>-0.04</v>
      </c>
      <c r="C210" s="619">
        <f>VLOOKUP($A$205,$B$135:$H$150,4,FALSE)</f>
        <v>0.01</v>
      </c>
      <c r="D210" s="619" t="str">
        <f>VLOOKUP($A$205,B135:H150,5,FALSE)</f>
        <v>-</v>
      </c>
      <c r="E210" s="246">
        <f t="shared" si="204"/>
        <v>-0.04</v>
      </c>
      <c r="F210" s="639">
        <f t="shared" ref="F210:F218" si="206">IFERROR(IF(OR(AND(B210="-",C210="-"),AND(B210="-",D210="-")),G210,0.5*(MAX(B210:D210)-MIN(B210:D210))),0)</f>
        <v>2.5000000000000001E-2</v>
      </c>
      <c r="G210" s="246">
        <f t="shared" si="205"/>
        <v>3.9999999999999994E-2</v>
      </c>
      <c r="H210" s="619">
        <f>VLOOKUP($A$205,B135:H150,7,FALSE)</f>
        <v>0.12</v>
      </c>
      <c r="J210" s="549"/>
      <c r="K210" s="549"/>
      <c r="L210" s="549"/>
      <c r="M210" s="549"/>
      <c r="N210" s="554"/>
      <c r="O210" s="554"/>
      <c r="P210" s="554"/>
      <c r="Q210" s="554"/>
      <c r="R210" s="561"/>
      <c r="S210" s="561"/>
      <c r="T210" s="561"/>
    </row>
    <row r="211" spans="1:20">
      <c r="A211" s="619">
        <f>VLOOKUP(A205,B152:H167,2)</f>
        <v>60</v>
      </c>
      <c r="B211" s="619">
        <f>VLOOKUP($A$205,$B$152:$H$167,3,FALSE)</f>
        <v>-0.05</v>
      </c>
      <c r="C211" s="619">
        <f>VLOOKUP($A$205,$B$152:$H$167,4,FALSE)</f>
        <v>-0.02</v>
      </c>
      <c r="D211" s="619">
        <f>VLOOKUP($A$205,B152:H167,5,FALSE)</f>
        <v>0.03</v>
      </c>
      <c r="E211" s="246">
        <f t="shared" si="204"/>
        <v>-0.05</v>
      </c>
      <c r="F211" s="639">
        <f t="shared" si="206"/>
        <v>0.04</v>
      </c>
      <c r="G211" s="246">
        <f t="shared" si="205"/>
        <v>3.9999999999999994E-2</v>
      </c>
      <c r="H211" s="619">
        <f>VLOOKUP($A$205,B152:H167,7,FALSE)</f>
        <v>0.12</v>
      </c>
      <c r="J211" s="549"/>
      <c r="K211" s="549"/>
      <c r="L211" s="549"/>
      <c r="M211" s="549"/>
      <c r="N211" s="554"/>
      <c r="O211" s="554"/>
      <c r="P211" s="554"/>
      <c r="Q211" s="554"/>
      <c r="R211" s="561"/>
      <c r="S211" s="561"/>
      <c r="T211" s="561"/>
    </row>
    <row r="212" spans="1:20">
      <c r="A212" s="619">
        <f>VLOOKUP(A205,B169:H184,2)</f>
        <v>60</v>
      </c>
      <c r="B212" s="619">
        <f>VLOOKUP($A$205,$B$169:$H$184,3,FALSE)</f>
        <v>-0.05</v>
      </c>
      <c r="C212" s="619">
        <f>VLOOKUP($A$205,$B$169:$H$184,4,FALSE)</f>
        <v>-0.02</v>
      </c>
      <c r="D212" s="619">
        <f>VLOOKUP($A$205,B169:H184,5,FALSE)</f>
        <v>0.03</v>
      </c>
      <c r="E212" s="246">
        <f>IF(AND(B212="-",C212="-"),D212,IF(B212="-",C212,B212))</f>
        <v>-0.05</v>
      </c>
      <c r="F212" s="639">
        <f t="shared" si="206"/>
        <v>0.04</v>
      </c>
      <c r="G212" s="246">
        <f t="shared" si="205"/>
        <v>3.9999999999999994E-2</v>
      </c>
      <c r="H212" s="619">
        <f>VLOOKUP($A$205,B169:H184,7,FALSE)</f>
        <v>0.12</v>
      </c>
      <c r="J212" s="549"/>
      <c r="K212" s="549"/>
      <c r="L212" s="549"/>
      <c r="M212" s="549"/>
      <c r="N212" s="554"/>
      <c r="O212" s="554"/>
      <c r="P212" s="554"/>
      <c r="Q212" s="554"/>
      <c r="R212" s="561"/>
      <c r="S212" s="561"/>
      <c r="T212" s="561"/>
    </row>
    <row r="213" spans="1:20">
      <c r="A213" s="619">
        <f>VLOOKUP(A205,B186:H201,2)</f>
        <v>60</v>
      </c>
      <c r="B213" s="619">
        <f>VLOOKUP($A$205,$B$186:$H$201,3,FALSE)</f>
        <v>-0.05</v>
      </c>
      <c r="C213" s="619">
        <f>VLOOKUP($A$205,$B$186:$H$201,4,FALSE)</f>
        <v>-0.02</v>
      </c>
      <c r="D213" s="619">
        <f>VLOOKUP($A$205,B186:H201,5,FALSE)</f>
        <v>0.03</v>
      </c>
      <c r="E213" s="246">
        <f t="shared" si="204"/>
        <v>-0.05</v>
      </c>
      <c r="F213" s="639">
        <f t="shared" si="206"/>
        <v>0.04</v>
      </c>
      <c r="G213" s="246">
        <f t="shared" si="205"/>
        <v>3.9999999999999994E-2</v>
      </c>
      <c r="H213" s="619">
        <f>VLOOKUP($A$205,B186:H201,7,FALSE)</f>
        <v>0.12</v>
      </c>
      <c r="J213" s="549"/>
      <c r="K213" s="549"/>
      <c r="L213" s="549"/>
      <c r="M213" s="549"/>
      <c r="N213" s="554"/>
      <c r="O213" s="554"/>
      <c r="P213" s="554"/>
      <c r="Q213" s="554"/>
      <c r="R213" s="561"/>
      <c r="S213" s="561"/>
      <c r="T213" s="561"/>
    </row>
    <row r="214" spans="1:20">
      <c r="A214" s="619">
        <f>VLOOKUP(A205,L101:R116,2)</f>
        <v>60</v>
      </c>
      <c r="B214" s="619">
        <f>VLOOKUP($A$205,$L$101:$R$116,3,FALSE)</f>
        <v>-0.05</v>
      </c>
      <c r="C214" s="619">
        <f>VLOOKUP($A$205,$L$101:$R$116,4,FALSE)</f>
        <v>-0.02</v>
      </c>
      <c r="D214" s="619">
        <f>VLOOKUP($A$205,L101:R116,5,FALSE)</f>
        <v>0.03</v>
      </c>
      <c r="E214" s="246">
        <f t="shared" si="204"/>
        <v>-0.05</v>
      </c>
      <c r="F214" s="639">
        <f t="shared" si="206"/>
        <v>0.04</v>
      </c>
      <c r="G214" s="246">
        <f t="shared" si="205"/>
        <v>3.9999999999999994E-2</v>
      </c>
      <c r="H214" s="619">
        <f>VLOOKUP($A$205,L101:R116,7,FALSE)</f>
        <v>0.12</v>
      </c>
      <c r="J214" s="549"/>
      <c r="K214" s="549"/>
      <c r="L214" s="549"/>
      <c r="M214" s="549"/>
      <c r="N214" s="554"/>
      <c r="O214" s="554"/>
      <c r="P214" s="554"/>
      <c r="Q214" s="554"/>
      <c r="R214" s="561"/>
      <c r="S214" s="561"/>
      <c r="T214" s="561"/>
    </row>
    <row r="215" spans="1:20">
      <c r="A215" s="619">
        <f>VLOOKUP(A205,L118:R133,2)</f>
        <v>300</v>
      </c>
      <c r="B215" s="619">
        <f>VLOOKUP($A$205,$L$118:$R$133,3,FALSE)</f>
        <v>-0.06</v>
      </c>
      <c r="C215" s="619">
        <f>VLOOKUP($A$205,$L$118:$R$133,4,FALSE)</f>
        <v>-0.01</v>
      </c>
      <c r="D215" s="619">
        <f>VLOOKUP($A$205,L118:R133,5,FALSE)</f>
        <v>0.02</v>
      </c>
      <c r="E215" s="246">
        <f t="shared" si="204"/>
        <v>-0.06</v>
      </c>
      <c r="F215" s="639">
        <f t="shared" si="206"/>
        <v>0.04</v>
      </c>
      <c r="G215" s="246">
        <f t="shared" si="205"/>
        <v>3.9999999999999994E-2</v>
      </c>
      <c r="H215" s="619">
        <f>VLOOKUP($A$205,L118:R133,7,FALSE)</f>
        <v>0.12</v>
      </c>
      <c r="J215" s="549"/>
      <c r="K215" s="549"/>
      <c r="L215" s="549"/>
      <c r="M215" s="549"/>
      <c r="N215" s="554"/>
      <c r="O215" s="554"/>
      <c r="P215" s="554"/>
      <c r="Q215" s="554"/>
      <c r="R215" s="561"/>
      <c r="S215" s="561"/>
      <c r="T215" s="561"/>
    </row>
    <row r="216" spans="1:20">
      <c r="A216" s="619">
        <f>VLOOKUP(A205,L135:R150,2)</f>
        <v>600</v>
      </c>
      <c r="B216" s="619">
        <f>VLOOKUP($A$205,$L$135:$R$150,3,FALSE)</f>
        <v>-0.05</v>
      </c>
      <c r="C216" s="619">
        <f>VLOOKUP($A$205,$L$135:$R$150,4,FALSE)</f>
        <v>-0.03</v>
      </c>
      <c r="D216" s="619">
        <f>VLOOKUP($A$205,L135:R150,5,FALSE)</f>
        <v>0.04</v>
      </c>
      <c r="E216" s="246">
        <f t="shared" si="204"/>
        <v>-0.05</v>
      </c>
      <c r="F216" s="639">
        <f t="shared" si="206"/>
        <v>4.4999999999999998E-2</v>
      </c>
      <c r="G216" s="246">
        <f t="shared" si="205"/>
        <v>3.9999999999999994E-2</v>
      </c>
      <c r="H216" s="619">
        <f>VLOOKUP($A$205,L135:R150,7,FALSE)</f>
        <v>0.12</v>
      </c>
      <c r="J216" s="549"/>
      <c r="K216" s="549"/>
      <c r="L216" s="549"/>
      <c r="M216" s="549"/>
      <c r="N216" s="554"/>
      <c r="O216" s="554"/>
      <c r="P216" s="554"/>
      <c r="Q216" s="554"/>
      <c r="R216" s="561"/>
      <c r="S216" s="561"/>
      <c r="T216" s="561"/>
    </row>
    <row r="217" spans="1:20">
      <c r="A217" s="619">
        <f>VLOOKUP(A205,L152:R167,2)</f>
        <v>900</v>
      </c>
      <c r="B217" s="619">
        <f>VLOOKUP($A$205,$L$152:$R$167,3,FALSE)</f>
        <v>-0.05</v>
      </c>
      <c r="C217" s="619">
        <f>VLOOKUP($A$205,$L$152:$R$167,4,FALSE)</f>
        <v>-0.02</v>
      </c>
      <c r="D217" s="619">
        <f>VLOOKUP($A$205,L152:R167,5,FALSE)</f>
        <v>0.02</v>
      </c>
      <c r="E217" s="246">
        <f t="shared" si="204"/>
        <v>-0.05</v>
      </c>
      <c r="F217" s="639">
        <f>IFERROR(IF(OR(AND(B217="-",C217="-"),AND(B217="-",D217="-")),G217,0.5*(MAX(B217:D217)-MIN(B217:D217))),0)</f>
        <v>3.5000000000000003E-2</v>
      </c>
      <c r="G217" s="246">
        <f t="shared" si="205"/>
        <v>3.9999999999999994E-2</v>
      </c>
      <c r="H217" s="619">
        <f>VLOOKUP($A$205,L152:R167,7,FALSE)</f>
        <v>0.12</v>
      </c>
      <c r="J217" s="549"/>
      <c r="K217" s="549"/>
      <c r="L217" s="549"/>
      <c r="M217" s="549"/>
      <c r="N217" s="554"/>
      <c r="O217" s="554"/>
      <c r="P217" s="554"/>
      <c r="Q217" s="554"/>
      <c r="R217" s="561"/>
      <c r="S217" s="561"/>
      <c r="T217" s="561"/>
    </row>
    <row r="218" spans="1:20">
      <c r="A218" s="619">
        <f>VLOOKUP(A205,L169:R184,2)</f>
        <v>1200</v>
      </c>
      <c r="B218" s="619" t="str">
        <f>VLOOKUP($A$205,$L$169:$R$184,3,FALSE)</f>
        <v>-</v>
      </c>
      <c r="C218" s="619" t="str">
        <f>VLOOKUP($A$205,$L$169:$R$184,4,FALSE)</f>
        <v>-</v>
      </c>
      <c r="D218" s="619" t="str">
        <f>VLOOKUP($A$205,L169:R184,4,FALSE)</f>
        <v>-</v>
      </c>
      <c r="E218" s="246" t="str">
        <f t="shared" si="204"/>
        <v>-</v>
      </c>
      <c r="F218" s="639">
        <f t="shared" si="206"/>
        <v>3.9999999999999994E-2</v>
      </c>
      <c r="G218" s="246">
        <f t="shared" si="205"/>
        <v>3.9999999999999994E-2</v>
      </c>
      <c r="H218" s="619">
        <f>VLOOKUP($A$205,L169:R184,7,FALSE)</f>
        <v>0.12</v>
      </c>
      <c r="J218" s="549"/>
      <c r="K218" s="549"/>
      <c r="L218" s="549"/>
      <c r="M218" s="549"/>
      <c r="N218" s="554"/>
      <c r="O218" s="554"/>
      <c r="P218" s="554"/>
      <c r="Q218" s="554"/>
      <c r="R218" s="561"/>
      <c r="S218" s="561"/>
      <c r="T218" s="561"/>
    </row>
    <row r="219" spans="1:20" ht="13.8" thickBot="1">
      <c r="A219" s="630"/>
      <c r="B219" s="624"/>
      <c r="C219" s="624"/>
      <c r="D219" s="624"/>
      <c r="E219" s="624"/>
      <c r="F219" s="624"/>
      <c r="G219" s="523"/>
      <c r="H219" s="549"/>
      <c r="I219" s="549"/>
      <c r="J219" s="549"/>
      <c r="K219" s="549"/>
      <c r="L219" s="549"/>
      <c r="M219" s="549"/>
      <c r="N219" s="554"/>
      <c r="O219" s="554"/>
      <c r="P219" s="554"/>
      <c r="Q219" s="554"/>
      <c r="R219" s="561"/>
      <c r="S219" s="561"/>
      <c r="T219" s="561"/>
    </row>
    <row r="220" spans="1:20" ht="15.6">
      <c r="A220" s="1480"/>
      <c r="B220" s="1481"/>
      <c r="C220" s="1482"/>
      <c r="D220" s="1482"/>
      <c r="E220" s="1483"/>
      <c r="F220" s="640"/>
      <c r="G220" s="1484"/>
      <c r="H220" s="1485"/>
      <c r="I220" s="1485"/>
      <c r="J220" s="1485"/>
      <c r="K220" s="1486"/>
      <c r="L220" s="554"/>
      <c r="M220" s="631"/>
      <c r="N220" s="641"/>
      <c r="O220" s="641"/>
      <c r="P220" s="641"/>
      <c r="Q220" s="641"/>
      <c r="S220" s="561"/>
      <c r="T220" s="561"/>
    </row>
    <row r="221" spans="1:20">
      <c r="A221" s="642"/>
      <c r="B221" s="643"/>
      <c r="C221" s="644"/>
      <c r="D221" s="644"/>
      <c r="E221" s="645"/>
      <c r="F221" s="554"/>
      <c r="G221" s="642"/>
      <c r="H221" s="644"/>
      <c r="I221" s="644"/>
      <c r="J221" s="644"/>
      <c r="K221" s="645"/>
      <c r="L221" s="554"/>
      <c r="M221" s="631"/>
      <c r="N221" s="641"/>
      <c r="O221" s="641"/>
      <c r="P221" s="641"/>
    </row>
    <row r="222" spans="1:20">
      <c r="A222" s="642"/>
      <c r="B222" s="643"/>
      <c r="C222" s="644"/>
      <c r="D222" s="644"/>
      <c r="E222" s="645"/>
      <c r="F222" s="554"/>
      <c r="G222" s="642"/>
      <c r="H222" s="644"/>
      <c r="I222" s="644"/>
      <c r="J222" s="644"/>
      <c r="K222" s="645"/>
      <c r="L222" s="554"/>
      <c r="M222" s="631"/>
      <c r="N222" s="641"/>
      <c r="O222" s="641"/>
      <c r="P222" s="641"/>
    </row>
    <row r="223" spans="1:20" ht="13.8" thickBot="1">
      <c r="A223" s="646"/>
      <c r="B223" s="647"/>
      <c r="C223" s="648"/>
      <c r="D223" s="648"/>
      <c r="E223" s="649"/>
      <c r="F223" s="554"/>
      <c r="G223" s="646"/>
      <c r="H223" s="648"/>
      <c r="I223" s="648"/>
      <c r="J223" s="648"/>
      <c r="K223" s="649"/>
      <c r="L223" s="554"/>
      <c r="M223" s="631"/>
      <c r="N223" s="641"/>
      <c r="O223" s="641"/>
      <c r="P223" s="641"/>
      <c r="Q223" s="641"/>
      <c r="S223" s="561"/>
      <c r="T223" s="561"/>
    </row>
    <row r="224" spans="1:20">
      <c r="A224" s="650"/>
      <c r="B224" s="631"/>
      <c r="C224" s="641"/>
      <c r="D224" s="641"/>
      <c r="E224" s="641"/>
      <c r="F224" s="554"/>
      <c r="G224" s="631"/>
      <c r="H224" s="641"/>
      <c r="I224" s="641"/>
      <c r="J224" s="641"/>
      <c r="K224" s="641"/>
      <c r="L224" s="554"/>
      <c r="M224" s="631"/>
      <c r="N224" s="641"/>
      <c r="O224" s="641"/>
      <c r="P224" s="641"/>
      <c r="Q224" s="641"/>
      <c r="S224" s="561"/>
      <c r="T224" s="561"/>
    </row>
    <row r="225" spans="1:27" ht="13.8" thickBot="1">
      <c r="A225" s="640"/>
      <c r="B225" s="554"/>
      <c r="C225" s="554"/>
      <c r="D225" s="554"/>
      <c r="E225" s="554"/>
      <c r="F225" s="554"/>
      <c r="G225" s="554"/>
      <c r="H225" s="554"/>
      <c r="I225" s="554"/>
      <c r="J225" s="554"/>
      <c r="K225" s="554"/>
      <c r="L225" s="554"/>
      <c r="S225" s="561"/>
      <c r="T225" s="561"/>
    </row>
    <row r="226" spans="1:27" ht="48.75" customHeight="1" thickBot="1">
      <c r="A226" s="651" t="s">
        <v>48</v>
      </c>
      <c r="B226" s="652" t="s">
        <v>299</v>
      </c>
      <c r="C226" s="653" t="s">
        <v>300</v>
      </c>
      <c r="D226" s="652" t="s">
        <v>98</v>
      </c>
      <c r="E226" s="652" t="s">
        <v>99</v>
      </c>
      <c r="F226" s="652" t="s">
        <v>301</v>
      </c>
      <c r="G226" s="652" t="s">
        <v>206</v>
      </c>
      <c r="H226" s="652" t="s">
        <v>205</v>
      </c>
      <c r="I226" s="654" t="s">
        <v>302</v>
      </c>
      <c r="J226" s="653" t="s">
        <v>303</v>
      </c>
      <c r="K226" s="653" t="s">
        <v>304</v>
      </c>
      <c r="L226" s="655" t="s">
        <v>305</v>
      </c>
    </row>
    <row r="227" spans="1:27" ht="13.8" thickBot="1">
      <c r="A227" s="656">
        <f>ID!C52</f>
        <v>300</v>
      </c>
      <c r="B227" s="657">
        <f>ID!J52</f>
        <v>300</v>
      </c>
      <c r="C227" s="965">
        <f>FORECAST(B227,$E$208:$E$218,$A$208:$A$218)</f>
        <v>-4.6430063125919602E-2</v>
      </c>
      <c r="D227" s="658">
        <f>B227+C227</f>
        <v>299.95356993687409</v>
      </c>
      <c r="E227" s="657">
        <f>[2]ID!L45</f>
        <v>0</v>
      </c>
      <c r="F227" s="658">
        <f>A227-D227</f>
        <v>4.6430063125910692E-2</v>
      </c>
      <c r="G227" s="658">
        <f>(F227/A227)*100</f>
        <v>1.5476687708636897E-2</v>
      </c>
      <c r="H227" s="659">
        <f>D227-A227</f>
        <v>-4.6430063125910692E-2</v>
      </c>
      <c r="I227" s="660">
        <f>(D227-A227)/A227*100</f>
        <v>-1.5476687708636897E-2</v>
      </c>
      <c r="J227" s="661">
        <f>FORECAST(D227,$H$208:$H$218,$A$208:$A$218)</f>
        <v>0.10912739914850893</v>
      </c>
      <c r="K227" s="661">
        <f>0.5*0.1</f>
        <v>0.05</v>
      </c>
      <c r="L227" s="662">
        <f>FORECAST(D227,$F$208:$F$218,$A$208:$A$218)</f>
        <v>3.3202477214777315E-2</v>
      </c>
    </row>
    <row r="228" spans="1:27">
      <c r="M228" s="523"/>
      <c r="N228" s="523"/>
      <c r="O228" s="523"/>
      <c r="P228" s="523"/>
      <c r="Q228" s="523"/>
    </row>
    <row r="229" spans="1:27" ht="13.8" thickBot="1"/>
    <row r="230" spans="1:27" ht="15" thickBot="1">
      <c r="A230" s="663" t="str">
        <f>ID!B66</f>
        <v>Stopwatch, Merek : EXTECH, Model : 365535, SN :001382</v>
      </c>
      <c r="B230" s="664"/>
      <c r="C230" s="664"/>
      <c r="D230" s="664"/>
      <c r="E230" s="664"/>
      <c r="F230" s="664"/>
      <c r="G230" s="664"/>
      <c r="H230" s="664"/>
      <c r="I230" s="664"/>
      <c r="J230" s="1487" t="s">
        <v>306</v>
      </c>
      <c r="K230" s="1488"/>
      <c r="L230" s="1489"/>
      <c r="M230" s="665"/>
      <c r="O230" s="666">
        <f>A248</f>
        <v>7</v>
      </c>
      <c r="P230" s="666"/>
      <c r="Q230" s="666"/>
      <c r="R230" s="666"/>
      <c r="S230" s="666"/>
      <c r="T230" s="666"/>
      <c r="U230" s="666"/>
      <c r="V230" s="666"/>
      <c r="W230" s="666"/>
      <c r="X230" s="666"/>
      <c r="Y230" s="666"/>
      <c r="Z230" s="666"/>
      <c r="AA230" s="666"/>
    </row>
    <row r="231" spans="1:27" ht="13.8">
      <c r="A231" s="667" t="s">
        <v>307</v>
      </c>
      <c r="B231" s="667"/>
      <c r="C231" s="668"/>
      <c r="D231" s="668"/>
      <c r="E231" s="668"/>
      <c r="F231" s="668"/>
      <c r="G231" s="668"/>
      <c r="H231" s="668"/>
      <c r="I231" s="668"/>
      <c r="J231" s="669">
        <f>B4</f>
        <v>2023</v>
      </c>
      <c r="K231" s="669">
        <f>C4</f>
        <v>2022</v>
      </c>
      <c r="L231" s="669">
        <f>D4</f>
        <v>2021</v>
      </c>
      <c r="M231" s="670">
        <v>1</v>
      </c>
      <c r="O231" s="671">
        <v>1</v>
      </c>
      <c r="P231" s="672"/>
      <c r="Q231" s="980" t="s">
        <v>404</v>
      </c>
      <c r="R231" s="673"/>
      <c r="S231" s="673"/>
      <c r="T231" s="673"/>
      <c r="U231" s="673"/>
      <c r="V231" s="673"/>
      <c r="W231" s="673"/>
      <c r="X231" s="673"/>
      <c r="Y231" s="673"/>
      <c r="Z231" s="673"/>
      <c r="AA231" s="674"/>
    </row>
    <row r="232" spans="1:27" ht="13.8">
      <c r="A232" s="667" t="s">
        <v>308</v>
      </c>
      <c r="B232" s="667"/>
      <c r="C232" s="675"/>
      <c r="D232" s="675"/>
      <c r="E232" s="675"/>
      <c r="F232" s="675"/>
      <c r="G232" s="675"/>
      <c r="H232" s="675"/>
      <c r="I232" s="675"/>
      <c r="J232" s="676">
        <f>I4</f>
        <v>2023</v>
      </c>
      <c r="K232" s="676">
        <f>J4</f>
        <v>2022</v>
      </c>
      <c r="L232" s="676">
        <f>K4</f>
        <v>2021</v>
      </c>
      <c r="M232" s="677">
        <v>2</v>
      </c>
      <c r="O232" s="671">
        <v>2</v>
      </c>
      <c r="P232" s="672"/>
      <c r="Q232" s="980" t="s">
        <v>404</v>
      </c>
      <c r="R232" s="673"/>
      <c r="S232" s="673"/>
      <c r="T232" s="673"/>
      <c r="U232" s="673"/>
      <c r="V232" s="673"/>
      <c r="W232" s="673"/>
      <c r="X232" s="673"/>
      <c r="Y232" s="673"/>
      <c r="Z232" s="673"/>
      <c r="AA232" s="674"/>
    </row>
    <row r="233" spans="1:27" ht="13.8">
      <c r="A233" s="667" t="s">
        <v>309</v>
      </c>
      <c r="B233" s="667"/>
      <c r="C233" s="678"/>
      <c r="D233" s="678"/>
      <c r="E233" s="678"/>
      <c r="F233" s="678"/>
      <c r="G233" s="678"/>
      <c r="H233" s="678"/>
      <c r="I233" s="678"/>
      <c r="J233" s="676">
        <f>P4</f>
        <v>2023</v>
      </c>
      <c r="K233" s="676">
        <f>Q4</f>
        <v>2022</v>
      </c>
      <c r="L233" s="676">
        <f>R4</f>
        <v>2019</v>
      </c>
      <c r="M233" s="670">
        <v>3</v>
      </c>
      <c r="O233" s="671">
        <v>3</v>
      </c>
      <c r="P233" s="672"/>
      <c r="Q233" s="980" t="s">
        <v>404</v>
      </c>
      <c r="R233" s="673"/>
      <c r="S233" s="673"/>
      <c r="T233" s="673"/>
      <c r="U233" s="673"/>
      <c r="V233" s="673"/>
      <c r="W233" s="673"/>
      <c r="X233" s="673"/>
      <c r="Y233" s="673"/>
      <c r="Z233" s="673"/>
      <c r="AA233" s="674"/>
    </row>
    <row r="234" spans="1:27" ht="13.8">
      <c r="A234" s="666" t="s">
        <v>310</v>
      </c>
      <c r="B234" s="666"/>
      <c r="C234" s="678"/>
      <c r="D234" s="678"/>
      <c r="E234" s="678"/>
      <c r="F234" s="678"/>
      <c r="G234" s="678"/>
      <c r="H234" s="678"/>
      <c r="I234" s="678"/>
      <c r="J234" s="676">
        <f>B19</f>
        <v>2022</v>
      </c>
      <c r="K234" s="676">
        <f>C19</f>
        <v>2021</v>
      </c>
      <c r="L234" s="676">
        <f>D19</f>
        <v>2019</v>
      </c>
      <c r="M234" s="677">
        <v>4</v>
      </c>
      <c r="O234" s="671">
        <v>4</v>
      </c>
      <c r="P234" s="672"/>
      <c r="Q234" s="980" t="s">
        <v>404</v>
      </c>
      <c r="R234" s="673"/>
      <c r="S234" s="673"/>
      <c r="T234" s="673"/>
      <c r="U234" s="673"/>
      <c r="V234" s="673"/>
      <c r="W234" s="673"/>
      <c r="X234" s="673"/>
      <c r="Y234" s="673"/>
      <c r="Z234" s="673"/>
      <c r="AA234" s="674"/>
    </row>
    <row r="235" spans="1:27" ht="13.8">
      <c r="A235" s="666" t="s">
        <v>311</v>
      </c>
      <c r="B235" s="666"/>
      <c r="C235" s="678"/>
      <c r="D235" s="678"/>
      <c r="E235" s="678"/>
      <c r="F235" s="678"/>
      <c r="G235" s="678"/>
      <c r="H235" s="678"/>
      <c r="I235" s="678"/>
      <c r="J235" s="676">
        <f>I19</f>
        <v>2023</v>
      </c>
      <c r="K235" s="676">
        <f>J19</f>
        <v>2022</v>
      </c>
      <c r="L235" s="676">
        <f>K19</f>
        <v>2021</v>
      </c>
      <c r="M235" s="670">
        <v>5</v>
      </c>
      <c r="O235" s="671">
        <v>5</v>
      </c>
      <c r="P235" s="672"/>
      <c r="Q235" s="980" t="s">
        <v>404</v>
      </c>
      <c r="R235" s="673"/>
      <c r="S235" s="673"/>
      <c r="T235" s="673"/>
      <c r="U235" s="673"/>
      <c r="V235" s="673"/>
      <c r="W235" s="673"/>
      <c r="X235" s="673"/>
      <c r="Y235" s="673"/>
      <c r="Z235" s="673"/>
      <c r="AA235" s="674"/>
    </row>
    <row r="236" spans="1:27" ht="13.8">
      <c r="A236" s="666" t="s">
        <v>312</v>
      </c>
      <c r="B236" s="666"/>
      <c r="C236" s="678"/>
      <c r="D236" s="678"/>
      <c r="E236" s="678"/>
      <c r="F236" s="678"/>
      <c r="G236" s="678"/>
      <c r="H236" s="678"/>
      <c r="I236" s="678"/>
      <c r="J236" s="676">
        <f>P19</f>
        <v>2023</v>
      </c>
      <c r="K236" s="676">
        <f>Q19</f>
        <v>2022</v>
      </c>
      <c r="L236" s="676">
        <f>R19</f>
        <v>2021</v>
      </c>
      <c r="M236" s="677">
        <v>6</v>
      </c>
      <c r="O236" s="671">
        <v>6</v>
      </c>
      <c r="P236" s="672"/>
      <c r="Q236" s="980" t="s">
        <v>404</v>
      </c>
      <c r="R236" s="673"/>
      <c r="S236" s="673"/>
      <c r="T236" s="673"/>
      <c r="U236" s="673"/>
      <c r="V236" s="673"/>
      <c r="W236" s="673"/>
      <c r="X236" s="673"/>
      <c r="Y236" s="673"/>
      <c r="Z236" s="673"/>
      <c r="AA236" s="674"/>
    </row>
    <row r="237" spans="1:27" ht="13.8">
      <c r="A237" s="666" t="s">
        <v>313</v>
      </c>
      <c r="B237" s="666"/>
      <c r="C237" s="678"/>
      <c r="D237" s="678"/>
      <c r="E237" s="678"/>
      <c r="F237" s="678"/>
      <c r="G237" s="678"/>
      <c r="H237" s="678"/>
      <c r="I237" s="678"/>
      <c r="J237" s="676">
        <f>B35</f>
        <v>2023</v>
      </c>
      <c r="K237" s="676">
        <f>C35</f>
        <v>2022</v>
      </c>
      <c r="L237" s="676">
        <f>D35</f>
        <v>2021</v>
      </c>
      <c r="M237" s="670">
        <v>7</v>
      </c>
      <c r="O237" s="671">
        <v>7</v>
      </c>
      <c r="P237" s="672"/>
      <c r="Q237" s="980" t="s">
        <v>404</v>
      </c>
      <c r="R237" s="673"/>
      <c r="S237" s="673"/>
      <c r="T237" s="673"/>
      <c r="U237" s="673"/>
      <c r="V237" s="673"/>
      <c r="W237" s="673"/>
      <c r="X237" s="673"/>
      <c r="Y237" s="673"/>
      <c r="Z237" s="673"/>
      <c r="AA237" s="674"/>
    </row>
    <row r="238" spans="1:27" ht="13.8">
      <c r="A238" s="666" t="s">
        <v>314</v>
      </c>
      <c r="B238" s="666"/>
      <c r="C238" s="678"/>
      <c r="D238" s="678"/>
      <c r="E238" s="678"/>
      <c r="F238" s="678"/>
      <c r="G238" s="678"/>
      <c r="H238" s="678"/>
      <c r="I238" s="678"/>
      <c r="J238" s="676">
        <f>I35</f>
        <v>2023</v>
      </c>
      <c r="K238" s="676">
        <f>J35</f>
        <v>2022</v>
      </c>
      <c r="L238" s="676">
        <f>K35</f>
        <v>2020</v>
      </c>
      <c r="M238" s="677">
        <v>8</v>
      </c>
      <c r="O238" s="671">
        <v>8</v>
      </c>
      <c r="P238" s="672"/>
      <c r="Q238" s="980" t="s">
        <v>404</v>
      </c>
      <c r="R238" s="673"/>
      <c r="S238" s="673"/>
      <c r="T238" s="673"/>
      <c r="U238" s="673"/>
      <c r="V238" s="673"/>
      <c r="W238" s="673"/>
      <c r="X238" s="673"/>
      <c r="Y238" s="673"/>
      <c r="Z238" s="673"/>
      <c r="AA238" s="674"/>
    </row>
    <row r="239" spans="1:27" ht="13.8">
      <c r="A239" s="666" t="s">
        <v>315</v>
      </c>
      <c r="B239" s="666"/>
      <c r="C239" s="678"/>
      <c r="D239" s="678"/>
      <c r="E239" s="678"/>
      <c r="F239" s="678"/>
      <c r="G239" s="678"/>
      <c r="H239" s="678"/>
      <c r="I239" s="678"/>
      <c r="J239" s="676">
        <f>P35</f>
        <v>2022</v>
      </c>
      <c r="K239" s="676">
        <f>Q35</f>
        <v>2021</v>
      </c>
      <c r="L239" s="676">
        <f>R35</f>
        <v>2020</v>
      </c>
      <c r="M239" s="670">
        <v>9</v>
      </c>
      <c r="O239" s="671">
        <v>9</v>
      </c>
      <c r="P239" s="672"/>
      <c r="Q239" s="980" t="s">
        <v>404</v>
      </c>
      <c r="R239" s="673"/>
      <c r="S239" s="673"/>
      <c r="T239" s="673"/>
      <c r="U239" s="673"/>
      <c r="V239" s="673"/>
      <c r="W239" s="673"/>
      <c r="X239" s="673"/>
      <c r="Y239" s="673"/>
      <c r="Z239" s="673"/>
      <c r="AA239" s="674"/>
    </row>
    <row r="240" spans="1:27" ht="13.8">
      <c r="A240" s="666" t="s">
        <v>316</v>
      </c>
      <c r="B240" s="666"/>
      <c r="C240" s="678"/>
      <c r="D240" s="678"/>
      <c r="E240" s="678"/>
      <c r="F240" s="678"/>
      <c r="G240" s="678"/>
      <c r="H240" s="678"/>
      <c r="I240" s="678"/>
      <c r="J240" s="676">
        <f>B50</f>
        <v>2023</v>
      </c>
      <c r="K240" s="676">
        <f>C50</f>
        <v>2022</v>
      </c>
      <c r="L240" s="676">
        <f>D50</f>
        <v>2021</v>
      </c>
      <c r="M240" s="677">
        <v>10</v>
      </c>
      <c r="O240" s="671">
        <v>10</v>
      </c>
      <c r="P240" s="672"/>
      <c r="Q240" s="980" t="s">
        <v>404</v>
      </c>
      <c r="R240" s="673"/>
      <c r="S240" s="673"/>
      <c r="T240" s="673"/>
      <c r="U240" s="673"/>
      <c r="V240" s="673"/>
      <c r="W240" s="673"/>
      <c r="X240" s="673"/>
      <c r="Y240" s="673"/>
      <c r="Z240" s="673"/>
      <c r="AA240" s="674"/>
    </row>
    <row r="241" spans="1:27" ht="13.8">
      <c r="A241" s="666" t="s">
        <v>317</v>
      </c>
      <c r="B241" s="666"/>
      <c r="C241" s="678"/>
      <c r="D241" s="678"/>
      <c r="E241" s="678"/>
      <c r="F241" s="678"/>
      <c r="G241" s="678"/>
      <c r="H241" s="678"/>
      <c r="I241" s="678"/>
      <c r="J241" s="676">
        <f>I50</f>
        <v>2023</v>
      </c>
      <c r="K241" s="676">
        <f>J50</f>
        <v>2022</v>
      </c>
      <c r="L241" s="676">
        <f>K50</f>
        <v>2021</v>
      </c>
      <c r="M241" s="670">
        <v>11</v>
      </c>
      <c r="O241" s="671">
        <v>11</v>
      </c>
      <c r="P241" s="672"/>
      <c r="Q241" s="980" t="s">
        <v>404</v>
      </c>
      <c r="R241" s="673"/>
      <c r="S241" s="673"/>
      <c r="T241" s="673"/>
      <c r="U241" s="673"/>
      <c r="V241" s="673"/>
      <c r="W241" s="673"/>
      <c r="X241" s="673"/>
      <c r="Y241" s="673"/>
      <c r="Z241" s="673"/>
      <c r="AA241" s="674"/>
    </row>
    <row r="242" spans="1:27" ht="13.8">
      <c r="A242" s="666" t="s">
        <v>318</v>
      </c>
      <c r="B242" s="666"/>
      <c r="C242" s="678"/>
      <c r="D242" s="678"/>
      <c r="E242" s="678"/>
      <c r="F242" s="678"/>
      <c r="G242" s="678"/>
      <c r="H242" s="678"/>
      <c r="I242" s="678"/>
      <c r="J242" s="676">
        <f>P50</f>
        <v>2023</v>
      </c>
      <c r="K242" s="676">
        <f>Q50</f>
        <v>2022</v>
      </c>
      <c r="L242" s="676">
        <f>R50</f>
        <v>2021</v>
      </c>
      <c r="M242" s="670">
        <v>12</v>
      </c>
      <c r="O242" s="671">
        <v>12</v>
      </c>
      <c r="P242" s="672"/>
      <c r="Q242" s="980" t="s">
        <v>404</v>
      </c>
      <c r="R242" s="673"/>
      <c r="S242" s="673"/>
      <c r="T242" s="673"/>
      <c r="U242" s="673"/>
      <c r="V242" s="673"/>
      <c r="W242" s="673"/>
      <c r="X242" s="673"/>
      <c r="Y242" s="673"/>
      <c r="Z242" s="673"/>
      <c r="AA242" s="674"/>
    </row>
    <row r="243" spans="1:27" ht="13.8">
      <c r="A243" s="666" t="s">
        <v>319</v>
      </c>
      <c r="B243" s="666"/>
      <c r="C243" s="678"/>
      <c r="D243" s="678"/>
      <c r="E243" s="678"/>
      <c r="F243" s="678"/>
      <c r="G243" s="678"/>
      <c r="H243" s="678"/>
      <c r="I243" s="678"/>
      <c r="J243" s="676">
        <f>B65</f>
        <v>2023</v>
      </c>
      <c r="K243" s="676">
        <f>C65</f>
        <v>2022</v>
      </c>
      <c r="L243" s="676">
        <f>D65</f>
        <v>2021</v>
      </c>
      <c r="M243" s="670">
        <v>13</v>
      </c>
      <c r="O243" s="671">
        <v>13</v>
      </c>
      <c r="P243" s="672"/>
      <c r="Q243" s="980" t="s">
        <v>404</v>
      </c>
      <c r="R243" s="673"/>
      <c r="S243" s="673"/>
      <c r="T243" s="673"/>
      <c r="U243" s="673"/>
      <c r="V243" s="673"/>
      <c r="W243" s="673"/>
      <c r="X243" s="673"/>
      <c r="Y243" s="673"/>
      <c r="Z243" s="673"/>
      <c r="AA243" s="674"/>
    </row>
    <row r="244" spans="1:27" ht="13.8">
      <c r="A244" s="666" t="s">
        <v>320</v>
      </c>
      <c r="B244" s="666"/>
      <c r="C244" s="678"/>
      <c r="D244" s="678"/>
      <c r="E244" s="678"/>
      <c r="F244" s="678"/>
      <c r="G244" s="678"/>
      <c r="H244" s="678"/>
      <c r="I244" s="678"/>
      <c r="J244" s="676">
        <f>I65</f>
        <v>2023</v>
      </c>
      <c r="K244" s="676">
        <f>J65</f>
        <v>2022</v>
      </c>
      <c r="L244" s="676">
        <f>K65</f>
        <v>2021</v>
      </c>
      <c r="M244" s="670">
        <v>14</v>
      </c>
      <c r="O244" s="671">
        <v>14</v>
      </c>
      <c r="P244" s="672"/>
      <c r="Q244" s="980" t="s">
        <v>404</v>
      </c>
      <c r="R244" s="673"/>
      <c r="S244" s="673"/>
      <c r="T244" s="673"/>
      <c r="U244" s="673"/>
      <c r="V244" s="673"/>
      <c r="W244" s="673"/>
      <c r="X244" s="673"/>
      <c r="Y244" s="673"/>
      <c r="Z244" s="673"/>
      <c r="AA244" s="674"/>
    </row>
    <row r="245" spans="1:27" ht="13.8">
      <c r="A245" s="666" t="s">
        <v>321</v>
      </c>
      <c r="B245" s="666"/>
      <c r="C245" s="678"/>
      <c r="D245" s="678"/>
      <c r="E245" s="678"/>
      <c r="F245" s="678"/>
      <c r="G245" s="678"/>
      <c r="H245" s="678"/>
      <c r="I245" s="678"/>
      <c r="J245" s="676">
        <f>P65</f>
        <v>2022</v>
      </c>
      <c r="K245" s="676">
        <f>Q65</f>
        <v>2021</v>
      </c>
      <c r="L245" s="676">
        <f>R65</f>
        <v>2020</v>
      </c>
      <c r="M245" s="670">
        <v>15</v>
      </c>
      <c r="O245" s="671">
        <v>15</v>
      </c>
      <c r="P245" s="672"/>
      <c r="Q245" s="980" t="s">
        <v>404</v>
      </c>
      <c r="Z245" s="673"/>
      <c r="AA245" s="674"/>
    </row>
    <row r="246" spans="1:27" ht="13.8">
      <c r="A246" s="666" t="s">
        <v>322</v>
      </c>
      <c r="B246" s="666"/>
      <c r="C246" s="678"/>
      <c r="D246" s="678"/>
      <c r="E246" s="678"/>
      <c r="F246" s="678"/>
      <c r="G246" s="678"/>
      <c r="H246" s="678"/>
      <c r="I246" s="678"/>
      <c r="J246" s="676">
        <f>B80</f>
        <v>2023</v>
      </c>
      <c r="K246" s="676">
        <f>C80</f>
        <v>2022</v>
      </c>
      <c r="L246" s="676">
        <f>D80</f>
        <v>2021</v>
      </c>
      <c r="M246" s="677">
        <v>16</v>
      </c>
      <c r="O246" s="671">
        <v>16</v>
      </c>
      <c r="P246" s="672"/>
      <c r="Q246" s="980" t="s">
        <v>404</v>
      </c>
      <c r="R246" s="673"/>
      <c r="S246" s="673"/>
      <c r="T246" s="673"/>
      <c r="U246" s="673"/>
      <c r="V246" s="673"/>
      <c r="W246" s="673"/>
      <c r="X246" s="673"/>
      <c r="Y246" s="673"/>
      <c r="Z246" s="679"/>
      <c r="AA246" s="680"/>
    </row>
    <row r="247" spans="1:27" ht="13.8">
      <c r="A247" s="667" t="s">
        <v>323</v>
      </c>
      <c r="B247" s="666"/>
      <c r="C247" s="681"/>
      <c r="D247" s="681"/>
      <c r="E247" s="681"/>
      <c r="F247" s="681"/>
      <c r="G247" s="681"/>
      <c r="H247" s="681"/>
      <c r="I247" s="681"/>
      <c r="J247" s="682">
        <f>I80</f>
        <v>2018</v>
      </c>
      <c r="K247" s="682">
        <f t="shared" ref="K247:L247" si="207">J80</f>
        <v>2017</v>
      </c>
      <c r="L247" s="682" t="str">
        <f t="shared" si="207"/>
        <v>-</v>
      </c>
      <c r="M247" s="670">
        <v>17</v>
      </c>
      <c r="O247" s="671">
        <v>17</v>
      </c>
      <c r="P247" s="683"/>
      <c r="Q247" s="980" t="s">
        <v>404</v>
      </c>
      <c r="R247" s="679"/>
      <c r="S247" s="679"/>
      <c r="T247" s="679"/>
      <c r="U247" s="679"/>
      <c r="V247" s="679"/>
      <c r="W247" s="679"/>
      <c r="X247" s="679"/>
      <c r="Y247" s="679"/>
      <c r="Z247" s="679"/>
      <c r="AA247" s="680"/>
    </row>
    <row r="248" spans="1:27" ht="14.4" thickBot="1">
      <c r="A248" s="684">
        <f>VLOOKUP(A230,A231:M247,13,(TRUE))</f>
        <v>7</v>
      </c>
      <c r="B248" s="667"/>
      <c r="C248" s="667"/>
      <c r="D248" s="667"/>
      <c r="E248" s="667"/>
      <c r="F248" s="667"/>
      <c r="G248" s="667"/>
      <c r="H248" s="667"/>
      <c r="I248" s="667"/>
      <c r="J248" s="667"/>
      <c r="K248" s="667"/>
      <c r="L248" s="667"/>
      <c r="M248" s="667"/>
      <c r="O248" s="1490" t="str">
        <f>Q247</f>
        <v>Hasil kalibrasi Durasi Therapy tertelusur ke Satuan Internasional ( SI ) melalui PT KALIMAN</v>
      </c>
      <c r="P248" s="1491"/>
      <c r="Q248" s="1491"/>
      <c r="R248" s="1491"/>
      <c r="S248" s="1491"/>
      <c r="T248" s="1491"/>
      <c r="U248" s="1491"/>
      <c r="V248" s="1491"/>
      <c r="W248" s="1491"/>
      <c r="X248" s="1491"/>
      <c r="Y248" s="1491"/>
      <c r="Z248" s="1491"/>
      <c r="AA248" s="1492"/>
    </row>
    <row r="249" spans="1:27" ht="14.4">
      <c r="A249" s="549"/>
      <c r="B249" s="549"/>
      <c r="C249" s="685"/>
      <c r="D249" s="554"/>
      <c r="E249" s="554"/>
      <c r="F249" s="554"/>
      <c r="G249" s="554"/>
      <c r="H249" s="523"/>
      <c r="I249" s="523"/>
      <c r="J249" s="523"/>
      <c r="K249" s="523"/>
      <c r="L249" s="523"/>
      <c r="M249" s="549"/>
      <c r="N249" s="523"/>
    </row>
    <row r="250" spans="1:27" ht="13.8">
      <c r="A250" s="666"/>
      <c r="B250" s="666"/>
    </row>
  </sheetData>
  <mergeCells count="111">
    <mergeCell ref="M206:M207"/>
    <mergeCell ref="A220:E220"/>
    <mergeCell ref="G220:K220"/>
    <mergeCell ref="J230:L230"/>
    <mergeCell ref="O248:AA248"/>
    <mergeCell ref="A169:A184"/>
    <mergeCell ref="K169:K184"/>
    <mergeCell ref="A186:A201"/>
    <mergeCell ref="B205:F205"/>
    <mergeCell ref="J205:M205"/>
    <mergeCell ref="B206:D206"/>
    <mergeCell ref="E206:E207"/>
    <mergeCell ref="F206:G206"/>
    <mergeCell ref="H206:H207"/>
    <mergeCell ref="J206:K206"/>
    <mergeCell ref="A118:A133"/>
    <mergeCell ref="K118:K133"/>
    <mergeCell ref="A135:A150"/>
    <mergeCell ref="K135:K150"/>
    <mergeCell ref="A152:A167"/>
    <mergeCell ref="K152:K167"/>
    <mergeCell ref="N98:P99"/>
    <mergeCell ref="Q98:Q100"/>
    <mergeCell ref="R98:R100"/>
    <mergeCell ref="S98:S100"/>
    <mergeCell ref="A101:A116"/>
    <mergeCell ref="K101:K110"/>
    <mergeCell ref="A95:T95"/>
    <mergeCell ref="A98:A100"/>
    <mergeCell ref="B98:B100"/>
    <mergeCell ref="C98:C99"/>
    <mergeCell ref="D98:F99"/>
    <mergeCell ref="G98:G100"/>
    <mergeCell ref="H98:H100"/>
    <mergeCell ref="K98:K100"/>
    <mergeCell ref="L98:L100"/>
    <mergeCell ref="M98:M99"/>
    <mergeCell ref="A78:D78"/>
    <mergeCell ref="E78:E80"/>
    <mergeCell ref="F78:F80"/>
    <mergeCell ref="H78:K78"/>
    <mergeCell ref="L78:L80"/>
    <mergeCell ref="M78:M80"/>
    <mergeCell ref="B79:D79"/>
    <mergeCell ref="I79:K79"/>
    <mergeCell ref="O63:R63"/>
    <mergeCell ref="S63:S65"/>
    <mergeCell ref="T63:T65"/>
    <mergeCell ref="B64:D64"/>
    <mergeCell ref="I64:K64"/>
    <mergeCell ref="P64:R64"/>
    <mergeCell ref="A63:D63"/>
    <mergeCell ref="E63:E65"/>
    <mergeCell ref="F63:F65"/>
    <mergeCell ref="H63:K63"/>
    <mergeCell ref="L63:L65"/>
    <mergeCell ref="M63:M65"/>
    <mergeCell ref="O48:R48"/>
    <mergeCell ref="S48:S50"/>
    <mergeCell ref="T48:T50"/>
    <mergeCell ref="B49:D49"/>
    <mergeCell ref="I49:K49"/>
    <mergeCell ref="P49:R49"/>
    <mergeCell ref="A47:F47"/>
    <mergeCell ref="H47:M47"/>
    <mergeCell ref="A48:D48"/>
    <mergeCell ref="E48:E50"/>
    <mergeCell ref="F48:F50"/>
    <mergeCell ref="H48:K48"/>
    <mergeCell ref="L48:L50"/>
    <mergeCell ref="M48:M50"/>
    <mergeCell ref="O33:R33"/>
    <mergeCell ref="S33:S35"/>
    <mergeCell ref="T33:T35"/>
    <mergeCell ref="B34:D34"/>
    <mergeCell ref="I34:K34"/>
    <mergeCell ref="P34:R34"/>
    <mergeCell ref="A33:D33"/>
    <mergeCell ref="E33:E35"/>
    <mergeCell ref="F33:F35"/>
    <mergeCell ref="H33:K33"/>
    <mergeCell ref="L33:L35"/>
    <mergeCell ref="M33:M35"/>
    <mergeCell ref="O17:R17"/>
    <mergeCell ref="S17:S19"/>
    <mergeCell ref="T17:T19"/>
    <mergeCell ref="B18:D18"/>
    <mergeCell ref="I18:K18"/>
    <mergeCell ref="P18:R18"/>
    <mergeCell ref="A17:D17"/>
    <mergeCell ref="E17:E19"/>
    <mergeCell ref="F17:F19"/>
    <mergeCell ref="H17:K17"/>
    <mergeCell ref="L17:L19"/>
    <mergeCell ref="M17:M19"/>
    <mergeCell ref="B3:D3"/>
    <mergeCell ref="I3:K3"/>
    <mergeCell ref="P3:R3"/>
    <mergeCell ref="A16:F16"/>
    <mergeCell ref="H16:M16"/>
    <mergeCell ref="O16:T16"/>
    <mergeCell ref="A1:T1"/>
    <mergeCell ref="A2:D2"/>
    <mergeCell ref="E2:E4"/>
    <mergeCell ref="F2:F4"/>
    <mergeCell ref="H2:K2"/>
    <mergeCell ref="L2:L4"/>
    <mergeCell ref="M2:M4"/>
    <mergeCell ref="O2:R2"/>
    <mergeCell ref="S2:S4"/>
    <mergeCell ref="T2:T4"/>
  </mergeCells>
  <pageMargins left="0.7" right="0.7" top="0.75" bottom="0.75" header="0.3" footer="0.3"/>
  <pageSetup paperSize="9" scale="4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29601-BD71-4E38-ACE4-CE05C09789A8}">
  <sheetPr>
    <tabColor rgb="FF00B050"/>
  </sheetPr>
  <dimension ref="A1:AX220"/>
  <sheetViews>
    <sheetView topLeftCell="A131" zoomScale="78" zoomScaleNormal="78" zoomScaleSheetLayoutView="77" workbookViewId="0">
      <selection activeCell="N138" sqref="N138"/>
    </sheetView>
  </sheetViews>
  <sheetFormatPr defaultColWidth="9" defaultRowHeight="13.2"/>
  <cols>
    <col min="1" max="7" width="9.77734375" style="343" customWidth="1"/>
    <col min="8" max="8" width="9.77734375" style="342" customWidth="1"/>
    <col min="9" max="14" width="9.77734375" style="343" customWidth="1"/>
    <col min="15" max="15" width="14" style="343" customWidth="1"/>
    <col min="16" max="16" width="9.77734375" style="342" customWidth="1"/>
    <col min="17" max="23" width="9.77734375" style="343" customWidth="1"/>
    <col min="24" max="24" width="9" style="342"/>
    <col min="25" max="16384" width="9" style="343"/>
  </cols>
  <sheetData>
    <row r="1" spans="1:25" ht="48" customHeight="1">
      <c r="A1" s="1509" t="s">
        <v>228</v>
      </c>
      <c r="B1" s="1510"/>
      <c r="C1" s="1510"/>
      <c r="D1" s="1510"/>
      <c r="E1" s="1510"/>
      <c r="F1" s="1510"/>
      <c r="G1" s="1510"/>
      <c r="H1" s="1510"/>
      <c r="I1" s="1510"/>
      <c r="J1" s="1510"/>
      <c r="K1" s="1510"/>
      <c r="L1" s="1510"/>
      <c r="M1" s="1510"/>
      <c r="N1" s="1510"/>
      <c r="O1" s="1510"/>
      <c r="P1" s="1510"/>
      <c r="Q1" s="1510"/>
      <c r="R1" s="1510"/>
      <c r="S1" s="1510"/>
      <c r="T1" s="1510"/>
      <c r="U1" s="1510"/>
      <c r="V1" s="1510"/>
      <c r="W1" s="1511"/>
      <c r="Y1" s="343" t="s">
        <v>108</v>
      </c>
    </row>
    <row r="2" spans="1:25" ht="25.5" customHeight="1">
      <c r="A2" s="1512">
        <v>1</v>
      </c>
      <c r="B2" s="1515" t="str">
        <f>A167</f>
        <v>Electrical Safety Analyzer, Merek : Fluke, Model : ESA 620, SN : 1837056</v>
      </c>
      <c r="C2" s="1515"/>
      <c r="D2" s="1515"/>
      <c r="E2" s="1515"/>
      <c r="F2" s="1515"/>
      <c r="G2" s="1515"/>
      <c r="H2" s="344"/>
      <c r="I2" s="1512">
        <v>2</v>
      </c>
      <c r="J2" s="1515" t="str">
        <f>A168</f>
        <v>Electrical Safety Analyzer, Merek : Fluke, Model : ESA 620, SN : 1834020</v>
      </c>
      <c r="K2" s="1515"/>
      <c r="L2" s="1515"/>
      <c r="M2" s="1515"/>
      <c r="N2" s="1515"/>
      <c r="O2" s="1515"/>
      <c r="P2" s="344"/>
      <c r="Q2" s="1512">
        <v>3</v>
      </c>
      <c r="R2" s="1515" t="str">
        <f>A169</f>
        <v>Electrical Safety Analyzer, Merek : Fluke, Model : ESA 615, SN : 2853077</v>
      </c>
      <c r="S2" s="1515"/>
      <c r="T2" s="1515"/>
      <c r="U2" s="1515"/>
      <c r="V2" s="1515"/>
      <c r="W2" s="1515"/>
    </row>
    <row r="3" spans="1:25" ht="15" customHeight="1">
      <c r="A3" s="1513"/>
      <c r="B3" s="1516" t="s">
        <v>227</v>
      </c>
      <c r="C3" s="1516"/>
      <c r="D3" s="1516"/>
      <c r="E3" s="1516"/>
      <c r="F3" s="345"/>
      <c r="G3" s="345"/>
      <c r="H3" s="346"/>
      <c r="I3" s="1513"/>
      <c r="J3" s="1516" t="s">
        <v>227</v>
      </c>
      <c r="K3" s="1516"/>
      <c r="L3" s="1516"/>
      <c r="M3" s="1516"/>
      <c r="N3" s="345"/>
      <c r="O3" s="345"/>
      <c r="P3" s="346"/>
      <c r="Q3" s="1513"/>
      <c r="R3" s="1516" t="s">
        <v>227</v>
      </c>
      <c r="S3" s="1516"/>
      <c r="T3" s="1516"/>
      <c r="U3" s="1516"/>
      <c r="V3" s="347"/>
      <c r="W3" s="347"/>
    </row>
    <row r="4" spans="1:25" ht="12.75" customHeight="1">
      <c r="A4" s="1513"/>
      <c r="B4" s="1517" t="s">
        <v>181</v>
      </c>
      <c r="C4" s="1518"/>
      <c r="D4" s="1518"/>
      <c r="E4" s="1519"/>
      <c r="F4" s="348" t="s">
        <v>229</v>
      </c>
      <c r="G4" s="348" t="s">
        <v>183</v>
      </c>
      <c r="H4" s="349"/>
      <c r="I4" s="1513"/>
      <c r="J4" s="1517" t="s">
        <v>181</v>
      </c>
      <c r="K4" s="1518"/>
      <c r="L4" s="1518"/>
      <c r="M4" s="1519"/>
      <c r="N4" s="348" t="s">
        <v>229</v>
      </c>
      <c r="O4" s="348" t="s">
        <v>183</v>
      </c>
      <c r="P4" s="349"/>
      <c r="Q4" s="1513"/>
      <c r="R4" s="1517" t="s">
        <v>181</v>
      </c>
      <c r="S4" s="1518"/>
      <c r="T4" s="1518"/>
      <c r="U4" s="1519"/>
      <c r="V4" s="348" t="s">
        <v>229</v>
      </c>
      <c r="W4" s="348" t="s">
        <v>183</v>
      </c>
    </row>
    <row r="5" spans="1:25" ht="15" customHeight="1">
      <c r="A5" s="1513"/>
      <c r="B5" s="347" t="s">
        <v>184</v>
      </c>
      <c r="C5" s="350">
        <v>2022</v>
      </c>
      <c r="D5" s="350">
        <v>2020</v>
      </c>
      <c r="E5" s="350">
        <v>2019</v>
      </c>
      <c r="F5" s="348"/>
      <c r="G5" s="348"/>
      <c r="H5" s="349"/>
      <c r="I5" s="1513"/>
      <c r="J5" s="347" t="s">
        <v>184</v>
      </c>
      <c r="K5" s="350">
        <v>2022</v>
      </c>
      <c r="L5" s="350">
        <v>2019</v>
      </c>
      <c r="M5" s="351">
        <v>2017</v>
      </c>
      <c r="N5" s="348"/>
      <c r="O5" s="348"/>
      <c r="P5" s="349"/>
      <c r="Q5" s="1513"/>
      <c r="R5" s="347" t="s">
        <v>184</v>
      </c>
      <c r="S5" s="348">
        <v>2018</v>
      </c>
      <c r="T5" s="348">
        <v>2021</v>
      </c>
      <c r="U5" s="348">
        <v>2022</v>
      </c>
      <c r="V5" s="348"/>
      <c r="W5" s="348"/>
    </row>
    <row r="6" spans="1:25" ht="15" customHeight="1">
      <c r="A6" s="1513"/>
      <c r="B6" s="352">
        <v>150</v>
      </c>
      <c r="C6" s="353">
        <v>0.35</v>
      </c>
      <c r="D6" s="353">
        <v>0.31</v>
      </c>
      <c r="E6" s="353">
        <v>0.76</v>
      </c>
      <c r="F6" s="354">
        <f t="shared" ref="F6:F11" si="0">0.5*(MAX(C6:E6)-MIN(C6:E6))</f>
        <v>0.22500000000000001</v>
      </c>
      <c r="G6" s="355">
        <f>B6*$H$6</f>
        <v>1.8</v>
      </c>
      <c r="H6" s="349">
        <f>1.2/100</f>
        <v>1.2E-2</v>
      </c>
      <c r="I6" s="1513"/>
      <c r="J6" s="352">
        <v>150</v>
      </c>
      <c r="K6" s="356">
        <v>0.22</v>
      </c>
      <c r="L6" s="357">
        <v>0.15</v>
      </c>
      <c r="M6" s="357">
        <v>0.23</v>
      </c>
      <c r="N6" s="354">
        <f t="shared" ref="N6:N11" si="1">0.5*(MAX(K6:M6)-MIN(K6:M6))</f>
        <v>4.0000000000000008E-2</v>
      </c>
      <c r="O6" s="355">
        <f>J6*$P$6</f>
        <v>1.8</v>
      </c>
      <c r="P6" s="349">
        <f>1.2/100</f>
        <v>1.2E-2</v>
      </c>
      <c r="Q6" s="1513"/>
      <c r="R6" s="358">
        <v>150</v>
      </c>
      <c r="S6" s="359">
        <v>-7.0000000000000007E-2</v>
      </c>
      <c r="T6" s="359">
        <v>-1.6</v>
      </c>
      <c r="U6" s="359">
        <v>-1.43</v>
      </c>
      <c r="V6" s="354">
        <f t="shared" ref="V6:V11" si="2">0.5*(MAX(S6:U6)-MIN(S6:U6))</f>
        <v>0.76500000000000001</v>
      </c>
      <c r="W6" s="360">
        <f>R6*$X$6</f>
        <v>1.8</v>
      </c>
      <c r="X6" s="342">
        <f>1.2/100</f>
        <v>1.2E-2</v>
      </c>
    </row>
    <row r="7" spans="1:25" ht="12.75" customHeight="1">
      <c r="A7" s="1513"/>
      <c r="B7" s="352">
        <v>180</v>
      </c>
      <c r="C7" s="353">
        <v>-0.1</v>
      </c>
      <c r="D7" s="353">
        <v>0.1</v>
      </c>
      <c r="E7" s="353">
        <v>-0.03</v>
      </c>
      <c r="F7" s="354">
        <f t="shared" si="0"/>
        <v>0.1</v>
      </c>
      <c r="G7" s="355">
        <f t="shared" ref="G7:G11" si="3">B7*$H$6</f>
        <v>2.16</v>
      </c>
      <c r="H7" s="349"/>
      <c r="I7" s="1513"/>
      <c r="J7" s="352">
        <v>180</v>
      </c>
      <c r="K7" s="356">
        <v>0.1</v>
      </c>
      <c r="L7" s="357">
        <v>0.12</v>
      </c>
      <c r="M7" s="357">
        <v>-0.06</v>
      </c>
      <c r="N7" s="354">
        <f t="shared" si="1"/>
        <v>0.09</v>
      </c>
      <c r="O7" s="355">
        <f t="shared" ref="O7:O11" si="4">J7*$P$6</f>
        <v>2.16</v>
      </c>
      <c r="P7" s="349"/>
      <c r="Q7" s="1513"/>
      <c r="R7" s="361">
        <v>180</v>
      </c>
      <c r="S7" s="359">
        <v>-0.13</v>
      </c>
      <c r="T7" s="359">
        <v>-1.9</v>
      </c>
      <c r="U7" s="359">
        <v>-1.81</v>
      </c>
      <c r="V7" s="354">
        <f t="shared" si="2"/>
        <v>0.88500000000000001</v>
      </c>
      <c r="W7" s="360">
        <f t="shared" ref="W7:W11" si="5">R7*$X$6</f>
        <v>2.16</v>
      </c>
    </row>
    <row r="8" spans="1:25" ht="12.75" customHeight="1">
      <c r="A8" s="1513"/>
      <c r="B8" s="352">
        <v>200</v>
      </c>
      <c r="C8" s="353">
        <v>-0.17</v>
      </c>
      <c r="D8" s="353">
        <v>-0.04</v>
      </c>
      <c r="E8" s="353">
        <v>-0.16</v>
      </c>
      <c r="F8" s="354">
        <f t="shared" si="0"/>
        <v>6.5000000000000002E-2</v>
      </c>
      <c r="G8" s="355">
        <f t="shared" si="3"/>
        <v>2.4</v>
      </c>
      <c r="H8" s="349"/>
      <c r="I8" s="1513"/>
      <c r="J8" s="352">
        <v>200</v>
      </c>
      <c r="K8" s="356">
        <v>0.09</v>
      </c>
      <c r="L8" s="357">
        <v>0.06</v>
      </c>
      <c r="M8" s="357">
        <v>-0.18</v>
      </c>
      <c r="N8" s="354">
        <f t="shared" si="1"/>
        <v>0.13500000000000001</v>
      </c>
      <c r="O8" s="355">
        <f t="shared" si="4"/>
        <v>2.4</v>
      </c>
      <c r="P8" s="349"/>
      <c r="Q8" s="1513"/>
      <c r="R8" s="361">
        <v>200</v>
      </c>
      <c r="S8" s="359">
        <v>-0.26</v>
      </c>
      <c r="T8" s="359">
        <v>-2.14</v>
      </c>
      <c r="U8" s="359">
        <v>-2.0499999999999998</v>
      </c>
      <c r="V8" s="354">
        <f t="shared" si="2"/>
        <v>0.94000000000000006</v>
      </c>
      <c r="W8" s="360">
        <f t="shared" si="5"/>
        <v>2.4</v>
      </c>
    </row>
    <row r="9" spans="1:25" ht="12.75" customHeight="1">
      <c r="A9" s="1513"/>
      <c r="B9" s="352">
        <v>220</v>
      </c>
      <c r="C9" s="353">
        <v>-0.27</v>
      </c>
      <c r="D9" s="353">
        <v>-0.28000000000000003</v>
      </c>
      <c r="E9" s="353">
        <v>-0.18</v>
      </c>
      <c r="F9" s="354">
        <f t="shared" si="0"/>
        <v>5.0000000000000017E-2</v>
      </c>
      <c r="G9" s="355">
        <f t="shared" si="3"/>
        <v>2.64</v>
      </c>
      <c r="H9" s="349"/>
      <c r="I9" s="1513"/>
      <c r="J9" s="352">
        <v>220</v>
      </c>
      <c r="K9" s="356">
        <v>0.53</v>
      </c>
      <c r="L9" s="357">
        <v>0.05</v>
      </c>
      <c r="M9" s="357">
        <v>-0.03</v>
      </c>
      <c r="N9" s="354">
        <f t="shared" si="1"/>
        <v>0.28000000000000003</v>
      </c>
      <c r="O9" s="355">
        <f t="shared" si="4"/>
        <v>2.64</v>
      </c>
      <c r="P9" s="349"/>
      <c r="Q9" s="1513"/>
      <c r="R9" s="361">
        <v>220</v>
      </c>
      <c r="S9" s="359">
        <v>-0.28999999999999998</v>
      </c>
      <c r="T9" s="359">
        <v>-3.44</v>
      </c>
      <c r="U9" s="359">
        <v>-2.29</v>
      </c>
      <c r="V9" s="354">
        <f t="shared" si="2"/>
        <v>1.575</v>
      </c>
      <c r="W9" s="360">
        <f t="shared" si="5"/>
        <v>2.64</v>
      </c>
    </row>
    <row r="10" spans="1:25" ht="12.75" customHeight="1">
      <c r="A10" s="1513"/>
      <c r="B10" s="352">
        <v>230</v>
      </c>
      <c r="C10" s="353">
        <v>0.64</v>
      </c>
      <c r="D10" s="353">
        <v>-0.2</v>
      </c>
      <c r="E10" s="353">
        <v>-0.26</v>
      </c>
      <c r="F10" s="354">
        <f t="shared" si="0"/>
        <v>0.45</v>
      </c>
      <c r="G10" s="355">
        <f t="shared" si="3"/>
        <v>2.7600000000000002</v>
      </c>
      <c r="H10" s="349"/>
      <c r="I10" s="1513"/>
      <c r="J10" s="352">
        <v>230</v>
      </c>
      <c r="K10" s="356">
        <v>1.08</v>
      </c>
      <c r="L10" s="353">
        <v>9.9999999999999995E-7</v>
      </c>
      <c r="M10" s="353">
        <v>0.05</v>
      </c>
      <c r="N10" s="354">
        <f t="shared" si="1"/>
        <v>0.53999950000000008</v>
      </c>
      <c r="O10" s="355">
        <f t="shared" si="4"/>
        <v>2.7600000000000002</v>
      </c>
      <c r="P10" s="349"/>
      <c r="Q10" s="1513"/>
      <c r="R10" s="361">
        <v>230</v>
      </c>
      <c r="S10" s="359">
        <v>-0.23</v>
      </c>
      <c r="T10" s="359">
        <v>-2.52</v>
      </c>
      <c r="U10" s="359">
        <v>-11.79</v>
      </c>
      <c r="V10" s="354">
        <f t="shared" si="2"/>
        <v>5.7799999999999994</v>
      </c>
      <c r="W10" s="360">
        <f t="shared" si="5"/>
        <v>2.7600000000000002</v>
      </c>
    </row>
    <row r="11" spans="1:25" ht="12.75" customHeight="1">
      <c r="A11" s="1513"/>
      <c r="B11" s="352">
        <v>250</v>
      </c>
      <c r="C11" s="353">
        <v>-0.36</v>
      </c>
      <c r="D11" s="353">
        <v>-0.32</v>
      </c>
      <c r="E11" s="353">
        <v>9.9999999999999995E-7</v>
      </c>
      <c r="F11" s="354">
        <f t="shared" si="0"/>
        <v>0.18000049999999998</v>
      </c>
      <c r="G11" s="355">
        <f t="shared" si="3"/>
        <v>3</v>
      </c>
      <c r="H11" s="349"/>
      <c r="I11" s="1513"/>
      <c r="J11" s="352">
        <v>250</v>
      </c>
      <c r="K11" s="356">
        <v>-0.01</v>
      </c>
      <c r="L11" s="353">
        <v>9.9999999999999995E-7</v>
      </c>
      <c r="M11" s="353">
        <v>9.9999999999999995E-7</v>
      </c>
      <c r="N11" s="354">
        <f t="shared" si="1"/>
        <v>5.0004999999999997E-3</v>
      </c>
      <c r="O11" s="355">
        <f t="shared" si="4"/>
        <v>3</v>
      </c>
      <c r="P11" s="349"/>
      <c r="Q11" s="1513"/>
      <c r="R11" s="361">
        <v>250</v>
      </c>
      <c r="S11" s="359">
        <v>9.9999999999999995E-7</v>
      </c>
      <c r="T11" s="362">
        <v>9.9999999999999995E-7</v>
      </c>
      <c r="U11" s="362">
        <v>9.9999999999999995E-7</v>
      </c>
      <c r="V11" s="354">
        <f t="shared" si="2"/>
        <v>0</v>
      </c>
      <c r="W11" s="360">
        <f t="shared" si="5"/>
        <v>3</v>
      </c>
    </row>
    <row r="12" spans="1:25" ht="12.75" customHeight="1">
      <c r="A12" s="1513"/>
      <c r="B12" s="1520" t="s">
        <v>179</v>
      </c>
      <c r="C12" s="1521"/>
      <c r="D12" s="1521"/>
      <c r="E12" s="1522"/>
      <c r="F12" s="348" t="s">
        <v>229</v>
      </c>
      <c r="G12" s="348" t="s">
        <v>183</v>
      </c>
      <c r="H12" s="349"/>
      <c r="I12" s="1513"/>
      <c r="J12" s="1520" t="s">
        <v>179</v>
      </c>
      <c r="K12" s="1521"/>
      <c r="L12" s="1521"/>
      <c r="M12" s="1522"/>
      <c r="N12" s="348" t="s">
        <v>229</v>
      </c>
      <c r="O12" s="348" t="s">
        <v>183</v>
      </c>
      <c r="P12" s="349"/>
      <c r="Q12" s="1513"/>
      <c r="R12" s="1520" t="s">
        <v>179</v>
      </c>
      <c r="S12" s="1521"/>
      <c r="T12" s="1521"/>
      <c r="U12" s="1522"/>
      <c r="V12" s="348" t="s">
        <v>229</v>
      </c>
      <c r="W12" s="348" t="s">
        <v>183</v>
      </c>
    </row>
    <row r="13" spans="1:25" ht="15" customHeight="1">
      <c r="A13" s="1513"/>
      <c r="B13" s="347" t="s">
        <v>189</v>
      </c>
      <c r="C13" s="348">
        <f>C5</f>
        <v>2022</v>
      </c>
      <c r="D13" s="348">
        <f>D5</f>
        <v>2020</v>
      </c>
      <c r="E13" s="348">
        <f>E5</f>
        <v>2019</v>
      </c>
      <c r="F13" s="348"/>
      <c r="G13" s="348"/>
      <c r="H13" s="349"/>
      <c r="I13" s="1513"/>
      <c r="J13" s="347" t="s">
        <v>189</v>
      </c>
      <c r="K13" s="348">
        <f>K5</f>
        <v>2022</v>
      </c>
      <c r="L13" s="348">
        <f>L5</f>
        <v>2019</v>
      </c>
      <c r="M13" s="348">
        <f>M5</f>
        <v>2017</v>
      </c>
      <c r="N13" s="348"/>
      <c r="O13" s="348"/>
      <c r="P13" s="349"/>
      <c r="Q13" s="1513"/>
      <c r="R13" s="347" t="s">
        <v>189</v>
      </c>
      <c r="S13" s="348">
        <f>S5</f>
        <v>2018</v>
      </c>
      <c r="T13" s="348">
        <f>T5</f>
        <v>2021</v>
      </c>
      <c r="U13" s="348">
        <f>U5</f>
        <v>2022</v>
      </c>
      <c r="V13" s="348"/>
      <c r="W13" s="348"/>
    </row>
    <row r="14" spans="1:25" ht="12.75" customHeight="1">
      <c r="A14" s="1513"/>
      <c r="B14" s="363">
        <v>9.9999999999999995E-7</v>
      </c>
      <c r="C14" s="363">
        <v>9.9999999999999995E-7</v>
      </c>
      <c r="D14" s="363">
        <v>9.9999999999999995E-7</v>
      </c>
      <c r="E14" s="364">
        <v>0</v>
      </c>
      <c r="F14" s="354">
        <f t="shared" ref="F14:F19" si="6">0.5*(MAX(C14:E14)-MIN(C14:E14))</f>
        <v>4.9999999999999998E-7</v>
      </c>
      <c r="G14" s="365">
        <f>B14*$H$14</f>
        <v>5.8999999999999999E-9</v>
      </c>
      <c r="H14" s="349">
        <f>0.59/100</f>
        <v>5.8999999999999999E-3</v>
      </c>
      <c r="I14" s="1513"/>
      <c r="J14" s="366">
        <v>9.9999999999999995E-7</v>
      </c>
      <c r="K14" s="359">
        <v>9.9999999999999995E-7</v>
      </c>
      <c r="L14" s="359">
        <v>9.9999999999999995E-7</v>
      </c>
      <c r="M14" s="367">
        <v>9.9999999999999995E-7</v>
      </c>
      <c r="N14" s="354">
        <f t="shared" ref="N14:N19" si="7">0.5*(MAX(K14:M14)-MIN(K14:M14))</f>
        <v>0</v>
      </c>
      <c r="O14" s="365">
        <f>J14*$P$14</f>
        <v>5.8999999999999999E-9</v>
      </c>
      <c r="P14" s="349">
        <f>0.59/100</f>
        <v>5.8999999999999999E-3</v>
      </c>
      <c r="Q14" s="1513"/>
      <c r="R14" s="359">
        <v>9.9999999999999995E-7</v>
      </c>
      <c r="S14" s="355">
        <v>9.9999999999999995E-7</v>
      </c>
      <c r="T14" s="367">
        <v>9.9999999999999995E-7</v>
      </c>
      <c r="U14" s="367">
        <v>9.9999999999999995E-7</v>
      </c>
      <c r="V14" s="354">
        <f t="shared" ref="V14:V19" si="8">0.5*(MAX(S14:U14)-MIN(S14:U14))</f>
        <v>0</v>
      </c>
      <c r="W14" s="365">
        <f>R14*$X$14</f>
        <v>5.8999999999999999E-9</v>
      </c>
      <c r="X14" s="342">
        <f>0.59/100</f>
        <v>5.8999999999999999E-3</v>
      </c>
    </row>
    <row r="15" spans="1:25" ht="12.75" customHeight="1">
      <c r="A15" s="1513"/>
      <c r="B15" s="361">
        <v>50</v>
      </c>
      <c r="C15" s="353">
        <v>4</v>
      </c>
      <c r="D15" s="353">
        <v>0.1</v>
      </c>
      <c r="E15" s="353">
        <v>-0.06</v>
      </c>
      <c r="F15" s="354">
        <f t="shared" si="6"/>
        <v>2.0299999999999998</v>
      </c>
      <c r="G15" s="365">
        <f t="shared" ref="G15:G19" si="9">B15*$H$14</f>
        <v>0.29499999999999998</v>
      </c>
      <c r="H15" s="349"/>
      <c r="I15" s="1513"/>
      <c r="J15" s="361">
        <v>50</v>
      </c>
      <c r="K15" s="356">
        <v>1</v>
      </c>
      <c r="L15" s="357">
        <v>-0.08</v>
      </c>
      <c r="M15" s="357">
        <v>0.1</v>
      </c>
      <c r="N15" s="354">
        <f t="shared" si="7"/>
        <v>0.54</v>
      </c>
      <c r="O15" s="365">
        <f>J15*$P$14</f>
        <v>0.29499999999999998</v>
      </c>
      <c r="P15" s="349"/>
      <c r="Q15" s="1513"/>
      <c r="R15" s="361">
        <v>50</v>
      </c>
      <c r="S15" s="359">
        <v>2</v>
      </c>
      <c r="T15" s="359">
        <v>2.1</v>
      </c>
      <c r="U15" s="359">
        <v>9.1</v>
      </c>
      <c r="V15" s="354">
        <f t="shared" si="8"/>
        <v>3.55</v>
      </c>
      <c r="W15" s="365">
        <f t="shared" ref="W15:W19" si="10">R15*$X$14</f>
        <v>0.29499999999999998</v>
      </c>
    </row>
    <row r="16" spans="1:25" ht="12.75" customHeight="1">
      <c r="A16" s="1513"/>
      <c r="B16" s="361">
        <v>100</v>
      </c>
      <c r="C16" s="353">
        <v>3.6</v>
      </c>
      <c r="D16" s="353">
        <v>0.2</v>
      </c>
      <c r="E16" s="353">
        <v>-0.06</v>
      </c>
      <c r="F16" s="354">
        <f t="shared" si="6"/>
        <v>1.83</v>
      </c>
      <c r="G16" s="365">
        <f t="shared" si="9"/>
        <v>0.59</v>
      </c>
      <c r="H16" s="349"/>
      <c r="I16" s="1513"/>
      <c r="J16" s="361">
        <v>100</v>
      </c>
      <c r="K16" s="356">
        <v>-0.9</v>
      </c>
      <c r="L16" s="353">
        <v>-7.0000000000000007E-2</v>
      </c>
      <c r="M16" s="353">
        <v>2.2000000000000002</v>
      </c>
      <c r="N16" s="354">
        <f t="shared" si="7"/>
        <v>1.55</v>
      </c>
      <c r="O16" s="365">
        <f t="shared" ref="O16:O19" si="11">J16*$P$14</f>
        <v>0.59</v>
      </c>
      <c r="P16" s="349"/>
      <c r="Q16" s="1513"/>
      <c r="R16" s="361">
        <v>100</v>
      </c>
      <c r="S16" s="359">
        <v>2</v>
      </c>
      <c r="T16" s="359">
        <v>2.2999999999999998</v>
      </c>
      <c r="U16" s="359">
        <v>6</v>
      </c>
      <c r="V16" s="354">
        <f t="shared" si="8"/>
        <v>2</v>
      </c>
      <c r="W16" s="365">
        <f t="shared" si="10"/>
        <v>0.59</v>
      </c>
    </row>
    <row r="17" spans="1:24" ht="12.75" customHeight="1">
      <c r="A17" s="1513"/>
      <c r="B17" s="361">
        <v>200</v>
      </c>
      <c r="C17" s="353">
        <v>2.2000000000000002</v>
      </c>
      <c r="D17" s="353">
        <v>0.4</v>
      </c>
      <c r="E17" s="353">
        <v>9.9999999999999995E-7</v>
      </c>
      <c r="F17" s="354">
        <f t="shared" si="6"/>
        <v>1.0999995</v>
      </c>
      <c r="G17" s="365">
        <f t="shared" si="9"/>
        <v>1.18</v>
      </c>
      <c r="H17" s="349"/>
      <c r="I17" s="1513"/>
      <c r="J17" s="361">
        <v>200</v>
      </c>
      <c r="K17" s="356">
        <v>-6.4</v>
      </c>
      <c r="L17" s="357">
        <v>-0.1</v>
      </c>
      <c r="M17" s="357">
        <v>3.3</v>
      </c>
      <c r="N17" s="354">
        <f t="shared" si="7"/>
        <v>4.8499999999999996</v>
      </c>
      <c r="O17" s="365">
        <f t="shared" si="11"/>
        <v>1.18</v>
      </c>
      <c r="P17" s="349"/>
      <c r="Q17" s="1513"/>
      <c r="R17" s="361">
        <v>200</v>
      </c>
      <c r="S17" s="359">
        <v>3.6</v>
      </c>
      <c r="T17" s="359">
        <v>2.5</v>
      </c>
      <c r="U17" s="359">
        <v>-3.6</v>
      </c>
      <c r="V17" s="354">
        <f t="shared" si="8"/>
        <v>3.6</v>
      </c>
      <c r="W17" s="365">
        <f t="shared" si="10"/>
        <v>1.18</v>
      </c>
    </row>
    <row r="18" spans="1:24" ht="12.75" customHeight="1">
      <c r="A18" s="1513"/>
      <c r="B18" s="361">
        <v>500</v>
      </c>
      <c r="C18" s="353">
        <v>-2</v>
      </c>
      <c r="D18" s="353">
        <v>3.8</v>
      </c>
      <c r="E18" s="353">
        <v>-0.9</v>
      </c>
      <c r="F18" s="354">
        <f t="shared" si="6"/>
        <v>2.9</v>
      </c>
      <c r="G18" s="365">
        <f t="shared" si="9"/>
        <v>2.9499999999999997</v>
      </c>
      <c r="H18" s="349"/>
      <c r="I18" s="1513"/>
      <c r="J18" s="361">
        <v>500</v>
      </c>
      <c r="K18" s="356">
        <v>-21.7</v>
      </c>
      <c r="L18" s="357">
        <v>0.8</v>
      </c>
      <c r="M18" s="357">
        <v>2</v>
      </c>
      <c r="N18" s="354">
        <f t="shared" si="7"/>
        <v>11.85</v>
      </c>
      <c r="O18" s="365">
        <f t="shared" si="11"/>
        <v>2.9499999999999997</v>
      </c>
      <c r="P18" s="349"/>
      <c r="Q18" s="1513"/>
      <c r="R18" s="361">
        <v>500</v>
      </c>
      <c r="S18" s="359">
        <v>2.9</v>
      </c>
      <c r="T18" s="359">
        <v>4.3</v>
      </c>
      <c r="U18" s="359">
        <v>-18.8</v>
      </c>
      <c r="V18" s="354">
        <f t="shared" si="8"/>
        <v>11.55</v>
      </c>
      <c r="W18" s="365">
        <f t="shared" si="10"/>
        <v>2.9499999999999997</v>
      </c>
    </row>
    <row r="19" spans="1:24" ht="12.75" customHeight="1">
      <c r="A19" s="1513"/>
      <c r="B19" s="361">
        <v>1000</v>
      </c>
      <c r="C19" s="353">
        <v>-26</v>
      </c>
      <c r="D19" s="353">
        <v>9.9999999999999995E-7</v>
      </c>
      <c r="E19" s="353">
        <v>9.9999999999999995E-7</v>
      </c>
      <c r="F19" s="354">
        <f t="shared" si="6"/>
        <v>13.000000500000001</v>
      </c>
      <c r="G19" s="365">
        <f t="shared" si="9"/>
        <v>5.8999999999999995</v>
      </c>
      <c r="H19" s="349"/>
      <c r="I19" s="1513"/>
      <c r="J19" s="361">
        <v>1000</v>
      </c>
      <c r="K19" s="368">
        <v>-6.7000000000000004E-2</v>
      </c>
      <c r="L19" s="353">
        <v>9.9999999999999995E-7</v>
      </c>
      <c r="M19" s="353">
        <v>9.9999999999999995E-7</v>
      </c>
      <c r="N19" s="354">
        <f t="shared" si="7"/>
        <v>3.3500500000000002E-2</v>
      </c>
      <c r="O19" s="365">
        <f t="shared" si="11"/>
        <v>5.8999999999999995</v>
      </c>
      <c r="P19" s="349"/>
      <c r="Q19" s="1513"/>
      <c r="R19" s="361">
        <v>1000</v>
      </c>
      <c r="S19" s="359">
        <v>3</v>
      </c>
      <c r="T19" s="359">
        <v>2</v>
      </c>
      <c r="U19" s="359">
        <v>-47</v>
      </c>
      <c r="V19" s="354">
        <f t="shared" si="8"/>
        <v>25</v>
      </c>
      <c r="W19" s="365">
        <f t="shared" si="10"/>
        <v>5.8999999999999995</v>
      </c>
    </row>
    <row r="20" spans="1:24" ht="12.75" customHeight="1">
      <c r="A20" s="1513"/>
      <c r="B20" s="1520" t="s">
        <v>180</v>
      </c>
      <c r="C20" s="1521"/>
      <c r="D20" s="1521"/>
      <c r="E20" s="1522"/>
      <c r="F20" s="348" t="s">
        <v>229</v>
      </c>
      <c r="G20" s="348" t="s">
        <v>183</v>
      </c>
      <c r="H20" s="349"/>
      <c r="I20" s="1513"/>
      <c r="J20" s="1520" t="str">
        <f>B20</f>
        <v>Main-PE</v>
      </c>
      <c r="K20" s="1521"/>
      <c r="L20" s="1521"/>
      <c r="M20" s="1522"/>
      <c r="N20" s="348" t="s">
        <v>229</v>
      </c>
      <c r="O20" s="348" t="s">
        <v>183</v>
      </c>
      <c r="P20" s="349"/>
      <c r="Q20" s="1513"/>
      <c r="R20" s="1520" t="str">
        <f>B20</f>
        <v>Main-PE</v>
      </c>
      <c r="S20" s="1521"/>
      <c r="T20" s="1521"/>
      <c r="U20" s="1522"/>
      <c r="V20" s="348" t="s">
        <v>229</v>
      </c>
      <c r="W20" s="348" t="s">
        <v>183</v>
      </c>
    </row>
    <row r="21" spans="1:24" ht="15" customHeight="1">
      <c r="A21" s="1513"/>
      <c r="B21" s="347" t="s">
        <v>230</v>
      </c>
      <c r="C21" s="348">
        <v>2019</v>
      </c>
      <c r="D21" s="348">
        <v>2019</v>
      </c>
      <c r="E21" s="348">
        <v>2015</v>
      </c>
      <c r="F21" s="348"/>
      <c r="G21" s="348"/>
      <c r="H21" s="349"/>
      <c r="I21" s="1513"/>
      <c r="J21" s="347" t="s">
        <v>230</v>
      </c>
      <c r="K21" s="348">
        <f>K5</f>
        <v>2022</v>
      </c>
      <c r="L21" s="348">
        <f>L5</f>
        <v>2019</v>
      </c>
      <c r="M21" s="348">
        <f>M5</f>
        <v>2017</v>
      </c>
      <c r="N21" s="348"/>
      <c r="O21" s="348"/>
      <c r="P21" s="349"/>
      <c r="Q21" s="1513"/>
      <c r="R21" s="347" t="s">
        <v>230</v>
      </c>
      <c r="S21" s="348">
        <f>S5</f>
        <v>2018</v>
      </c>
      <c r="T21" s="348">
        <f>T5</f>
        <v>2021</v>
      </c>
      <c r="U21" s="348">
        <f>U5</f>
        <v>2022</v>
      </c>
      <c r="V21" s="348"/>
      <c r="W21" s="348"/>
    </row>
    <row r="22" spans="1:24" ht="12.75" customHeight="1">
      <c r="A22" s="1513"/>
      <c r="B22" s="361">
        <v>10</v>
      </c>
      <c r="C22" s="353">
        <v>9.9999999999999995E-7</v>
      </c>
      <c r="D22" s="353">
        <v>-1E-3</v>
      </c>
      <c r="E22" s="353">
        <v>9.9999999999999995E-7</v>
      </c>
      <c r="F22" s="354">
        <f t="shared" ref="F22:F25" si="12">0.5*(MAX(C22:E22)-MIN(C22:E22))</f>
        <v>5.0049999999999997E-4</v>
      </c>
      <c r="G22" s="366">
        <v>1.4</v>
      </c>
      <c r="H22" s="349"/>
      <c r="I22" s="1513"/>
      <c r="J22" s="361">
        <v>10</v>
      </c>
      <c r="K22" s="356">
        <v>0</v>
      </c>
      <c r="L22" s="353">
        <v>0.1</v>
      </c>
      <c r="M22" s="353">
        <v>9.9999999999999995E-7</v>
      </c>
      <c r="N22" s="354">
        <f t="shared" ref="N22:N25" si="13">0.5*(MAX(K22:M22)-MIN(K22:M22))</f>
        <v>0.05</v>
      </c>
      <c r="O22" s="359">
        <f>J22*$P$22</f>
        <v>5.8999999999999997E-2</v>
      </c>
      <c r="P22" s="349">
        <f>0.59/100</f>
        <v>5.8999999999999999E-3</v>
      </c>
      <c r="Q22" s="1513"/>
      <c r="R22" s="361">
        <v>10</v>
      </c>
      <c r="S22" s="359">
        <v>9.9999999999999995E-7</v>
      </c>
      <c r="T22" s="359">
        <v>0.26</v>
      </c>
      <c r="U22" s="359">
        <v>0</v>
      </c>
      <c r="V22" s="354">
        <f t="shared" ref="V22:V25" si="14">0.5*(MAX(S22:U22)-MIN(S22:U22))</f>
        <v>0.13</v>
      </c>
      <c r="W22" s="366">
        <f>R22*$X$22</f>
        <v>0.17</v>
      </c>
      <c r="X22" s="342">
        <f>1.7/100</f>
        <v>1.7000000000000001E-2</v>
      </c>
    </row>
    <row r="23" spans="1:24" ht="12.75" customHeight="1">
      <c r="A23" s="1513"/>
      <c r="B23" s="361">
        <v>20</v>
      </c>
      <c r="C23" s="353">
        <v>0.1</v>
      </c>
      <c r="D23" s="353">
        <v>9.9999999999999995E-7</v>
      </c>
      <c r="E23" s="353">
        <v>9.9999999999999995E-7</v>
      </c>
      <c r="F23" s="354">
        <f t="shared" si="12"/>
        <v>4.9999500000000002E-2</v>
      </c>
      <c r="G23" s="366">
        <v>1.4</v>
      </c>
      <c r="H23" s="349"/>
      <c r="I23" s="1513"/>
      <c r="J23" s="361">
        <v>20</v>
      </c>
      <c r="K23" s="356">
        <v>0.1</v>
      </c>
      <c r="L23" s="353">
        <v>0.2</v>
      </c>
      <c r="M23" s="353">
        <v>0.1</v>
      </c>
      <c r="N23" s="354">
        <f t="shared" si="13"/>
        <v>0.05</v>
      </c>
      <c r="O23" s="359">
        <f t="shared" ref="O23:O25" si="15">J23*$P$22</f>
        <v>0.11799999999999999</v>
      </c>
      <c r="P23" s="349"/>
      <c r="Q23" s="1513"/>
      <c r="R23" s="361">
        <v>20</v>
      </c>
      <c r="S23" s="359">
        <v>0</v>
      </c>
      <c r="T23" s="362">
        <v>9.9999999999999995E-7</v>
      </c>
      <c r="U23" s="362">
        <v>0</v>
      </c>
      <c r="V23" s="354">
        <f t="shared" si="14"/>
        <v>4.9999999999999998E-7</v>
      </c>
      <c r="W23" s="366">
        <f t="shared" ref="W23:W25" si="16">R23*$X$22</f>
        <v>0.34</v>
      </c>
    </row>
    <row r="24" spans="1:24" ht="12.75" customHeight="1">
      <c r="A24" s="1513"/>
      <c r="B24" s="361">
        <v>50</v>
      </c>
      <c r="C24" s="353">
        <v>0.3</v>
      </c>
      <c r="D24" s="353">
        <v>9.9999999999999995E-7</v>
      </c>
      <c r="E24" s="353">
        <v>9.9999999999999995E-7</v>
      </c>
      <c r="F24" s="354">
        <f t="shared" si="12"/>
        <v>0.14999950000000001</v>
      </c>
      <c r="G24" s="366">
        <v>1.4</v>
      </c>
      <c r="H24" s="349"/>
      <c r="I24" s="1513"/>
      <c r="J24" s="361">
        <v>50</v>
      </c>
      <c r="K24" s="356">
        <v>0.2</v>
      </c>
      <c r="L24" s="353">
        <v>0.3</v>
      </c>
      <c r="M24" s="353">
        <v>0.1</v>
      </c>
      <c r="N24" s="354">
        <f t="shared" si="13"/>
        <v>9.9999999999999992E-2</v>
      </c>
      <c r="O24" s="359">
        <f t="shared" si="15"/>
        <v>0.29499999999999998</v>
      </c>
      <c r="P24" s="349"/>
      <c r="Q24" s="1513"/>
      <c r="R24" s="361">
        <v>50</v>
      </c>
      <c r="S24" s="359">
        <v>0.3</v>
      </c>
      <c r="T24" s="359">
        <v>0.16</v>
      </c>
      <c r="U24" s="359">
        <v>0.1</v>
      </c>
      <c r="V24" s="354">
        <f t="shared" si="14"/>
        <v>9.9999999999999992E-2</v>
      </c>
      <c r="W24" s="366">
        <f t="shared" si="16"/>
        <v>0.85000000000000009</v>
      </c>
    </row>
    <row r="25" spans="1:24" ht="12.75" customHeight="1">
      <c r="A25" s="1513"/>
      <c r="B25" s="361">
        <v>100</v>
      </c>
      <c r="C25" s="353">
        <v>0.4</v>
      </c>
      <c r="D25" s="353">
        <v>9.9999999999999995E-7</v>
      </c>
      <c r="E25" s="353">
        <v>9.9999999999999995E-7</v>
      </c>
      <c r="F25" s="354">
        <f t="shared" si="12"/>
        <v>0.19999950000000002</v>
      </c>
      <c r="G25" s="366">
        <v>1.4</v>
      </c>
      <c r="H25" s="349"/>
      <c r="I25" s="1513"/>
      <c r="J25" s="361">
        <v>100</v>
      </c>
      <c r="K25" s="356">
        <v>0.2</v>
      </c>
      <c r="L25" s="353">
        <v>0.3</v>
      </c>
      <c r="M25" s="353">
        <v>9.9999999999999995E-7</v>
      </c>
      <c r="N25" s="354">
        <f t="shared" si="13"/>
        <v>0.14999950000000001</v>
      </c>
      <c r="O25" s="359">
        <f t="shared" si="15"/>
        <v>0.59</v>
      </c>
      <c r="P25" s="349"/>
      <c r="Q25" s="1513"/>
      <c r="R25" s="361">
        <v>100</v>
      </c>
      <c r="S25" s="359">
        <v>0.6</v>
      </c>
      <c r="T25" s="359">
        <v>0.06</v>
      </c>
      <c r="U25" s="359">
        <v>0.1</v>
      </c>
      <c r="V25" s="354">
        <f t="shared" si="14"/>
        <v>0.27</v>
      </c>
      <c r="W25" s="366">
        <f t="shared" si="16"/>
        <v>1.7000000000000002</v>
      </c>
    </row>
    <row r="26" spans="1:24" ht="12.75" customHeight="1">
      <c r="A26" s="1513"/>
      <c r="B26" s="1520" t="s">
        <v>186</v>
      </c>
      <c r="C26" s="1521"/>
      <c r="D26" s="1521"/>
      <c r="E26" s="1522"/>
      <c r="F26" s="348" t="s">
        <v>229</v>
      </c>
      <c r="G26" s="348" t="s">
        <v>183</v>
      </c>
      <c r="H26" s="349"/>
      <c r="I26" s="1513"/>
      <c r="J26" s="1520" t="str">
        <f>B26</f>
        <v>Resistance</v>
      </c>
      <c r="K26" s="1521"/>
      <c r="L26" s="1521"/>
      <c r="M26" s="1522"/>
      <c r="N26" s="348" t="s">
        <v>229</v>
      </c>
      <c r="O26" s="348" t="s">
        <v>183</v>
      </c>
      <c r="P26" s="349"/>
      <c r="Q26" s="1513"/>
      <c r="R26" s="1520" t="str">
        <f>B26</f>
        <v>Resistance</v>
      </c>
      <c r="S26" s="1521"/>
      <c r="T26" s="1521"/>
      <c r="U26" s="1522"/>
      <c r="V26" s="348" t="s">
        <v>229</v>
      </c>
      <c r="W26" s="348" t="s">
        <v>183</v>
      </c>
    </row>
    <row r="27" spans="1:24" ht="15" customHeight="1">
      <c r="A27" s="1513"/>
      <c r="B27" s="347" t="s">
        <v>231</v>
      </c>
      <c r="C27" s="348">
        <f>C5</f>
        <v>2022</v>
      </c>
      <c r="D27" s="348">
        <f>D5</f>
        <v>2020</v>
      </c>
      <c r="E27" s="348">
        <f>E5</f>
        <v>2019</v>
      </c>
      <c r="F27" s="348"/>
      <c r="G27" s="348"/>
      <c r="H27" s="349"/>
      <c r="I27" s="1513"/>
      <c r="J27" s="347" t="s">
        <v>231</v>
      </c>
      <c r="K27" s="348">
        <f>K5</f>
        <v>2022</v>
      </c>
      <c r="L27" s="348">
        <f>L5</f>
        <v>2019</v>
      </c>
      <c r="M27" s="348">
        <f>M5</f>
        <v>2017</v>
      </c>
      <c r="N27" s="348"/>
      <c r="O27" s="348"/>
      <c r="P27" s="349"/>
      <c r="Q27" s="1513"/>
      <c r="R27" s="347" t="s">
        <v>231</v>
      </c>
      <c r="S27" s="348">
        <f>S5</f>
        <v>2018</v>
      </c>
      <c r="T27" s="348">
        <f>T5</f>
        <v>2021</v>
      </c>
      <c r="U27" s="348">
        <f>U5</f>
        <v>2022</v>
      </c>
      <c r="V27" s="348"/>
      <c r="W27" s="348"/>
    </row>
    <row r="28" spans="1:24" ht="12.75" customHeight="1">
      <c r="A28" s="1513"/>
      <c r="B28" s="361">
        <v>0.01</v>
      </c>
      <c r="C28" s="369">
        <v>-2E-3</v>
      </c>
      <c r="D28" s="369">
        <v>9.9999999999999995E-7</v>
      </c>
      <c r="E28" s="369">
        <v>9.9999999999999995E-7</v>
      </c>
      <c r="F28" s="354">
        <f t="shared" ref="F28:F31" si="17">0.5*(MAX(C28:E28)-MIN(C28:E28))</f>
        <v>1.0005000000000001E-3</v>
      </c>
      <c r="G28" s="361">
        <f>B28*$H$28</f>
        <v>1.2E-4</v>
      </c>
      <c r="H28" s="349">
        <f>1.2/100</f>
        <v>1.2E-2</v>
      </c>
      <c r="I28" s="1513"/>
      <c r="J28" s="361">
        <v>0.01</v>
      </c>
      <c r="K28" s="368">
        <v>0</v>
      </c>
      <c r="L28" s="369">
        <v>9.9999999999999995E-7</v>
      </c>
      <c r="M28" s="369">
        <v>9.9999999999999995E-7</v>
      </c>
      <c r="N28" s="354">
        <f t="shared" ref="N28:N31" si="18">0.5*(MAX(K28:M28)-MIN(K28:M28))</f>
        <v>4.9999999999999998E-7</v>
      </c>
      <c r="O28" s="361">
        <f>J28*$P$28</f>
        <v>1.2E-4</v>
      </c>
      <c r="P28" s="370">
        <f>1.2/100</f>
        <v>1.2E-2</v>
      </c>
      <c r="Q28" s="1513"/>
      <c r="R28" s="361">
        <v>0.01</v>
      </c>
      <c r="S28" s="371">
        <v>9.9999999999999995E-7</v>
      </c>
      <c r="T28" s="362">
        <v>9.9999999999999995E-7</v>
      </c>
      <c r="U28" s="362">
        <v>0</v>
      </c>
      <c r="V28" s="354">
        <f t="shared" ref="V28:V31" si="19">0.5*(MAX(S28:U28)-MIN(S28:U28))</f>
        <v>4.9999999999999998E-7</v>
      </c>
      <c r="W28" s="372">
        <f>R28*$X$28</f>
        <v>1.2E-4</v>
      </c>
      <c r="X28" s="342">
        <f>1.2/100</f>
        <v>1.2E-2</v>
      </c>
    </row>
    <row r="29" spans="1:24" ht="12.75" customHeight="1">
      <c r="A29" s="1513"/>
      <c r="B29" s="361">
        <v>0.1</v>
      </c>
      <c r="C29" s="369">
        <v>1E-3</v>
      </c>
      <c r="D29" s="369">
        <v>-1E-3</v>
      </c>
      <c r="E29" s="369">
        <v>2E-3</v>
      </c>
      <c r="F29" s="354">
        <f t="shared" si="17"/>
        <v>1.5E-3</v>
      </c>
      <c r="G29" s="361">
        <f t="shared" ref="G29:G31" si="20">B29*$H$28</f>
        <v>1.2000000000000001E-3</v>
      </c>
      <c r="H29" s="349"/>
      <c r="I29" s="1513"/>
      <c r="J29" s="361">
        <v>0.1</v>
      </c>
      <c r="K29" s="368">
        <v>5.0000000000000001E-3</v>
      </c>
      <c r="L29" s="369">
        <v>6.0000000000000001E-3</v>
      </c>
      <c r="M29" s="369">
        <v>5.0000000000000001E-3</v>
      </c>
      <c r="N29" s="354">
        <f t="shared" si="18"/>
        <v>5.0000000000000001E-4</v>
      </c>
      <c r="O29" s="361">
        <f t="shared" ref="O29:O31" si="21">J29*$P$28</f>
        <v>1.2000000000000001E-3</v>
      </c>
      <c r="P29" s="349"/>
      <c r="Q29" s="1513"/>
      <c r="R29" s="361">
        <v>0.1</v>
      </c>
      <c r="S29" s="371">
        <v>9.9999999999999995E-7</v>
      </c>
      <c r="T29" s="362">
        <v>9.9999999999999995E-7</v>
      </c>
      <c r="U29" s="362">
        <v>-2E-3</v>
      </c>
      <c r="V29" s="354">
        <f t="shared" si="19"/>
        <v>1.0005000000000001E-3</v>
      </c>
      <c r="W29" s="372">
        <f t="shared" ref="W29:W31" si="22">R29*$X$28</f>
        <v>1.2000000000000001E-3</v>
      </c>
    </row>
    <row r="30" spans="1:24" ht="12.75" customHeight="1">
      <c r="A30" s="1513"/>
      <c r="B30" s="361">
        <v>1</v>
      </c>
      <c r="C30" s="369">
        <v>4.0000000000000001E-3</v>
      </c>
      <c r="D30" s="369">
        <v>4.0000000000000001E-3</v>
      </c>
      <c r="E30" s="369">
        <v>1.2E-2</v>
      </c>
      <c r="F30" s="354">
        <f t="shared" si="17"/>
        <v>4.0000000000000001E-3</v>
      </c>
      <c r="G30" s="361">
        <f t="shared" si="20"/>
        <v>1.2E-2</v>
      </c>
      <c r="H30" s="349"/>
      <c r="I30" s="1513"/>
      <c r="J30" s="361">
        <v>1</v>
      </c>
      <c r="K30" s="368">
        <v>5.8000000000000003E-2</v>
      </c>
      <c r="L30" s="369">
        <v>4.4999999999999998E-2</v>
      </c>
      <c r="M30" s="369">
        <v>5.5E-2</v>
      </c>
      <c r="N30" s="354">
        <f t="shared" si="18"/>
        <v>6.5000000000000023E-3</v>
      </c>
      <c r="O30" s="361">
        <f t="shared" si="21"/>
        <v>1.2E-2</v>
      </c>
      <c r="P30" s="349"/>
      <c r="Q30" s="1513"/>
      <c r="R30" s="361">
        <v>1</v>
      </c>
      <c r="S30" s="371">
        <v>9.9999999999999995E-7</v>
      </c>
      <c r="T30" s="371">
        <v>6.0000000000000001E-3</v>
      </c>
      <c r="U30" s="371">
        <v>-1.2E-2</v>
      </c>
      <c r="V30" s="354">
        <f t="shared" si="19"/>
        <v>9.0000000000000011E-3</v>
      </c>
      <c r="W30" s="372">
        <f t="shared" si="22"/>
        <v>1.2E-2</v>
      </c>
    </row>
    <row r="31" spans="1:24" ht="12.75" customHeight="1">
      <c r="A31" s="1514"/>
      <c r="B31" s="361">
        <v>2</v>
      </c>
      <c r="C31" s="369">
        <v>1.2E-2</v>
      </c>
      <c r="D31" s="369">
        <v>7.0000000000000001E-3</v>
      </c>
      <c r="E31" s="369">
        <v>9.9999999999999995E-7</v>
      </c>
      <c r="F31" s="354">
        <f t="shared" si="17"/>
        <v>5.9995000000000005E-3</v>
      </c>
      <c r="G31" s="361">
        <f t="shared" si="20"/>
        <v>2.4E-2</v>
      </c>
      <c r="H31" s="349"/>
      <c r="I31" s="1514"/>
      <c r="J31" s="361">
        <v>2</v>
      </c>
      <c r="K31" s="368">
        <v>0.113</v>
      </c>
      <c r="L31" s="369">
        <v>9.9999999999999995E-7</v>
      </c>
      <c r="M31" s="369">
        <v>9.9999999999999995E-7</v>
      </c>
      <c r="N31" s="354">
        <f t="shared" si="18"/>
        <v>5.6499500000000001E-2</v>
      </c>
      <c r="O31" s="373">
        <f t="shared" si="21"/>
        <v>2.4E-2</v>
      </c>
      <c r="P31" s="349"/>
      <c r="Q31" s="1514"/>
      <c r="R31" s="361">
        <v>2</v>
      </c>
      <c r="S31" s="371">
        <v>9.9999999999999995E-7</v>
      </c>
      <c r="T31" s="371">
        <v>1.2999999999999999E-2</v>
      </c>
      <c r="U31" s="371">
        <v>-8.0000000000000002E-3</v>
      </c>
      <c r="V31" s="354">
        <f t="shared" si="19"/>
        <v>1.0499999999999999E-2</v>
      </c>
      <c r="W31" s="372">
        <f t="shared" si="22"/>
        <v>2.4E-2</v>
      </c>
    </row>
    <row r="32" spans="1:24" s="376" customFormat="1" ht="19.5" customHeight="1">
      <c r="A32" s="374"/>
      <c r="B32" s="375"/>
      <c r="C32" s="375"/>
      <c r="E32" s="375"/>
      <c r="F32" s="375"/>
      <c r="G32" s="375"/>
      <c r="H32" s="377"/>
      <c r="I32" s="375"/>
      <c r="J32" s="375"/>
      <c r="K32" s="375"/>
      <c r="M32" s="375"/>
      <c r="N32" s="375"/>
      <c r="O32" s="375"/>
      <c r="P32" s="377"/>
      <c r="Q32" s="375"/>
      <c r="R32" s="375"/>
      <c r="S32" s="375"/>
      <c r="U32" s="375"/>
      <c r="V32" s="375"/>
      <c r="W32" s="378"/>
      <c r="X32" s="379"/>
    </row>
    <row r="33" spans="1:24" ht="30" customHeight="1">
      <c r="A33" s="1512">
        <v>4</v>
      </c>
      <c r="B33" s="1523" t="str">
        <f>A170</f>
        <v>Electrical Safety Analyzer, Merek : Fluke, Model : ESA 615, SN : 2853078</v>
      </c>
      <c r="C33" s="1523"/>
      <c r="D33" s="1523"/>
      <c r="E33" s="1523"/>
      <c r="F33" s="1523"/>
      <c r="G33" s="1523"/>
      <c r="H33" s="380"/>
      <c r="I33" s="1512">
        <v>5</v>
      </c>
      <c r="J33" s="1515" t="str">
        <f>A171</f>
        <v>Electrical Safety Analyzer, Merek : Fluke, Model : ESA 615, SN : 3148907</v>
      </c>
      <c r="K33" s="1515"/>
      <c r="L33" s="1515"/>
      <c r="M33" s="1515"/>
      <c r="N33" s="1515"/>
      <c r="O33" s="1515"/>
      <c r="P33" s="344"/>
      <c r="Q33" s="1512">
        <v>6</v>
      </c>
      <c r="R33" s="1523" t="str">
        <f>A172</f>
        <v>Electrical Safety Analyzer, Merek : Fluke, Model : ESA 615, SN : 3148908</v>
      </c>
      <c r="S33" s="1523"/>
      <c r="T33" s="1523"/>
      <c r="U33" s="1523"/>
      <c r="V33" s="1523"/>
      <c r="W33" s="1523"/>
    </row>
    <row r="34" spans="1:24" ht="15" customHeight="1">
      <c r="A34" s="1513"/>
      <c r="B34" s="1524" t="s">
        <v>227</v>
      </c>
      <c r="C34" s="1524"/>
      <c r="D34" s="1524"/>
      <c r="E34" s="1524"/>
      <c r="F34" s="381"/>
      <c r="G34" s="381"/>
      <c r="H34" s="346"/>
      <c r="I34" s="1513"/>
      <c r="J34" s="1524" t="s">
        <v>227</v>
      </c>
      <c r="K34" s="1524"/>
      <c r="L34" s="1524"/>
      <c r="M34" s="1524"/>
      <c r="N34" s="381"/>
      <c r="O34" s="381"/>
      <c r="P34" s="346"/>
      <c r="Q34" s="1513"/>
      <c r="R34" s="1524" t="s">
        <v>227</v>
      </c>
      <c r="S34" s="1524"/>
      <c r="T34" s="1524"/>
      <c r="U34" s="1524"/>
      <c r="V34" s="381"/>
      <c r="W34" s="381"/>
    </row>
    <row r="35" spans="1:24" ht="12.75" customHeight="1">
      <c r="A35" s="1513"/>
      <c r="B35" s="1517" t="s">
        <v>181</v>
      </c>
      <c r="C35" s="1518"/>
      <c r="D35" s="1518"/>
      <c r="E35" s="1519"/>
      <c r="F35" s="348" t="s">
        <v>229</v>
      </c>
      <c r="G35" s="348" t="s">
        <v>183</v>
      </c>
      <c r="H35" s="349"/>
      <c r="I35" s="1513"/>
      <c r="J35" s="1517" t="s">
        <v>181</v>
      </c>
      <c r="K35" s="1518"/>
      <c r="L35" s="1518"/>
      <c r="M35" s="1519"/>
      <c r="N35" s="348" t="s">
        <v>229</v>
      </c>
      <c r="O35" s="348" t="s">
        <v>183</v>
      </c>
      <c r="P35" s="349"/>
      <c r="Q35" s="1513"/>
      <c r="R35" s="1517" t="s">
        <v>181</v>
      </c>
      <c r="S35" s="1518"/>
      <c r="T35" s="1518"/>
      <c r="U35" s="1519"/>
      <c r="V35" s="348" t="s">
        <v>229</v>
      </c>
      <c r="W35" s="348" t="s">
        <v>183</v>
      </c>
    </row>
    <row r="36" spans="1:24" ht="15" customHeight="1">
      <c r="A36" s="1513"/>
      <c r="B36" s="347" t="s">
        <v>184</v>
      </c>
      <c r="C36" s="350">
        <v>2022</v>
      </c>
      <c r="D36" s="350">
        <v>2021</v>
      </c>
      <c r="E36" s="350">
        <v>2019</v>
      </c>
      <c r="F36" s="348"/>
      <c r="G36" s="348"/>
      <c r="H36" s="349"/>
      <c r="I36" s="1513"/>
      <c r="J36" s="347" t="s">
        <v>184</v>
      </c>
      <c r="K36" s="350">
        <v>2022</v>
      </c>
      <c r="L36" s="350">
        <v>2021</v>
      </c>
      <c r="M36" s="350">
        <v>2019</v>
      </c>
      <c r="N36" s="348"/>
      <c r="O36" s="348"/>
      <c r="P36" s="349"/>
      <c r="Q36" s="1513"/>
      <c r="R36" s="382" t="s">
        <v>184</v>
      </c>
      <c r="S36" s="350">
        <v>2023</v>
      </c>
      <c r="T36" s="350">
        <v>2022</v>
      </c>
      <c r="U36" s="350">
        <v>2019</v>
      </c>
      <c r="V36" s="348"/>
      <c r="W36" s="348"/>
    </row>
    <row r="37" spans="1:24" ht="12.75" customHeight="1">
      <c r="A37" s="1513"/>
      <c r="B37" s="361">
        <v>150</v>
      </c>
      <c r="C37" s="356">
        <v>0.08</v>
      </c>
      <c r="D37" s="357">
        <v>-0.05</v>
      </c>
      <c r="E37" s="357">
        <v>0.11</v>
      </c>
      <c r="F37" s="354">
        <f>0.5*(MAX(C37:E37)-MIN(C37:E37))</f>
        <v>0.08</v>
      </c>
      <c r="G37" s="365">
        <f>B37*$H$37</f>
        <v>1.8</v>
      </c>
      <c r="H37" s="349">
        <f>1.2/100</f>
        <v>1.2E-2</v>
      </c>
      <c r="I37" s="1513"/>
      <c r="J37" s="383">
        <v>150</v>
      </c>
      <c r="K37" s="357">
        <v>0.02</v>
      </c>
      <c r="L37" s="357">
        <v>0.25</v>
      </c>
      <c r="M37" s="357">
        <v>0.02</v>
      </c>
      <c r="N37" s="354">
        <f t="shared" ref="N37:N42" si="23">0.5*(MAX(K37:M37)-MIN(K37:M37))</f>
        <v>0.115</v>
      </c>
      <c r="O37" s="365">
        <f>J37*$P$37</f>
        <v>1.8</v>
      </c>
      <c r="P37" s="349">
        <f>1.2/100</f>
        <v>1.2E-2</v>
      </c>
      <c r="Q37" s="1513"/>
      <c r="R37" s="352">
        <v>150</v>
      </c>
      <c r="S37" s="357">
        <v>0.14000000000000001</v>
      </c>
      <c r="T37" s="357">
        <v>0.15</v>
      </c>
      <c r="U37" s="357">
        <v>-0.15</v>
      </c>
      <c r="V37" s="354">
        <f t="shared" ref="V37:V42" si="24">0.5*(MAX(S37:U37)-MIN(S37:U37))</f>
        <v>0.15</v>
      </c>
      <c r="W37" s="360">
        <f>R37*$X$37</f>
        <v>1.8</v>
      </c>
      <c r="X37" s="342">
        <f>1.2/100</f>
        <v>1.2E-2</v>
      </c>
    </row>
    <row r="38" spans="1:24" ht="12.75" customHeight="1">
      <c r="A38" s="1513"/>
      <c r="B38" s="361">
        <v>180</v>
      </c>
      <c r="C38" s="356">
        <v>0.11</v>
      </c>
      <c r="D38" s="357">
        <v>-0.04</v>
      </c>
      <c r="E38" s="357">
        <v>0.03</v>
      </c>
      <c r="F38" s="354">
        <f t="shared" ref="F38:F42" si="25">0.5*(MAX(C38:E38)-MIN(C38:E38))</f>
        <v>7.4999999999999997E-2</v>
      </c>
      <c r="G38" s="365">
        <f t="shared" ref="G38:G42" si="26">B38*$H$37</f>
        <v>2.16</v>
      </c>
      <c r="H38" s="349"/>
      <c r="I38" s="1513"/>
      <c r="J38" s="383">
        <v>180</v>
      </c>
      <c r="K38" s="357">
        <v>-0.08</v>
      </c>
      <c r="L38" s="357">
        <v>0.09</v>
      </c>
      <c r="M38" s="357">
        <v>0.1</v>
      </c>
      <c r="N38" s="354">
        <f t="shared" si="23"/>
        <v>0.09</v>
      </c>
      <c r="O38" s="365">
        <f t="shared" ref="O38:O42" si="27">J38*$P$37</f>
        <v>2.16</v>
      </c>
      <c r="P38" s="349"/>
      <c r="Q38" s="1513"/>
      <c r="R38" s="352">
        <v>180</v>
      </c>
      <c r="S38" s="357">
        <v>0.17</v>
      </c>
      <c r="T38" s="357">
        <v>0.17</v>
      </c>
      <c r="U38" s="357">
        <v>-0.11</v>
      </c>
      <c r="V38" s="354">
        <f t="shared" si="24"/>
        <v>0.14000000000000001</v>
      </c>
      <c r="W38" s="360">
        <f t="shared" ref="W38:W42" si="28">R38*$X$37</f>
        <v>2.16</v>
      </c>
    </row>
    <row r="39" spans="1:24" ht="12.75" customHeight="1">
      <c r="A39" s="1513"/>
      <c r="B39" s="361">
        <v>200</v>
      </c>
      <c r="C39" s="356">
        <v>0.11</v>
      </c>
      <c r="D39" s="357">
        <v>-0.67</v>
      </c>
      <c r="E39" s="357">
        <v>0.05</v>
      </c>
      <c r="F39" s="354">
        <f t="shared" si="25"/>
        <v>0.39</v>
      </c>
      <c r="G39" s="365">
        <f t="shared" si="26"/>
        <v>2.4</v>
      </c>
      <c r="H39" s="349"/>
      <c r="I39" s="1513"/>
      <c r="J39" s="383">
        <v>200</v>
      </c>
      <c r="K39" s="357">
        <v>-0.12</v>
      </c>
      <c r="L39" s="357">
        <v>0.18</v>
      </c>
      <c r="M39" s="357">
        <v>-0.03</v>
      </c>
      <c r="N39" s="354">
        <f t="shared" si="23"/>
        <v>0.15</v>
      </c>
      <c r="O39" s="365">
        <f t="shared" si="27"/>
        <v>2.4</v>
      </c>
      <c r="P39" s="349"/>
      <c r="Q39" s="1513"/>
      <c r="R39" s="352">
        <v>200</v>
      </c>
      <c r="S39" s="357">
        <v>0.08</v>
      </c>
      <c r="T39" s="357">
        <v>0.1</v>
      </c>
      <c r="U39" s="357">
        <v>-0.1</v>
      </c>
      <c r="V39" s="354">
        <f t="shared" si="24"/>
        <v>0.1</v>
      </c>
      <c r="W39" s="360">
        <f t="shared" si="28"/>
        <v>2.4</v>
      </c>
    </row>
    <row r="40" spans="1:24" ht="12.75" customHeight="1">
      <c r="A40" s="1513"/>
      <c r="B40" s="361">
        <v>220</v>
      </c>
      <c r="C40" s="356">
        <v>0.13</v>
      </c>
      <c r="D40" s="357">
        <v>9.9999999999999995E-7</v>
      </c>
      <c r="E40" s="357">
        <v>0.1</v>
      </c>
      <c r="F40" s="354">
        <f t="shared" si="25"/>
        <v>6.4999500000000002E-2</v>
      </c>
      <c r="G40" s="365">
        <f t="shared" si="26"/>
        <v>2.64</v>
      </c>
      <c r="H40" s="349"/>
      <c r="I40" s="1513"/>
      <c r="J40" s="383">
        <v>220</v>
      </c>
      <c r="K40" s="357">
        <v>-0.17</v>
      </c>
      <c r="L40" s="357">
        <v>0.56000000000000005</v>
      </c>
      <c r="M40" s="357">
        <v>0.38</v>
      </c>
      <c r="N40" s="354">
        <f t="shared" si="23"/>
        <v>0.36500000000000005</v>
      </c>
      <c r="O40" s="365">
        <f t="shared" si="27"/>
        <v>2.64</v>
      </c>
      <c r="P40" s="349"/>
      <c r="Q40" s="1513"/>
      <c r="R40" s="352">
        <v>220</v>
      </c>
      <c r="S40" s="357">
        <v>0.06</v>
      </c>
      <c r="T40" s="357">
        <v>7.0000000000000007E-2</v>
      </c>
      <c r="U40" s="357">
        <v>-0.13</v>
      </c>
      <c r="V40" s="354">
        <f t="shared" si="24"/>
        <v>0.1</v>
      </c>
      <c r="W40" s="360">
        <f t="shared" si="28"/>
        <v>2.64</v>
      </c>
    </row>
    <row r="41" spans="1:24" ht="12.75" customHeight="1">
      <c r="A41" s="1513"/>
      <c r="B41" s="361">
        <v>230</v>
      </c>
      <c r="C41" s="356">
        <v>0.11</v>
      </c>
      <c r="D41" s="357">
        <v>-0.11</v>
      </c>
      <c r="E41" s="357">
        <v>1.1100000000000001</v>
      </c>
      <c r="F41" s="354">
        <f t="shared" si="25"/>
        <v>0.6100000000000001</v>
      </c>
      <c r="G41" s="365">
        <f t="shared" si="26"/>
        <v>2.7600000000000002</v>
      </c>
      <c r="H41" s="349"/>
      <c r="I41" s="1513"/>
      <c r="J41" s="383">
        <v>230</v>
      </c>
      <c r="K41" s="357">
        <v>-0.14000000000000001</v>
      </c>
      <c r="L41" s="357">
        <v>0.73</v>
      </c>
      <c r="M41" s="357">
        <v>-0.16</v>
      </c>
      <c r="N41" s="354">
        <f t="shared" si="23"/>
        <v>0.44500000000000001</v>
      </c>
      <c r="O41" s="365">
        <f t="shared" si="27"/>
        <v>2.7600000000000002</v>
      </c>
      <c r="P41" s="349"/>
      <c r="Q41" s="1513"/>
      <c r="R41" s="352">
        <v>230</v>
      </c>
      <c r="S41" s="357">
        <v>0.04</v>
      </c>
      <c r="T41" s="357">
        <v>0.08</v>
      </c>
      <c r="U41" s="357">
        <v>-0.15</v>
      </c>
      <c r="V41" s="354">
        <f t="shared" si="24"/>
        <v>0.11499999999999999</v>
      </c>
      <c r="W41" s="360">
        <f t="shared" si="28"/>
        <v>2.7600000000000002</v>
      </c>
    </row>
    <row r="42" spans="1:24" ht="12.75" customHeight="1">
      <c r="A42" s="1513"/>
      <c r="B42" s="361">
        <v>250</v>
      </c>
      <c r="C42" s="356">
        <v>0</v>
      </c>
      <c r="D42" s="357">
        <v>9.9999999999999995E-7</v>
      </c>
      <c r="E42" s="357">
        <v>9.9999999999999995E-7</v>
      </c>
      <c r="F42" s="354">
        <f t="shared" si="25"/>
        <v>4.9999999999999998E-7</v>
      </c>
      <c r="G42" s="365">
        <f t="shared" si="26"/>
        <v>3</v>
      </c>
      <c r="H42" s="349"/>
      <c r="I42" s="1513"/>
      <c r="J42" s="383">
        <v>250</v>
      </c>
      <c r="K42" s="357">
        <v>-0.31</v>
      </c>
      <c r="L42" s="357">
        <v>9.9999999999999995E-7</v>
      </c>
      <c r="M42" s="357">
        <v>9.9999999999999995E-7</v>
      </c>
      <c r="N42" s="354">
        <f t="shared" si="23"/>
        <v>0.15500049999999999</v>
      </c>
      <c r="O42" s="365">
        <f t="shared" si="27"/>
        <v>3</v>
      </c>
      <c r="P42" s="349"/>
      <c r="Q42" s="1513"/>
      <c r="R42" s="352">
        <v>250</v>
      </c>
      <c r="S42" s="357">
        <v>0</v>
      </c>
      <c r="T42" s="357">
        <v>0</v>
      </c>
      <c r="U42" s="357">
        <v>9.9999999999999995E-7</v>
      </c>
      <c r="V42" s="354">
        <f t="shared" si="24"/>
        <v>4.9999999999999998E-7</v>
      </c>
      <c r="W42" s="360">
        <f t="shared" si="28"/>
        <v>3</v>
      </c>
    </row>
    <row r="43" spans="1:24" ht="12.75" customHeight="1">
      <c r="A43" s="1513"/>
      <c r="B43" s="1520" t="s">
        <v>179</v>
      </c>
      <c r="C43" s="1521"/>
      <c r="D43" s="1521"/>
      <c r="E43" s="1522"/>
      <c r="F43" s="348" t="s">
        <v>229</v>
      </c>
      <c r="G43" s="348" t="s">
        <v>183</v>
      </c>
      <c r="H43" s="349"/>
      <c r="I43" s="1513"/>
      <c r="J43" s="1520" t="s">
        <v>179</v>
      </c>
      <c r="K43" s="1521"/>
      <c r="L43" s="1521"/>
      <c r="M43" s="1522"/>
      <c r="N43" s="348" t="s">
        <v>229</v>
      </c>
      <c r="O43" s="348" t="s">
        <v>183</v>
      </c>
      <c r="P43" s="349"/>
      <c r="Q43" s="1513"/>
      <c r="R43" s="1520" t="s">
        <v>179</v>
      </c>
      <c r="S43" s="1521"/>
      <c r="T43" s="1521"/>
      <c r="U43" s="1522"/>
      <c r="V43" s="348" t="s">
        <v>229</v>
      </c>
      <c r="W43" s="348" t="s">
        <v>183</v>
      </c>
    </row>
    <row r="44" spans="1:24" ht="15" customHeight="1">
      <c r="A44" s="1513"/>
      <c r="B44" s="347" t="s">
        <v>189</v>
      </c>
      <c r="C44" s="348">
        <f>C36</f>
        <v>2022</v>
      </c>
      <c r="D44" s="348">
        <f>D36</f>
        <v>2021</v>
      </c>
      <c r="E44" s="348">
        <f>E36</f>
        <v>2019</v>
      </c>
      <c r="F44" s="348"/>
      <c r="G44" s="348"/>
      <c r="H44" s="349"/>
      <c r="I44" s="1513"/>
      <c r="J44" s="347" t="s">
        <v>189</v>
      </c>
      <c r="K44" s="348">
        <f>K36</f>
        <v>2022</v>
      </c>
      <c r="L44" s="348">
        <f>L36</f>
        <v>2021</v>
      </c>
      <c r="M44" s="348">
        <f>M36</f>
        <v>2019</v>
      </c>
      <c r="N44" s="348"/>
      <c r="O44" s="348"/>
      <c r="P44" s="349"/>
      <c r="Q44" s="1513"/>
      <c r="R44" s="347" t="s">
        <v>189</v>
      </c>
      <c r="S44" s="348">
        <f>S36</f>
        <v>2023</v>
      </c>
      <c r="T44" s="348">
        <f>T36</f>
        <v>2022</v>
      </c>
      <c r="U44" s="348">
        <f>U36</f>
        <v>2019</v>
      </c>
      <c r="V44" s="348"/>
      <c r="W44" s="348"/>
    </row>
    <row r="45" spans="1:24" ht="12.75" customHeight="1">
      <c r="A45" s="1513"/>
      <c r="B45" s="361">
        <v>0</v>
      </c>
      <c r="C45" s="356">
        <v>0</v>
      </c>
      <c r="D45" s="384">
        <v>9.9999999999999995E-7</v>
      </c>
      <c r="E45" s="353">
        <v>9.9999999999999995E-7</v>
      </c>
      <c r="F45" s="354">
        <f>0.5*(MAX(C45:E45)-MIN(C45:E45))</f>
        <v>4.9999999999999998E-7</v>
      </c>
      <c r="G45" s="365">
        <f>B45*$H$45</f>
        <v>0</v>
      </c>
      <c r="H45" s="349">
        <f>0.59/100</f>
        <v>5.8999999999999999E-3</v>
      </c>
      <c r="I45" s="1513"/>
      <c r="J45" s="385">
        <v>1.0000000000000001E-5</v>
      </c>
      <c r="K45" s="384">
        <v>0</v>
      </c>
      <c r="L45" s="384">
        <v>9.9999999999999995E-7</v>
      </c>
      <c r="M45" s="384">
        <v>9.9999999999999995E-7</v>
      </c>
      <c r="N45" s="354">
        <f t="shared" ref="N45:N50" si="29">0.5*(MAX(K45:M45)-MIN(K45:M45))</f>
        <v>4.9999999999999998E-7</v>
      </c>
      <c r="O45" s="365">
        <f>J45*$P$45</f>
        <v>5.9000000000000006E-8</v>
      </c>
      <c r="P45" s="349">
        <f>0.59/100</f>
        <v>5.8999999999999999E-3</v>
      </c>
      <c r="Q45" s="1513"/>
      <c r="R45" s="366">
        <v>9.9999999999999995E-7</v>
      </c>
      <c r="S45" s="360">
        <v>9.9999999999999995E-7</v>
      </c>
      <c r="T45" s="360">
        <v>9.9999999999999995E-7</v>
      </c>
      <c r="U45" s="360">
        <v>9.9999999999999995E-7</v>
      </c>
      <c r="V45" s="354">
        <f t="shared" ref="V45:V50" si="30">0.5*(MAX(S45:U45)-MIN(S45:U45))</f>
        <v>0</v>
      </c>
      <c r="W45" s="365">
        <f>R45*$X$45</f>
        <v>5.8999999999999999E-9</v>
      </c>
      <c r="X45" s="342">
        <f>0.59/100</f>
        <v>5.8999999999999999E-3</v>
      </c>
    </row>
    <row r="46" spans="1:24" ht="12.75" customHeight="1">
      <c r="A46" s="1513"/>
      <c r="B46" s="361">
        <v>50</v>
      </c>
      <c r="C46" s="356">
        <v>2.2999999999999998</v>
      </c>
      <c r="D46" s="357">
        <v>-0.3</v>
      </c>
      <c r="E46" s="357">
        <v>-0.28999999999999998</v>
      </c>
      <c r="F46" s="354">
        <f t="shared" ref="F46:F50" si="31">0.5*(MAX(C46:E46)-MIN(C46:E46))</f>
        <v>1.2999999999999998</v>
      </c>
      <c r="G46" s="365">
        <f t="shared" ref="G46:G50" si="32">B46*$H$45</f>
        <v>0.29499999999999998</v>
      </c>
      <c r="H46" s="349"/>
      <c r="I46" s="1513"/>
      <c r="J46" s="383">
        <v>50</v>
      </c>
      <c r="K46" s="357">
        <v>4.0999999999999996</v>
      </c>
      <c r="L46" s="357">
        <v>0.3</v>
      </c>
      <c r="M46" s="357">
        <v>-0.33</v>
      </c>
      <c r="N46" s="354">
        <f t="shared" si="29"/>
        <v>2.2149999999999999</v>
      </c>
      <c r="O46" s="365">
        <f t="shared" ref="O46:O50" si="33">J46*$P$45</f>
        <v>0.29499999999999998</v>
      </c>
      <c r="P46" s="349"/>
      <c r="Q46" s="1513"/>
      <c r="R46" s="361">
        <v>50</v>
      </c>
      <c r="S46" s="356">
        <v>4.5</v>
      </c>
      <c r="T46" s="357">
        <v>19.100000000000001</v>
      </c>
      <c r="U46" s="357">
        <v>0.02</v>
      </c>
      <c r="V46" s="354">
        <f t="shared" si="30"/>
        <v>9.5400000000000009</v>
      </c>
      <c r="W46" s="365">
        <f t="shared" ref="W46:W50" si="34">R46*$X$45</f>
        <v>0.29499999999999998</v>
      </c>
    </row>
    <row r="47" spans="1:24" ht="12.75" customHeight="1">
      <c r="A47" s="1513"/>
      <c r="B47" s="361">
        <v>100</v>
      </c>
      <c r="C47" s="356">
        <v>4.0999999999999996</v>
      </c>
      <c r="D47" s="357">
        <v>-0.4</v>
      </c>
      <c r="E47" s="357">
        <v>-0.35</v>
      </c>
      <c r="F47" s="354">
        <f t="shared" si="31"/>
        <v>2.25</v>
      </c>
      <c r="G47" s="365">
        <f t="shared" si="32"/>
        <v>0.59</v>
      </c>
      <c r="H47" s="349"/>
      <c r="I47" s="1513"/>
      <c r="J47" s="383">
        <v>100</v>
      </c>
      <c r="K47" s="357">
        <v>5</v>
      </c>
      <c r="L47" s="357">
        <v>-0.1</v>
      </c>
      <c r="M47" s="357">
        <v>-0.42</v>
      </c>
      <c r="N47" s="354">
        <f t="shared" si="29"/>
        <v>2.71</v>
      </c>
      <c r="O47" s="365">
        <f t="shared" si="33"/>
        <v>0.59</v>
      </c>
      <c r="P47" s="349"/>
      <c r="Q47" s="1513"/>
      <c r="R47" s="361">
        <v>100</v>
      </c>
      <c r="S47" s="356">
        <v>6.2</v>
      </c>
      <c r="T47" s="357">
        <v>18.399999999999999</v>
      </c>
      <c r="U47" s="357">
        <v>0.22</v>
      </c>
      <c r="V47" s="354">
        <f t="shared" si="30"/>
        <v>9.09</v>
      </c>
      <c r="W47" s="365">
        <f t="shared" si="34"/>
        <v>0.59</v>
      </c>
    </row>
    <row r="48" spans="1:24" ht="12.75" customHeight="1">
      <c r="A48" s="1513"/>
      <c r="B48" s="361">
        <v>200</v>
      </c>
      <c r="C48" s="356">
        <v>5</v>
      </c>
      <c r="D48" s="357">
        <v>0.3</v>
      </c>
      <c r="E48" s="357">
        <v>0.8</v>
      </c>
      <c r="F48" s="354">
        <f t="shared" si="31"/>
        <v>2.35</v>
      </c>
      <c r="G48" s="365">
        <f t="shared" si="32"/>
        <v>1.18</v>
      </c>
      <c r="H48" s="349"/>
      <c r="I48" s="1513"/>
      <c r="J48" s="383">
        <v>200</v>
      </c>
      <c r="K48" s="357">
        <v>7.7</v>
      </c>
      <c r="L48" s="357">
        <v>1.3</v>
      </c>
      <c r="M48" s="357">
        <v>1.3</v>
      </c>
      <c r="N48" s="354">
        <f t="shared" si="29"/>
        <v>3.2</v>
      </c>
      <c r="O48" s="365">
        <f t="shared" si="33"/>
        <v>1.18</v>
      </c>
      <c r="P48" s="349"/>
      <c r="Q48" s="1513"/>
      <c r="R48" s="361">
        <v>200</v>
      </c>
      <c r="S48" s="356">
        <v>9.4</v>
      </c>
      <c r="T48" s="357">
        <v>14.4</v>
      </c>
      <c r="U48" s="357">
        <v>0.8</v>
      </c>
      <c r="V48" s="354">
        <f t="shared" si="30"/>
        <v>6.8</v>
      </c>
      <c r="W48" s="365">
        <f t="shared" si="34"/>
        <v>1.18</v>
      </c>
    </row>
    <row r="49" spans="1:24" ht="12.75" customHeight="1">
      <c r="A49" s="1513"/>
      <c r="B49" s="361">
        <v>500</v>
      </c>
      <c r="C49" s="356">
        <v>3.5</v>
      </c>
      <c r="D49" s="357">
        <v>0.2</v>
      </c>
      <c r="E49" s="357">
        <v>1.2</v>
      </c>
      <c r="F49" s="354">
        <f t="shared" si="31"/>
        <v>1.65</v>
      </c>
      <c r="G49" s="365">
        <f t="shared" si="32"/>
        <v>2.9499999999999997</v>
      </c>
      <c r="H49" s="349"/>
      <c r="I49" s="1513"/>
      <c r="J49" s="383">
        <v>500</v>
      </c>
      <c r="K49" s="357">
        <v>5.7</v>
      </c>
      <c r="L49" s="357">
        <v>0.7</v>
      </c>
      <c r="M49" s="357">
        <v>0.7</v>
      </c>
      <c r="N49" s="354">
        <f t="shared" si="29"/>
        <v>2.5</v>
      </c>
      <c r="O49" s="365">
        <f t="shared" si="33"/>
        <v>2.9499999999999997</v>
      </c>
      <c r="P49" s="349"/>
      <c r="Q49" s="1513"/>
      <c r="R49" s="361">
        <v>500</v>
      </c>
      <c r="S49" s="356">
        <v>10.8</v>
      </c>
      <c r="T49" s="357">
        <v>6.2</v>
      </c>
      <c r="U49" s="357">
        <v>1.1000000000000001</v>
      </c>
      <c r="V49" s="354">
        <f t="shared" si="30"/>
        <v>4.8500000000000005</v>
      </c>
      <c r="W49" s="365">
        <f t="shared" si="34"/>
        <v>2.9499999999999997</v>
      </c>
    </row>
    <row r="50" spans="1:24" ht="12.75" customHeight="1">
      <c r="A50" s="1513"/>
      <c r="B50" s="361">
        <v>1000</v>
      </c>
      <c r="C50" s="356">
        <v>-1</v>
      </c>
      <c r="D50" s="357">
        <v>2</v>
      </c>
      <c r="E50" s="357">
        <v>2</v>
      </c>
      <c r="F50" s="354">
        <f t="shared" si="31"/>
        <v>1.5</v>
      </c>
      <c r="G50" s="365">
        <f t="shared" si="32"/>
        <v>5.8999999999999995</v>
      </c>
      <c r="H50" s="349"/>
      <c r="I50" s="1513"/>
      <c r="J50" s="383">
        <v>1000</v>
      </c>
      <c r="K50" s="357">
        <v>-88</v>
      </c>
      <c r="L50" s="357">
        <v>9.9999999999999995E-7</v>
      </c>
      <c r="M50" s="357">
        <v>9.9999999999999995E-7</v>
      </c>
      <c r="N50" s="354">
        <f t="shared" si="29"/>
        <v>44.000000499999999</v>
      </c>
      <c r="O50" s="365">
        <f t="shared" si="33"/>
        <v>5.8999999999999995</v>
      </c>
      <c r="P50" s="349"/>
      <c r="Q50" s="1513"/>
      <c r="R50" s="361">
        <v>1000</v>
      </c>
      <c r="S50" s="356">
        <v>-88</v>
      </c>
      <c r="T50" s="357">
        <v>0</v>
      </c>
      <c r="U50" s="357">
        <v>9.9999999999999995E-7</v>
      </c>
      <c r="V50" s="354">
        <f t="shared" si="30"/>
        <v>44.000000499999999</v>
      </c>
      <c r="W50" s="365">
        <f t="shared" si="34"/>
        <v>5.8999999999999995</v>
      </c>
    </row>
    <row r="51" spans="1:24" ht="12.75" customHeight="1">
      <c r="A51" s="1513"/>
      <c r="B51" s="1520" t="str">
        <f>B20</f>
        <v>Main-PE</v>
      </c>
      <c r="C51" s="1521"/>
      <c r="D51" s="1521"/>
      <c r="E51" s="1522"/>
      <c r="F51" s="348" t="s">
        <v>229</v>
      </c>
      <c r="G51" s="348" t="s">
        <v>183</v>
      </c>
      <c r="H51" s="349"/>
      <c r="I51" s="1513"/>
      <c r="J51" s="1520" t="str">
        <f>B51</f>
        <v>Main-PE</v>
      </c>
      <c r="K51" s="1521"/>
      <c r="L51" s="1521"/>
      <c r="M51" s="1522"/>
      <c r="N51" s="348" t="s">
        <v>229</v>
      </c>
      <c r="O51" s="348" t="s">
        <v>183</v>
      </c>
      <c r="P51" s="349"/>
      <c r="Q51" s="1513"/>
      <c r="R51" s="1520" t="str">
        <f>J51</f>
        <v>Main-PE</v>
      </c>
      <c r="S51" s="1521"/>
      <c r="T51" s="1521"/>
      <c r="U51" s="1522"/>
      <c r="V51" s="348" t="s">
        <v>229</v>
      </c>
      <c r="W51" s="348" t="s">
        <v>183</v>
      </c>
    </row>
    <row r="52" spans="1:24" ht="15" customHeight="1">
      <c r="A52" s="1513"/>
      <c r="B52" s="347" t="s">
        <v>230</v>
      </c>
      <c r="C52" s="348">
        <f>C36</f>
        <v>2022</v>
      </c>
      <c r="D52" s="348">
        <f>D36</f>
        <v>2021</v>
      </c>
      <c r="E52" s="348">
        <f>E36</f>
        <v>2019</v>
      </c>
      <c r="F52" s="348"/>
      <c r="G52" s="348"/>
      <c r="H52" s="349"/>
      <c r="I52" s="1513"/>
      <c r="J52" s="347" t="s">
        <v>230</v>
      </c>
      <c r="K52" s="348">
        <f>K36</f>
        <v>2022</v>
      </c>
      <c r="L52" s="348">
        <f>L36</f>
        <v>2021</v>
      </c>
      <c r="M52" s="348">
        <f>M36</f>
        <v>2019</v>
      </c>
      <c r="N52" s="348"/>
      <c r="O52" s="348"/>
      <c r="P52" s="349"/>
      <c r="Q52" s="1513"/>
      <c r="R52" s="347" t="s">
        <v>230</v>
      </c>
      <c r="S52" s="348">
        <f>S36</f>
        <v>2023</v>
      </c>
      <c r="T52" s="348">
        <f>T36</f>
        <v>2022</v>
      </c>
      <c r="U52" s="348">
        <f>U36</f>
        <v>2019</v>
      </c>
      <c r="V52" s="348"/>
      <c r="W52" s="348"/>
    </row>
    <row r="53" spans="1:24" ht="12.75" customHeight="1">
      <c r="A53" s="1513"/>
      <c r="B53" s="361">
        <v>10</v>
      </c>
      <c r="C53" s="356">
        <v>0</v>
      </c>
      <c r="D53" s="357">
        <v>9.9999999999999995E-7</v>
      </c>
      <c r="E53" s="357">
        <v>0.1</v>
      </c>
      <c r="F53" s="354">
        <f>0.5*(MAX(C53:E53)-MIN(C53:E53))</f>
        <v>0.05</v>
      </c>
      <c r="G53" s="366">
        <f>B53*$H$53</f>
        <v>0.17</v>
      </c>
      <c r="H53" s="349">
        <f>1.7/100</f>
        <v>1.7000000000000001E-2</v>
      </c>
      <c r="I53" s="1513"/>
      <c r="J53" s="361">
        <v>10</v>
      </c>
      <c r="K53" s="357">
        <v>0</v>
      </c>
      <c r="L53" s="357">
        <v>9.9999999999999995E-7</v>
      </c>
      <c r="M53" s="357">
        <v>0.1</v>
      </c>
      <c r="N53" s="354">
        <f>0.5*(MAX(K53:M53)-MIN(K53:M53))</f>
        <v>0.05</v>
      </c>
      <c r="O53" s="366">
        <f>J53*$P$53</f>
        <v>0.17</v>
      </c>
      <c r="P53" s="349">
        <f>1.7/100</f>
        <v>1.7000000000000001E-2</v>
      </c>
      <c r="Q53" s="1513"/>
      <c r="R53" s="361">
        <v>9.9999999999999995E-7</v>
      </c>
      <c r="S53" s="356">
        <v>0</v>
      </c>
      <c r="T53" s="357">
        <v>0.1</v>
      </c>
      <c r="U53" s="357">
        <v>0.1</v>
      </c>
      <c r="V53" s="354">
        <f t="shared" ref="V53:V56" si="35">0.5*(MAX(S53:U53)-MIN(S53:U53))</f>
        <v>0.05</v>
      </c>
      <c r="W53" s="366">
        <f>R53*$X$53</f>
        <v>1.7E-8</v>
      </c>
      <c r="X53" s="342">
        <f>1.7/100</f>
        <v>1.7000000000000001E-2</v>
      </c>
    </row>
    <row r="54" spans="1:24" ht="12.75" customHeight="1">
      <c r="A54" s="1513"/>
      <c r="B54" s="361">
        <v>20</v>
      </c>
      <c r="C54" s="356">
        <v>0.1</v>
      </c>
      <c r="D54" s="357">
        <v>0.1</v>
      </c>
      <c r="E54" s="357">
        <v>0.2</v>
      </c>
      <c r="F54" s="354">
        <f t="shared" ref="F54:F56" si="36">0.5*(MAX(C54:E54)-MIN(C54:E54))</f>
        <v>0.05</v>
      </c>
      <c r="G54" s="366">
        <f t="shared" ref="G54:G56" si="37">B54*$H$53</f>
        <v>0.34</v>
      </c>
      <c r="H54" s="349"/>
      <c r="I54" s="1513"/>
      <c r="J54" s="361">
        <v>20</v>
      </c>
      <c r="K54" s="357">
        <v>0.1</v>
      </c>
      <c r="L54" s="357">
        <v>0.1</v>
      </c>
      <c r="M54" s="357">
        <v>0.1</v>
      </c>
      <c r="N54" s="354">
        <f>0.5*(MAX(K54:M54)-MIN(K54:M54))</f>
        <v>0</v>
      </c>
      <c r="O54" s="366">
        <f t="shared" ref="O54:O56" si="38">J54*$P$53</f>
        <v>0.34</v>
      </c>
      <c r="P54" s="349"/>
      <c r="Q54" s="1513"/>
      <c r="R54" s="361">
        <v>20</v>
      </c>
      <c r="S54" s="356">
        <v>0.1</v>
      </c>
      <c r="T54" s="357">
        <v>0.1</v>
      </c>
      <c r="U54" s="357">
        <v>0.1</v>
      </c>
      <c r="V54" s="354">
        <f t="shared" si="35"/>
        <v>0</v>
      </c>
      <c r="W54" s="366">
        <f t="shared" ref="W54:W56" si="39">R54*$X$53</f>
        <v>0.34</v>
      </c>
    </row>
    <row r="55" spans="1:24" ht="12.75" customHeight="1">
      <c r="A55" s="1513"/>
      <c r="B55" s="361">
        <v>50</v>
      </c>
      <c r="C55" s="356">
        <v>0.4</v>
      </c>
      <c r="D55" s="384">
        <v>0.4</v>
      </c>
      <c r="E55" s="384">
        <v>0.5</v>
      </c>
      <c r="F55" s="354">
        <f t="shared" si="36"/>
        <v>4.9999999999999989E-2</v>
      </c>
      <c r="G55" s="366">
        <f t="shared" si="37"/>
        <v>0.85000000000000009</v>
      </c>
      <c r="H55" s="349"/>
      <c r="I55" s="1513"/>
      <c r="J55" s="361">
        <v>50</v>
      </c>
      <c r="K55" s="384">
        <v>0.3</v>
      </c>
      <c r="L55" s="384">
        <v>0.6</v>
      </c>
      <c r="M55" s="384">
        <v>0.4</v>
      </c>
      <c r="N55" s="354">
        <f>0.5*(MAX(K55:M55)-MIN(K55:M55))</f>
        <v>0.15</v>
      </c>
      <c r="O55" s="366">
        <f t="shared" si="38"/>
        <v>0.85000000000000009</v>
      </c>
      <c r="P55" s="349"/>
      <c r="Q55" s="1513"/>
      <c r="R55" s="361">
        <v>50</v>
      </c>
      <c r="S55" s="356">
        <v>0.1</v>
      </c>
      <c r="T55" s="384">
        <v>0.3</v>
      </c>
      <c r="U55" s="384">
        <v>0.3</v>
      </c>
      <c r="V55" s="354">
        <f t="shared" si="35"/>
        <v>9.9999999999999992E-2</v>
      </c>
      <c r="W55" s="366">
        <f t="shared" si="39"/>
        <v>0.85000000000000009</v>
      </c>
    </row>
    <row r="56" spans="1:24" ht="12.75" customHeight="1">
      <c r="A56" s="1513"/>
      <c r="B56" s="361">
        <v>100</v>
      </c>
      <c r="C56" s="356">
        <v>0.8</v>
      </c>
      <c r="D56" s="384">
        <v>1.4</v>
      </c>
      <c r="E56" s="384">
        <v>1</v>
      </c>
      <c r="F56" s="354">
        <f t="shared" si="36"/>
        <v>0.29999999999999993</v>
      </c>
      <c r="G56" s="366">
        <f t="shared" si="37"/>
        <v>1.7000000000000002</v>
      </c>
      <c r="H56" s="349"/>
      <c r="I56" s="1513"/>
      <c r="J56" s="361">
        <v>100</v>
      </c>
      <c r="K56" s="384">
        <v>0.4</v>
      </c>
      <c r="L56" s="384">
        <v>1.5</v>
      </c>
      <c r="M56" s="384">
        <v>0.8</v>
      </c>
      <c r="N56" s="354">
        <f>0.5*(MAX(K56:M56)-MIN(K56:M56))</f>
        <v>0.55000000000000004</v>
      </c>
      <c r="O56" s="366">
        <f t="shared" si="38"/>
        <v>1.7000000000000002</v>
      </c>
      <c r="P56" s="349"/>
      <c r="Q56" s="1513"/>
      <c r="R56" s="361">
        <v>100</v>
      </c>
      <c r="S56" s="356">
        <v>2</v>
      </c>
      <c r="T56" s="384">
        <v>0.6</v>
      </c>
      <c r="U56" s="384">
        <v>0.6</v>
      </c>
      <c r="V56" s="354">
        <f t="shared" si="35"/>
        <v>0.7</v>
      </c>
      <c r="W56" s="366">
        <f t="shared" si="39"/>
        <v>1.7000000000000002</v>
      </c>
    </row>
    <row r="57" spans="1:24" ht="12.75" customHeight="1">
      <c r="A57" s="1513"/>
      <c r="B57" s="1520" t="str">
        <f>B26</f>
        <v>Resistance</v>
      </c>
      <c r="C57" s="1521"/>
      <c r="D57" s="1521"/>
      <c r="E57" s="1522"/>
      <c r="F57" s="348" t="s">
        <v>229</v>
      </c>
      <c r="G57" s="348" t="s">
        <v>183</v>
      </c>
      <c r="H57" s="349"/>
      <c r="I57" s="1513"/>
      <c r="J57" s="1520" t="str">
        <f>B57</f>
        <v>Resistance</v>
      </c>
      <c r="K57" s="1521"/>
      <c r="L57" s="1521"/>
      <c r="M57" s="1522"/>
      <c r="N57" s="348" t="s">
        <v>229</v>
      </c>
      <c r="O57" s="348" t="s">
        <v>183</v>
      </c>
      <c r="P57" s="349"/>
      <c r="Q57" s="1513"/>
      <c r="R57" s="1520" t="str">
        <f>J57</f>
        <v>Resistance</v>
      </c>
      <c r="S57" s="1521"/>
      <c r="T57" s="1521"/>
      <c r="U57" s="1522"/>
      <c r="V57" s="348" t="s">
        <v>229</v>
      </c>
      <c r="W57" s="348" t="s">
        <v>183</v>
      </c>
    </row>
    <row r="58" spans="1:24" ht="15" customHeight="1">
      <c r="A58" s="1513"/>
      <c r="B58" s="347" t="s">
        <v>231</v>
      </c>
      <c r="C58" s="348">
        <f>C36</f>
        <v>2022</v>
      </c>
      <c r="D58" s="348">
        <f>D36</f>
        <v>2021</v>
      </c>
      <c r="E58" s="348">
        <f>E36</f>
        <v>2019</v>
      </c>
      <c r="F58" s="348"/>
      <c r="G58" s="348"/>
      <c r="H58" s="349"/>
      <c r="I58" s="1513"/>
      <c r="J58" s="347" t="s">
        <v>231</v>
      </c>
      <c r="K58" s="348">
        <f>K36</f>
        <v>2022</v>
      </c>
      <c r="L58" s="348">
        <f>L36</f>
        <v>2021</v>
      </c>
      <c r="M58" s="348">
        <f>M36</f>
        <v>2019</v>
      </c>
      <c r="N58" s="348"/>
      <c r="O58" s="348"/>
      <c r="P58" s="349"/>
      <c r="Q58" s="1513"/>
      <c r="R58" s="347" t="s">
        <v>231</v>
      </c>
      <c r="S58" s="348">
        <f>S36</f>
        <v>2023</v>
      </c>
      <c r="T58" s="348">
        <f>T36</f>
        <v>2022</v>
      </c>
      <c r="U58" s="348">
        <f>U36</f>
        <v>2019</v>
      </c>
      <c r="V58" s="348"/>
      <c r="W58" s="348"/>
    </row>
    <row r="59" spans="1:24" ht="12.75" customHeight="1">
      <c r="A59" s="1513"/>
      <c r="B59" s="361">
        <v>0.01</v>
      </c>
      <c r="C59" s="368">
        <v>0</v>
      </c>
      <c r="D59" s="386">
        <v>9.9999999999999995E-7</v>
      </c>
      <c r="E59" s="386">
        <v>9.9999999999999995E-7</v>
      </c>
      <c r="F59" s="354">
        <f>0.5*(MAX(C59:E59)-MIN(C59:E59))</f>
        <v>4.9999999999999998E-7</v>
      </c>
      <c r="G59" s="361">
        <f>B59*$H$59</f>
        <v>1.2E-4</v>
      </c>
      <c r="H59" s="349">
        <f>1.2/100</f>
        <v>1.2E-2</v>
      </c>
      <c r="I59" s="1513"/>
      <c r="J59" s="383">
        <v>0.01</v>
      </c>
      <c r="K59" s="386">
        <v>0</v>
      </c>
      <c r="L59" s="386">
        <v>9.9999999999999995E-7</v>
      </c>
      <c r="M59" s="386">
        <v>9.9999999999999995E-7</v>
      </c>
      <c r="N59" s="354">
        <f>0.5*(MAX(K59:M59)-MIN(K59:M59))</f>
        <v>4.9999999999999998E-7</v>
      </c>
      <c r="O59" s="361">
        <f>J59*$P$59</f>
        <v>1.2E-4</v>
      </c>
      <c r="P59" s="349">
        <f>1.2/100</f>
        <v>1.2E-2</v>
      </c>
      <c r="Q59" s="1513"/>
      <c r="R59" s="361">
        <v>0.01</v>
      </c>
      <c r="S59" s="368">
        <v>0</v>
      </c>
      <c r="T59" s="386">
        <v>0</v>
      </c>
      <c r="U59" s="386">
        <v>9.9999999999999995E-7</v>
      </c>
      <c r="V59" s="354">
        <f t="shared" ref="V59:V62" si="40">0.5*(MAX(S59:U59)-MIN(S59:U59))</f>
        <v>4.9999999999999998E-7</v>
      </c>
      <c r="W59" s="361">
        <f>R59*$X$59</f>
        <v>1.2E-4</v>
      </c>
      <c r="X59" s="387">
        <f>1.2/100</f>
        <v>1.2E-2</v>
      </c>
    </row>
    <row r="60" spans="1:24" ht="12.75" customHeight="1">
      <c r="A60" s="1513"/>
      <c r="B60" s="361">
        <v>0.1</v>
      </c>
      <c r="C60" s="368">
        <v>0</v>
      </c>
      <c r="D60" s="386">
        <v>-2E-3</v>
      </c>
      <c r="E60" s="386">
        <v>9.9999999999999995E-7</v>
      </c>
      <c r="F60" s="354">
        <f t="shared" ref="F60:F62" si="41">0.5*(MAX(C60:E60)-MIN(C60:E60))</f>
        <v>1.0005000000000001E-3</v>
      </c>
      <c r="G60" s="361">
        <f t="shared" ref="G60:G62" si="42">B60*$H$59</f>
        <v>1.2000000000000001E-3</v>
      </c>
      <c r="H60" s="349"/>
      <c r="I60" s="1513"/>
      <c r="J60" s="383">
        <v>0.1</v>
      </c>
      <c r="K60" s="386">
        <v>-6.0000000000000001E-3</v>
      </c>
      <c r="L60" s="386">
        <v>5.0000000000000001E-3</v>
      </c>
      <c r="M60" s="386">
        <v>2E-3</v>
      </c>
      <c r="N60" s="354">
        <f>0.5*(MAX(K60:M60)-MIN(K60:M60))</f>
        <v>5.4999999999999997E-3</v>
      </c>
      <c r="O60" s="361">
        <f t="shared" ref="O60:O62" si="43">J60*$P$59</f>
        <v>1.2000000000000001E-3</v>
      </c>
      <c r="P60" s="349"/>
      <c r="Q60" s="1513"/>
      <c r="R60" s="361">
        <v>0.1</v>
      </c>
      <c r="S60" s="368">
        <v>0</v>
      </c>
      <c r="T60" s="386">
        <v>-3.0000000000000001E-3</v>
      </c>
      <c r="U60" s="386">
        <v>-2E-3</v>
      </c>
      <c r="V60" s="354">
        <f t="shared" si="40"/>
        <v>1.5E-3</v>
      </c>
      <c r="W60" s="361">
        <f t="shared" ref="W60:W62" si="44">R60*$X$59</f>
        <v>1.2000000000000001E-3</v>
      </c>
    </row>
    <row r="61" spans="1:24" ht="12.75" customHeight="1">
      <c r="A61" s="1513"/>
      <c r="B61" s="361">
        <v>1</v>
      </c>
      <c r="C61" s="368">
        <v>-2E-3</v>
      </c>
      <c r="D61" s="386">
        <v>-8.0000000000000002E-3</v>
      </c>
      <c r="E61" s="386">
        <v>-1E-3</v>
      </c>
      <c r="F61" s="354">
        <f t="shared" si="41"/>
        <v>3.5000000000000001E-3</v>
      </c>
      <c r="G61" s="361">
        <f t="shared" si="42"/>
        <v>1.2E-2</v>
      </c>
      <c r="H61" s="349"/>
      <c r="I61" s="1513"/>
      <c r="J61" s="383">
        <v>1</v>
      </c>
      <c r="K61" s="386">
        <v>-2E-3</v>
      </c>
      <c r="L61" s="386">
        <v>1.7999999999999999E-2</v>
      </c>
      <c r="M61" s="386">
        <v>1.2E-2</v>
      </c>
      <c r="N61" s="354">
        <f t="shared" ref="N61:N62" si="45">0.5*(MAX(K61:M61)-MIN(K61:M61))</f>
        <v>9.9999999999999985E-3</v>
      </c>
      <c r="O61" s="361">
        <f t="shared" si="43"/>
        <v>1.2E-2</v>
      </c>
      <c r="P61" s="349"/>
      <c r="Q61" s="1513"/>
      <c r="R61" s="361">
        <v>1</v>
      </c>
      <c r="S61" s="368">
        <v>-6.0000000000000001E-3</v>
      </c>
      <c r="T61" s="386">
        <v>-7.0000000000000001E-3</v>
      </c>
      <c r="U61" s="386">
        <v>-1E-3</v>
      </c>
      <c r="V61" s="354">
        <f t="shared" si="40"/>
        <v>3.0000000000000001E-3</v>
      </c>
      <c r="W61" s="361">
        <f t="shared" si="44"/>
        <v>1.2E-2</v>
      </c>
    </row>
    <row r="62" spans="1:24" ht="12.75" customHeight="1">
      <c r="A62" s="1514"/>
      <c r="B62" s="361">
        <v>2</v>
      </c>
      <c r="C62" s="368">
        <v>-6.0000000000000001E-3</v>
      </c>
      <c r="D62" s="386">
        <v>-7.0000000000000001E-3</v>
      </c>
      <c r="E62" s="386">
        <v>9.9999999999999995E-7</v>
      </c>
      <c r="F62" s="354">
        <f t="shared" si="41"/>
        <v>3.5005000000000001E-3</v>
      </c>
      <c r="G62" s="361">
        <f t="shared" si="42"/>
        <v>2.4E-2</v>
      </c>
      <c r="H62" s="349" t="s">
        <v>108</v>
      </c>
      <c r="I62" s="1514"/>
      <c r="J62" s="383">
        <v>2</v>
      </c>
      <c r="K62" s="388">
        <v>-4.0000000000000001E-3</v>
      </c>
      <c r="L62" s="388">
        <v>0.113</v>
      </c>
      <c r="M62" s="388">
        <v>9.9999999999999995E-7</v>
      </c>
      <c r="N62" s="354">
        <f t="shared" si="45"/>
        <v>5.8500000000000003E-2</v>
      </c>
      <c r="O62" s="361">
        <f t="shared" si="43"/>
        <v>2.4E-2</v>
      </c>
      <c r="P62" s="349"/>
      <c r="Q62" s="1514"/>
      <c r="R62" s="361">
        <v>2</v>
      </c>
      <c r="S62" s="368">
        <v>-7.0000000000000001E-3</v>
      </c>
      <c r="T62" s="386">
        <v>-7.0000000000000001E-3</v>
      </c>
      <c r="U62" s="386">
        <v>9.9999999999999995E-7</v>
      </c>
      <c r="V62" s="354">
        <f t="shared" si="40"/>
        <v>3.5005000000000001E-3</v>
      </c>
      <c r="W62" s="361">
        <f t="shared" si="44"/>
        <v>2.4E-2</v>
      </c>
    </row>
    <row r="63" spans="1:24" s="376" customFormat="1" ht="15.6">
      <c r="A63" s="389"/>
      <c r="B63" s="390"/>
      <c r="C63" s="391"/>
      <c r="E63" s="391"/>
      <c r="F63" s="391"/>
      <c r="G63" s="391"/>
      <c r="H63" s="377"/>
      <c r="I63" s="392"/>
      <c r="J63" s="393"/>
      <c r="K63" s="391"/>
      <c r="M63" s="391"/>
      <c r="N63" s="391"/>
      <c r="O63" s="391"/>
      <c r="P63" s="377"/>
      <c r="Q63" s="392"/>
      <c r="R63" s="390"/>
      <c r="S63" s="391"/>
      <c r="U63" s="375"/>
      <c r="V63" s="375"/>
      <c r="W63" s="378"/>
      <c r="X63" s="379"/>
    </row>
    <row r="64" spans="1:24" ht="30" customHeight="1">
      <c r="A64" s="1512">
        <v>7</v>
      </c>
      <c r="B64" s="1523" t="str">
        <f>A173</f>
        <v>Electrical Safety Analyzer, Merek : Fluke, Model : ESA 615, SN : 3699030</v>
      </c>
      <c r="C64" s="1523"/>
      <c r="D64" s="1523"/>
      <c r="E64" s="1523"/>
      <c r="F64" s="1523"/>
      <c r="G64" s="1523"/>
      <c r="H64" s="344"/>
      <c r="I64" s="1512">
        <v>8</v>
      </c>
      <c r="J64" s="1515" t="str">
        <f>A174</f>
        <v>Electrical Safety Analyzer, Merek : Fluke, Model : ESA 615, SN : 4670010</v>
      </c>
      <c r="K64" s="1515"/>
      <c r="L64" s="1515"/>
      <c r="M64" s="1515"/>
      <c r="N64" s="1515"/>
      <c r="O64" s="1515"/>
      <c r="P64" s="344"/>
      <c r="Q64" s="1512">
        <v>9</v>
      </c>
      <c r="R64" s="1515" t="str">
        <f>A175</f>
        <v>Electrical Safety Analyzer, Merek : Fluke, Model : ESA 615, SN : 4669058</v>
      </c>
      <c r="S64" s="1515"/>
      <c r="T64" s="1515"/>
      <c r="U64" s="1515"/>
      <c r="V64" s="1515"/>
      <c r="W64" s="1515"/>
    </row>
    <row r="65" spans="1:26" ht="15" customHeight="1">
      <c r="A65" s="1513"/>
      <c r="B65" s="1524" t="s">
        <v>227</v>
      </c>
      <c r="C65" s="1524"/>
      <c r="D65" s="1524"/>
      <c r="E65" s="1524"/>
      <c r="F65" s="381"/>
      <c r="G65" s="381"/>
      <c r="H65" s="346"/>
      <c r="I65" s="1513"/>
      <c r="J65" s="1525" t="s">
        <v>227</v>
      </c>
      <c r="K65" s="1526"/>
      <c r="L65" s="1526"/>
      <c r="M65" s="1527"/>
      <c r="N65" s="382"/>
      <c r="O65" s="382"/>
      <c r="P65" s="346"/>
      <c r="Q65" s="1513"/>
      <c r="R65" s="1524" t="s">
        <v>227</v>
      </c>
      <c r="S65" s="1524"/>
      <c r="T65" s="1524"/>
      <c r="U65" s="1524"/>
      <c r="V65" s="382"/>
      <c r="W65" s="382"/>
    </row>
    <row r="66" spans="1:26" ht="12.75" customHeight="1">
      <c r="A66" s="1513"/>
      <c r="B66" s="1517" t="s">
        <v>181</v>
      </c>
      <c r="C66" s="1518"/>
      <c r="D66" s="1518"/>
      <c r="E66" s="1519"/>
      <c r="F66" s="348" t="s">
        <v>229</v>
      </c>
      <c r="G66" s="348" t="s">
        <v>183</v>
      </c>
      <c r="H66" s="349"/>
      <c r="I66" s="1513"/>
      <c r="J66" s="1517" t="s">
        <v>181</v>
      </c>
      <c r="K66" s="1518"/>
      <c r="L66" s="1518"/>
      <c r="M66" s="1519"/>
      <c r="N66" s="348" t="s">
        <v>229</v>
      </c>
      <c r="O66" s="348" t="s">
        <v>183</v>
      </c>
      <c r="P66" s="349"/>
      <c r="Q66" s="1513"/>
      <c r="R66" s="1517" t="s">
        <v>181</v>
      </c>
      <c r="S66" s="1518"/>
      <c r="T66" s="1518"/>
      <c r="U66" s="1519"/>
      <c r="V66" s="348" t="s">
        <v>229</v>
      </c>
      <c r="W66" s="348" t="s">
        <v>183</v>
      </c>
    </row>
    <row r="67" spans="1:26" ht="15" customHeight="1">
      <c r="A67" s="1513"/>
      <c r="B67" s="347" t="s">
        <v>184</v>
      </c>
      <c r="C67" s="350">
        <v>2023</v>
      </c>
      <c r="D67" s="350">
        <v>2022</v>
      </c>
      <c r="E67" s="350">
        <v>2020</v>
      </c>
      <c r="F67" s="348"/>
      <c r="G67" s="348"/>
      <c r="H67" s="349"/>
      <c r="I67" s="1513"/>
      <c r="J67" s="347" t="s">
        <v>184</v>
      </c>
      <c r="K67" s="348">
        <v>2023</v>
      </c>
      <c r="L67" s="350">
        <v>2022</v>
      </c>
      <c r="M67" s="350">
        <v>2020</v>
      </c>
      <c r="N67" s="348"/>
      <c r="O67" s="348"/>
      <c r="P67" s="349"/>
      <c r="Q67" s="1513"/>
      <c r="R67" s="347" t="s">
        <v>184</v>
      </c>
      <c r="S67" s="348">
        <v>2019</v>
      </c>
      <c r="T67" s="350">
        <v>2022</v>
      </c>
      <c r="U67" s="350">
        <v>2020</v>
      </c>
      <c r="V67" s="348"/>
      <c r="W67" s="348"/>
    </row>
    <row r="68" spans="1:26" ht="12.75" customHeight="1">
      <c r="A68" s="1513"/>
      <c r="B68" s="352">
        <v>150</v>
      </c>
      <c r="C68" s="356">
        <v>0.14000000000000001</v>
      </c>
      <c r="D68" s="353">
        <v>0.36</v>
      </c>
      <c r="E68" s="353">
        <v>0.21</v>
      </c>
      <c r="F68" s="354">
        <f t="shared" ref="F68:F73" si="46">0.5*(MAX(C68:E68)-MIN(C68:E68))</f>
        <v>0.10999999999999999</v>
      </c>
      <c r="G68" s="360">
        <f>B68*$H$68</f>
        <v>1.8</v>
      </c>
      <c r="H68" s="349">
        <f>1.2/100</f>
        <v>1.2E-2</v>
      </c>
      <c r="I68" s="1513"/>
      <c r="J68" s="352">
        <v>150</v>
      </c>
      <c r="K68" s="355">
        <v>-0.17</v>
      </c>
      <c r="L68" s="394">
        <v>-0.08</v>
      </c>
      <c r="M68" s="394">
        <v>-0.17</v>
      </c>
      <c r="N68" s="354">
        <f>0.5*(MAX(K68:M68)-MIN(K68:M68))</f>
        <v>4.5000000000000005E-2</v>
      </c>
      <c r="O68" s="354">
        <f>J68*$P$68</f>
        <v>1.8</v>
      </c>
      <c r="P68" s="349">
        <f>1.2/100</f>
        <v>1.2E-2</v>
      </c>
      <c r="Q68" s="1513"/>
      <c r="R68" s="352">
        <v>150</v>
      </c>
      <c r="S68" s="355">
        <v>9.9999999999999995E-7</v>
      </c>
      <c r="T68" s="394">
        <v>-0.17</v>
      </c>
      <c r="U68" s="394">
        <v>-0.24</v>
      </c>
      <c r="V68" s="354">
        <f t="shared" ref="V68:V73" si="47">0.5*(MAX(S68:U68)-MIN(S68:U68))</f>
        <v>0.1200005</v>
      </c>
      <c r="W68" s="354">
        <f>R68*$X$68</f>
        <v>1.8</v>
      </c>
      <c r="X68" s="342">
        <f>1.2/100</f>
        <v>1.2E-2</v>
      </c>
    </row>
    <row r="69" spans="1:26" ht="12.75" customHeight="1">
      <c r="A69" s="1513"/>
      <c r="B69" s="352">
        <v>180</v>
      </c>
      <c r="C69" s="356">
        <v>0.34</v>
      </c>
      <c r="D69" s="353">
        <v>0.46</v>
      </c>
      <c r="E69" s="353">
        <v>0.33</v>
      </c>
      <c r="F69" s="354">
        <f t="shared" si="46"/>
        <v>6.5000000000000002E-2</v>
      </c>
      <c r="G69" s="360">
        <f t="shared" ref="G69:G73" si="48">B69*$H$68</f>
        <v>2.16</v>
      </c>
      <c r="H69" s="349"/>
      <c r="I69" s="1513"/>
      <c r="J69" s="352">
        <v>180</v>
      </c>
      <c r="K69" s="355">
        <v>-0.16</v>
      </c>
      <c r="L69" s="394">
        <v>-0.2</v>
      </c>
      <c r="M69" s="394">
        <v>-0.22</v>
      </c>
      <c r="N69" s="354">
        <f t="shared" ref="N69:N73" si="49">0.5*(MAX(K69:M69)-MIN(K69:M69))</f>
        <v>0.03</v>
      </c>
      <c r="O69" s="354">
        <f t="shared" ref="O69:O73" si="50">J69*$P$68</f>
        <v>2.16</v>
      </c>
      <c r="P69" s="349"/>
      <c r="Q69" s="1513"/>
      <c r="R69" s="352">
        <v>180</v>
      </c>
      <c r="S69" s="355">
        <v>9.9999999999999995E-7</v>
      </c>
      <c r="T69" s="394">
        <v>-0.39</v>
      </c>
      <c r="U69" s="394">
        <v>-0.14000000000000001</v>
      </c>
      <c r="V69" s="354">
        <f t="shared" si="47"/>
        <v>0.19500049999999999</v>
      </c>
      <c r="W69" s="354">
        <f t="shared" ref="W69:W72" si="51">R69*$X$68</f>
        <v>2.16</v>
      </c>
    </row>
    <row r="70" spans="1:26" ht="12.75" customHeight="1">
      <c r="A70" s="1513"/>
      <c r="B70" s="352">
        <v>200</v>
      </c>
      <c r="C70" s="356">
        <v>0.42</v>
      </c>
      <c r="D70" s="353">
        <v>0.52</v>
      </c>
      <c r="E70" s="353">
        <v>0.34</v>
      </c>
      <c r="F70" s="354">
        <f t="shared" si="46"/>
        <v>0.09</v>
      </c>
      <c r="G70" s="360">
        <f t="shared" si="48"/>
        <v>2.4</v>
      </c>
      <c r="H70" s="349"/>
      <c r="I70" s="1513"/>
      <c r="J70" s="352">
        <v>200</v>
      </c>
      <c r="K70" s="355">
        <v>0.1</v>
      </c>
      <c r="L70" s="353">
        <v>-0.25</v>
      </c>
      <c r="M70" s="353">
        <v>-0.33</v>
      </c>
      <c r="N70" s="354">
        <f t="shared" si="49"/>
        <v>0.21500000000000002</v>
      </c>
      <c r="O70" s="354">
        <f t="shared" si="50"/>
        <v>2.4</v>
      </c>
      <c r="P70" s="349"/>
      <c r="Q70" s="1513"/>
      <c r="R70" s="352">
        <v>200</v>
      </c>
      <c r="S70" s="355">
        <v>9.9999999999999995E-7</v>
      </c>
      <c r="T70" s="353">
        <v>-0.23</v>
      </c>
      <c r="U70" s="353">
        <v>-0.33</v>
      </c>
      <c r="V70" s="354">
        <f t="shared" si="47"/>
        <v>0.16500049999999999</v>
      </c>
      <c r="W70" s="354">
        <f t="shared" si="51"/>
        <v>2.4</v>
      </c>
    </row>
    <row r="71" spans="1:26" ht="12.75" customHeight="1">
      <c r="A71" s="1513"/>
      <c r="B71" s="352">
        <v>220</v>
      </c>
      <c r="C71" s="356">
        <v>0.32</v>
      </c>
      <c r="D71" s="353">
        <v>0.57999999999999996</v>
      </c>
      <c r="E71" s="353">
        <v>0.37</v>
      </c>
      <c r="F71" s="354">
        <f t="shared" si="46"/>
        <v>0.12999999999999998</v>
      </c>
      <c r="G71" s="360">
        <f t="shared" si="48"/>
        <v>2.64</v>
      </c>
      <c r="H71" s="349"/>
      <c r="I71" s="1513"/>
      <c r="J71" s="352">
        <v>220</v>
      </c>
      <c r="K71" s="355">
        <v>-0.35</v>
      </c>
      <c r="L71" s="353">
        <v>-0.28999999999999998</v>
      </c>
      <c r="M71" s="353">
        <v>-0.39</v>
      </c>
      <c r="N71" s="354">
        <f t="shared" si="49"/>
        <v>5.0000000000000017E-2</v>
      </c>
      <c r="O71" s="354">
        <f t="shared" si="50"/>
        <v>2.64</v>
      </c>
      <c r="P71" s="349"/>
      <c r="Q71" s="1513"/>
      <c r="R71" s="352">
        <v>220</v>
      </c>
      <c r="S71" s="355">
        <v>9.9999999999999995E-7</v>
      </c>
      <c r="T71" s="353">
        <v>-0.16</v>
      </c>
      <c r="U71" s="353">
        <v>-0.45</v>
      </c>
      <c r="V71" s="354">
        <f t="shared" si="47"/>
        <v>0.22500049999999999</v>
      </c>
      <c r="W71" s="354">
        <f t="shared" si="51"/>
        <v>2.64</v>
      </c>
    </row>
    <row r="72" spans="1:26" ht="12.75" customHeight="1">
      <c r="A72" s="1513"/>
      <c r="B72" s="352">
        <v>230</v>
      </c>
      <c r="C72" s="356">
        <v>0.38</v>
      </c>
      <c r="D72" s="353">
        <v>0.47</v>
      </c>
      <c r="E72" s="353">
        <v>0.47</v>
      </c>
      <c r="F72" s="354">
        <f t="shared" si="46"/>
        <v>4.4999999999999984E-2</v>
      </c>
      <c r="G72" s="360">
        <f t="shared" si="48"/>
        <v>2.7600000000000002</v>
      </c>
      <c r="H72" s="349"/>
      <c r="I72" s="1513"/>
      <c r="J72" s="352">
        <v>230</v>
      </c>
      <c r="K72" s="355">
        <v>-0.37</v>
      </c>
      <c r="L72" s="353">
        <v>-0.34</v>
      </c>
      <c r="M72" s="353">
        <v>-0.39</v>
      </c>
      <c r="N72" s="354">
        <f t="shared" si="49"/>
        <v>2.4999999999999994E-2</v>
      </c>
      <c r="O72" s="354">
        <f t="shared" si="50"/>
        <v>2.7600000000000002</v>
      </c>
      <c r="P72" s="349"/>
      <c r="Q72" s="1513"/>
      <c r="R72" s="352">
        <v>230</v>
      </c>
      <c r="S72" s="355">
        <v>9.9999999999999995E-7</v>
      </c>
      <c r="T72" s="353">
        <v>-0.15</v>
      </c>
      <c r="U72" s="353">
        <v>-0.54</v>
      </c>
      <c r="V72" s="354">
        <f t="shared" si="47"/>
        <v>0.27000050000000003</v>
      </c>
      <c r="W72" s="354">
        <f t="shared" si="51"/>
        <v>2.7600000000000002</v>
      </c>
    </row>
    <row r="73" spans="1:26" ht="12.75" customHeight="1">
      <c r="A73" s="1513"/>
      <c r="B73" s="352">
        <v>250</v>
      </c>
      <c r="C73" s="356">
        <v>0.44</v>
      </c>
      <c r="D73" s="353">
        <v>0</v>
      </c>
      <c r="E73" s="353">
        <v>0.38</v>
      </c>
      <c r="F73" s="354">
        <f t="shared" si="46"/>
        <v>0.22</v>
      </c>
      <c r="G73" s="360">
        <f t="shared" si="48"/>
        <v>3</v>
      </c>
      <c r="H73" s="349"/>
      <c r="I73" s="1513"/>
      <c r="J73" s="352">
        <v>250</v>
      </c>
      <c r="K73" s="355">
        <v>9.9999999999999995E-7</v>
      </c>
      <c r="L73" s="353">
        <v>9.9999999999999995E-7</v>
      </c>
      <c r="M73" s="353">
        <v>-0.39</v>
      </c>
      <c r="N73" s="354">
        <f t="shared" si="49"/>
        <v>0.19500049999999999</v>
      </c>
      <c r="O73" s="354">
        <f t="shared" si="50"/>
        <v>3</v>
      </c>
      <c r="P73" s="349"/>
      <c r="Q73" s="1513"/>
      <c r="R73" s="352">
        <v>250</v>
      </c>
      <c r="S73" s="355">
        <v>9.9999999999999995E-7</v>
      </c>
      <c r="T73" s="353">
        <v>9.9999999999999995E-7</v>
      </c>
      <c r="U73" s="353">
        <v>-0.49</v>
      </c>
      <c r="V73" s="354">
        <f t="shared" si="47"/>
        <v>0.24500049999999998</v>
      </c>
      <c r="W73" s="354" t="s">
        <v>196</v>
      </c>
    </row>
    <row r="74" spans="1:26" ht="12.75" customHeight="1">
      <c r="A74" s="1513"/>
      <c r="B74" s="1520" t="s">
        <v>179</v>
      </c>
      <c r="C74" s="1521"/>
      <c r="D74" s="1521"/>
      <c r="E74" s="1522"/>
      <c r="F74" s="348" t="s">
        <v>229</v>
      </c>
      <c r="G74" s="348" t="s">
        <v>183</v>
      </c>
      <c r="H74" s="349"/>
      <c r="I74" s="1513"/>
      <c r="J74" s="1520" t="s">
        <v>179</v>
      </c>
      <c r="K74" s="1521"/>
      <c r="L74" s="1521"/>
      <c r="M74" s="1522"/>
      <c r="N74" s="348" t="s">
        <v>229</v>
      </c>
      <c r="O74" s="348" t="s">
        <v>183</v>
      </c>
      <c r="P74" s="349"/>
      <c r="Q74" s="1513"/>
      <c r="R74" s="1520" t="s">
        <v>179</v>
      </c>
      <c r="S74" s="1521"/>
      <c r="T74" s="1521"/>
      <c r="U74" s="1522"/>
      <c r="V74" s="348" t="s">
        <v>229</v>
      </c>
      <c r="W74" s="348" t="s">
        <v>183</v>
      </c>
      <c r="Z74" s="395"/>
    </row>
    <row r="75" spans="1:26" ht="15" customHeight="1">
      <c r="A75" s="1513"/>
      <c r="B75" s="347" t="s">
        <v>189</v>
      </c>
      <c r="C75" s="348">
        <f>C67</f>
        <v>2023</v>
      </c>
      <c r="D75" s="348">
        <f>D67</f>
        <v>2022</v>
      </c>
      <c r="E75" s="348">
        <f>E67</f>
        <v>2020</v>
      </c>
      <c r="F75" s="348"/>
      <c r="G75" s="348"/>
      <c r="H75" s="349"/>
      <c r="I75" s="1513"/>
      <c r="J75" s="347" t="s">
        <v>189</v>
      </c>
      <c r="K75" s="348">
        <f>K67</f>
        <v>2023</v>
      </c>
      <c r="L75" s="348">
        <f>L67</f>
        <v>2022</v>
      </c>
      <c r="M75" s="348">
        <f>M67</f>
        <v>2020</v>
      </c>
      <c r="N75" s="348"/>
      <c r="O75" s="348"/>
      <c r="P75" s="349"/>
      <c r="Q75" s="1513"/>
      <c r="R75" s="347" t="s">
        <v>189</v>
      </c>
      <c r="S75" s="348">
        <f>S67</f>
        <v>2019</v>
      </c>
      <c r="T75" s="350">
        <f>T67</f>
        <v>2022</v>
      </c>
      <c r="U75" s="350">
        <f>U67</f>
        <v>2020</v>
      </c>
      <c r="V75" s="348"/>
      <c r="W75" s="348"/>
    </row>
    <row r="76" spans="1:26" ht="12.75" customHeight="1">
      <c r="A76" s="1513"/>
      <c r="B76" s="366">
        <v>9.9999999999999995E-7</v>
      </c>
      <c r="C76" s="356">
        <v>0</v>
      </c>
      <c r="D76" s="353">
        <v>0</v>
      </c>
      <c r="E76" s="353">
        <v>9.9999999999999995E-7</v>
      </c>
      <c r="F76" s="354">
        <f t="shared" ref="F76:F81" si="52">0.5*(MAX(C76:E76)-MIN(C76:E76))</f>
        <v>4.9999999999999998E-7</v>
      </c>
      <c r="G76" s="365">
        <f>B76*$H$76</f>
        <v>5.8999999999999999E-9</v>
      </c>
      <c r="H76" s="349">
        <f>0.59/100</f>
        <v>5.8999999999999999E-3</v>
      </c>
      <c r="I76" s="1513"/>
      <c r="J76" s="366">
        <v>9.9999999999999995E-7</v>
      </c>
      <c r="K76" s="359">
        <v>9.9999999999999995E-7</v>
      </c>
      <c r="L76" s="353">
        <v>0</v>
      </c>
      <c r="M76" s="353">
        <v>9.9999999999999995E-7</v>
      </c>
      <c r="N76" s="354">
        <f t="shared" ref="N76:N81" si="53">0.5*(MAX(K76:M76)-MIN(K76:M76))</f>
        <v>4.9999999999999998E-7</v>
      </c>
      <c r="O76" s="354">
        <f>J76*$P$76</f>
        <v>5.8999999999999999E-9</v>
      </c>
      <c r="P76" s="349">
        <f>0.59/100</f>
        <v>5.8999999999999999E-3</v>
      </c>
      <c r="Q76" s="1513"/>
      <c r="R76" s="366">
        <v>9.9999999999999995E-7</v>
      </c>
      <c r="S76" s="359">
        <v>9.9999999999999995E-7</v>
      </c>
      <c r="T76" s="353">
        <v>9.9999999999999995E-7</v>
      </c>
      <c r="U76" s="353">
        <v>9.9999999999999995E-7</v>
      </c>
      <c r="V76" s="354">
        <f t="shared" ref="V76:V81" si="54">0.5*(MAX(S76:U76)-MIN(S76:U76))</f>
        <v>0</v>
      </c>
      <c r="W76" s="354">
        <f>R76*$X$76</f>
        <v>5.8999999999999999E-9</v>
      </c>
      <c r="X76" s="342">
        <f>0.59/100</f>
        <v>5.8999999999999999E-3</v>
      </c>
    </row>
    <row r="77" spans="1:26" ht="12.75" customHeight="1">
      <c r="A77" s="1513"/>
      <c r="B77" s="361">
        <v>50</v>
      </c>
      <c r="C77" s="356">
        <v>5</v>
      </c>
      <c r="D77" s="353">
        <v>1.9</v>
      </c>
      <c r="E77" s="353">
        <v>1.7</v>
      </c>
      <c r="F77" s="354">
        <f t="shared" si="52"/>
        <v>1.65</v>
      </c>
      <c r="G77" s="365">
        <f t="shared" ref="G77:G81" si="55">B77*$H$76</f>
        <v>0.29499999999999998</v>
      </c>
      <c r="H77" s="349"/>
      <c r="I77" s="1513"/>
      <c r="J77" s="361">
        <v>50</v>
      </c>
      <c r="K77" s="359">
        <v>4.0999999999999996</v>
      </c>
      <c r="L77" s="353">
        <v>4.9000000000000004</v>
      </c>
      <c r="M77" s="353">
        <v>0.8</v>
      </c>
      <c r="N77" s="354">
        <f t="shared" si="53"/>
        <v>2.0500000000000003</v>
      </c>
      <c r="O77" s="354">
        <f t="shared" ref="O77:O81" si="56">J77*$P$76</f>
        <v>0.29499999999999998</v>
      </c>
      <c r="P77" s="349"/>
      <c r="Q77" s="1513"/>
      <c r="R77" s="361">
        <v>50</v>
      </c>
      <c r="S77" s="359">
        <v>9.9999999999999995E-7</v>
      </c>
      <c r="T77" s="396">
        <v>6.6</v>
      </c>
      <c r="U77" s="353">
        <v>0.9</v>
      </c>
      <c r="V77" s="354">
        <f t="shared" si="54"/>
        <v>3.2999994999999998</v>
      </c>
      <c r="W77" s="354">
        <f t="shared" ref="W77:W81" si="57">R77*$X$76</f>
        <v>0.29499999999999998</v>
      </c>
    </row>
    <row r="78" spans="1:26" ht="12.75" customHeight="1">
      <c r="A78" s="1513"/>
      <c r="B78" s="361">
        <v>100</v>
      </c>
      <c r="C78" s="356">
        <v>6.2</v>
      </c>
      <c r="D78" s="353">
        <v>1.7</v>
      </c>
      <c r="E78" s="353">
        <v>1.7</v>
      </c>
      <c r="F78" s="354">
        <f t="shared" si="52"/>
        <v>2.25</v>
      </c>
      <c r="G78" s="365">
        <f t="shared" si="55"/>
        <v>0.59</v>
      </c>
      <c r="H78" s="349"/>
      <c r="I78" s="1513"/>
      <c r="J78" s="361">
        <v>100</v>
      </c>
      <c r="K78" s="359">
        <v>6</v>
      </c>
      <c r="L78" s="396">
        <v>9.1999999999999993</v>
      </c>
      <c r="M78" s="396">
        <v>1.7</v>
      </c>
      <c r="N78" s="354">
        <f t="shared" si="53"/>
        <v>3.7499999999999996</v>
      </c>
      <c r="O78" s="354">
        <f t="shared" si="56"/>
        <v>0.59</v>
      </c>
      <c r="P78" s="349"/>
      <c r="Q78" s="1513"/>
      <c r="R78" s="361">
        <v>100</v>
      </c>
      <c r="S78" s="359">
        <v>9.9999999999999995E-7</v>
      </c>
      <c r="T78" s="396">
        <v>5</v>
      </c>
      <c r="U78" s="396">
        <v>2.1</v>
      </c>
      <c r="V78" s="354">
        <f t="shared" si="54"/>
        <v>2.4999994999999999</v>
      </c>
      <c r="W78" s="354">
        <f t="shared" si="57"/>
        <v>0.59</v>
      </c>
    </row>
    <row r="79" spans="1:26" ht="12.75" customHeight="1">
      <c r="A79" s="1513"/>
      <c r="B79" s="361">
        <v>200</v>
      </c>
      <c r="C79" s="356">
        <v>8.6</v>
      </c>
      <c r="D79" s="353">
        <v>1.5</v>
      </c>
      <c r="E79" s="353">
        <v>0.4</v>
      </c>
      <c r="F79" s="354">
        <f t="shared" si="52"/>
        <v>4.0999999999999996</v>
      </c>
      <c r="G79" s="365">
        <f t="shared" si="55"/>
        <v>1.18</v>
      </c>
      <c r="H79" s="349"/>
      <c r="I79" s="1513"/>
      <c r="J79" s="361">
        <v>500</v>
      </c>
      <c r="K79" s="359">
        <v>9</v>
      </c>
      <c r="L79" s="353">
        <v>-0.2</v>
      </c>
      <c r="M79" s="353">
        <v>3.4</v>
      </c>
      <c r="N79" s="354">
        <f t="shared" si="53"/>
        <v>4.5999999999999996</v>
      </c>
      <c r="O79" s="354">
        <f t="shared" si="56"/>
        <v>2.9499999999999997</v>
      </c>
      <c r="P79" s="349"/>
      <c r="Q79" s="1513"/>
      <c r="R79" s="361">
        <v>500</v>
      </c>
      <c r="S79" s="359">
        <v>9.9999999999999995E-7</v>
      </c>
      <c r="T79" s="353">
        <v>-8.1999999999999993</v>
      </c>
      <c r="U79" s="353">
        <v>3.7</v>
      </c>
      <c r="V79" s="354">
        <f t="shared" si="54"/>
        <v>5.9499999999999993</v>
      </c>
      <c r="W79" s="354">
        <f t="shared" si="57"/>
        <v>2.9499999999999997</v>
      </c>
    </row>
    <row r="80" spans="1:26" ht="12.75" customHeight="1">
      <c r="A80" s="1513"/>
      <c r="B80" s="361">
        <v>500</v>
      </c>
      <c r="C80" s="356">
        <v>9.3000000000000007</v>
      </c>
      <c r="D80" s="353">
        <v>0.9</v>
      </c>
      <c r="E80" s="353">
        <v>3</v>
      </c>
      <c r="F80" s="354">
        <f t="shared" si="52"/>
        <v>4.2</v>
      </c>
      <c r="G80" s="365">
        <f t="shared" si="55"/>
        <v>2.9499999999999997</v>
      </c>
      <c r="H80" s="349"/>
      <c r="I80" s="1513"/>
      <c r="J80" s="361">
        <v>500</v>
      </c>
      <c r="K80" s="359">
        <v>9.5</v>
      </c>
      <c r="L80" s="353">
        <v>-25.1</v>
      </c>
      <c r="M80" s="353">
        <v>7.2</v>
      </c>
      <c r="N80" s="354">
        <f t="shared" si="53"/>
        <v>17.3</v>
      </c>
      <c r="O80" s="354">
        <f t="shared" si="56"/>
        <v>2.9499999999999997</v>
      </c>
      <c r="P80" s="349"/>
      <c r="Q80" s="1513"/>
      <c r="R80" s="361">
        <v>500</v>
      </c>
      <c r="S80" s="359">
        <v>9.9999999999999995E-7</v>
      </c>
      <c r="T80" s="353">
        <v>-31.8</v>
      </c>
      <c r="U80" s="353">
        <v>8.3000000000000007</v>
      </c>
      <c r="V80" s="354">
        <f t="shared" si="54"/>
        <v>20.05</v>
      </c>
      <c r="W80" s="354">
        <f t="shared" si="57"/>
        <v>2.9499999999999997</v>
      </c>
    </row>
    <row r="81" spans="1:24" ht="12.75" customHeight="1">
      <c r="A81" s="1513"/>
      <c r="B81" s="361">
        <v>1000</v>
      </c>
      <c r="C81" s="356">
        <v>-88</v>
      </c>
      <c r="D81" s="353">
        <v>0</v>
      </c>
      <c r="E81" s="353">
        <v>9.9999999999999995E-7</v>
      </c>
      <c r="F81" s="354">
        <f t="shared" si="52"/>
        <v>44.000000499999999</v>
      </c>
      <c r="G81" s="365">
        <f t="shared" si="55"/>
        <v>5.8999999999999995</v>
      </c>
      <c r="H81" s="349"/>
      <c r="I81" s="1513"/>
      <c r="J81" s="361">
        <v>1000</v>
      </c>
      <c r="K81" s="359">
        <v>9.9999999999999995E-7</v>
      </c>
      <c r="L81" s="353">
        <v>-6.6000000000000003E-2</v>
      </c>
      <c r="M81" s="353">
        <v>9.9999999999999995E-7</v>
      </c>
      <c r="N81" s="354">
        <f t="shared" si="53"/>
        <v>3.3000500000000002E-2</v>
      </c>
      <c r="O81" s="354">
        <f t="shared" si="56"/>
        <v>5.8999999999999995</v>
      </c>
      <c r="P81" s="349"/>
      <c r="Q81" s="1513"/>
      <c r="R81" s="361">
        <v>1000</v>
      </c>
      <c r="S81" s="359">
        <v>9.9999999999999995E-7</v>
      </c>
      <c r="T81" s="353">
        <v>-74</v>
      </c>
      <c r="U81" s="353">
        <v>9.9999999999999995E-7</v>
      </c>
      <c r="V81" s="354">
        <f t="shared" si="54"/>
        <v>37.000000499999999</v>
      </c>
      <c r="W81" s="354">
        <f t="shared" si="57"/>
        <v>5.8999999999999995</v>
      </c>
    </row>
    <row r="82" spans="1:24" ht="12.75" customHeight="1">
      <c r="A82" s="1513"/>
      <c r="B82" s="1520" t="s">
        <v>180</v>
      </c>
      <c r="C82" s="1521"/>
      <c r="D82" s="1521"/>
      <c r="E82" s="1522"/>
      <c r="F82" s="348" t="s">
        <v>229</v>
      </c>
      <c r="G82" s="348" t="s">
        <v>183</v>
      </c>
      <c r="H82" s="349"/>
      <c r="I82" s="1513"/>
      <c r="J82" s="1520" t="s">
        <v>180</v>
      </c>
      <c r="K82" s="1521"/>
      <c r="L82" s="1521"/>
      <c r="M82" s="1522"/>
      <c r="N82" s="348" t="s">
        <v>229</v>
      </c>
      <c r="O82" s="348" t="s">
        <v>183</v>
      </c>
      <c r="P82" s="349"/>
      <c r="Q82" s="1513"/>
      <c r="R82" s="1520" t="str">
        <f>B82</f>
        <v>Main-PE</v>
      </c>
      <c r="S82" s="1521"/>
      <c r="T82" s="1521"/>
      <c r="U82" s="1522"/>
      <c r="V82" s="348" t="s">
        <v>229</v>
      </c>
      <c r="W82" s="348" t="s">
        <v>183</v>
      </c>
    </row>
    <row r="83" spans="1:24" ht="15" customHeight="1">
      <c r="A83" s="1513"/>
      <c r="B83" s="347" t="s">
        <v>230</v>
      </c>
      <c r="C83" s="348">
        <f>C75</f>
        <v>2023</v>
      </c>
      <c r="D83" s="348">
        <f>D75</f>
        <v>2022</v>
      </c>
      <c r="E83" s="348">
        <f>E75</f>
        <v>2020</v>
      </c>
      <c r="F83" s="348"/>
      <c r="G83" s="348"/>
      <c r="H83" s="349"/>
      <c r="I83" s="1513"/>
      <c r="J83" s="347" t="s">
        <v>230</v>
      </c>
      <c r="K83" s="348">
        <f>K67</f>
        <v>2023</v>
      </c>
      <c r="L83" s="348">
        <f>L67</f>
        <v>2022</v>
      </c>
      <c r="M83" s="348">
        <f>M67</f>
        <v>2020</v>
      </c>
      <c r="N83" s="348"/>
      <c r="O83" s="348"/>
      <c r="P83" s="349"/>
      <c r="Q83" s="1513"/>
      <c r="R83" s="347" t="s">
        <v>230</v>
      </c>
      <c r="S83" s="348">
        <f>S67</f>
        <v>2019</v>
      </c>
      <c r="T83" s="350">
        <f>T67</f>
        <v>2022</v>
      </c>
      <c r="U83" s="350">
        <f>U67</f>
        <v>2020</v>
      </c>
      <c r="V83" s="348"/>
      <c r="W83" s="348"/>
    </row>
    <row r="84" spans="1:24" ht="12.75" customHeight="1">
      <c r="A84" s="1513"/>
      <c r="B84" s="361">
        <v>10</v>
      </c>
      <c r="C84" s="356">
        <v>0</v>
      </c>
      <c r="D84" s="353">
        <v>0</v>
      </c>
      <c r="E84" s="353">
        <v>9.9999999999999995E-7</v>
      </c>
      <c r="F84" s="354">
        <f t="shared" ref="F84:F87" si="58">0.5*(MAX(C84:E84)-MIN(C84:E84))</f>
        <v>4.9999999999999998E-7</v>
      </c>
      <c r="G84" s="366">
        <f>B84*$H$84</f>
        <v>0.17</v>
      </c>
      <c r="H84" s="349">
        <f>1.7/100</f>
        <v>1.7000000000000001E-2</v>
      </c>
      <c r="I84" s="1513"/>
      <c r="J84" s="361">
        <v>10</v>
      </c>
      <c r="K84" s="359">
        <v>9.9999999999999995E-7</v>
      </c>
      <c r="L84" s="353">
        <v>9.9999999999999995E-7</v>
      </c>
      <c r="M84" s="353">
        <v>9.9999999999999995E-7</v>
      </c>
      <c r="N84" s="354">
        <f t="shared" ref="N84:N87" si="59">0.5*(MAX(K84:M84)-MIN(K84:M84))</f>
        <v>0</v>
      </c>
      <c r="O84" s="354">
        <f>J84*$P$84</f>
        <v>0.17</v>
      </c>
      <c r="P84" s="349">
        <f>1.7/100</f>
        <v>1.7000000000000001E-2</v>
      </c>
      <c r="Q84" s="1513"/>
      <c r="R84" s="361">
        <v>10</v>
      </c>
      <c r="S84" s="359">
        <v>9.9999999999999995E-7</v>
      </c>
      <c r="T84" s="353">
        <v>9.9999999999999995E-7</v>
      </c>
      <c r="U84" s="353">
        <v>9.9999999999999995E-7</v>
      </c>
      <c r="V84" s="354">
        <f t="shared" ref="V84:V87" si="60">0.5*(MAX(S84:U84)-MIN(S84:U84))</f>
        <v>0</v>
      </c>
      <c r="W84" s="354">
        <f>R84*$X$84</f>
        <v>0.17</v>
      </c>
      <c r="X84" s="342">
        <v>1.7000000000000001E-2</v>
      </c>
    </row>
    <row r="85" spans="1:24" ht="12.75" customHeight="1">
      <c r="A85" s="1513"/>
      <c r="B85" s="361">
        <v>20</v>
      </c>
      <c r="C85" s="356">
        <v>0.1</v>
      </c>
      <c r="D85" s="353">
        <v>0.1</v>
      </c>
      <c r="E85" s="353">
        <v>9.9999999999999995E-7</v>
      </c>
      <c r="F85" s="354">
        <f t="shared" si="58"/>
        <v>4.9999500000000002E-2</v>
      </c>
      <c r="G85" s="366">
        <f t="shared" ref="G85:G87" si="61">B85*$H$84</f>
        <v>0.34</v>
      </c>
      <c r="H85" s="349"/>
      <c r="I85" s="1513"/>
      <c r="J85" s="361">
        <v>20</v>
      </c>
      <c r="K85" s="359">
        <v>1E-3</v>
      </c>
      <c r="L85" s="353">
        <v>9.9999999999999995E-7</v>
      </c>
      <c r="M85" s="353">
        <v>9.9999999999999995E-7</v>
      </c>
      <c r="N85" s="354">
        <f t="shared" si="59"/>
        <v>4.9950000000000005E-4</v>
      </c>
      <c r="O85" s="354">
        <f t="shared" ref="O85:O86" si="62">J85*$P$84</f>
        <v>0.34</v>
      </c>
      <c r="P85" s="349"/>
      <c r="Q85" s="1513"/>
      <c r="R85" s="361">
        <v>20</v>
      </c>
      <c r="S85" s="359">
        <v>9.9999999999999995E-7</v>
      </c>
      <c r="T85" s="353">
        <v>9.9999999999999995E-7</v>
      </c>
      <c r="U85" s="353">
        <v>9.9999999999999995E-7</v>
      </c>
      <c r="V85" s="354">
        <f t="shared" si="60"/>
        <v>0</v>
      </c>
      <c r="W85" s="354">
        <f t="shared" ref="W85:W86" si="63">R85*$X$84</f>
        <v>0.34</v>
      </c>
    </row>
    <row r="86" spans="1:24" ht="12.75" customHeight="1">
      <c r="A86" s="1513"/>
      <c r="B86" s="361">
        <v>50</v>
      </c>
      <c r="C86" s="356">
        <v>0.3</v>
      </c>
      <c r="D86" s="353">
        <v>0.5</v>
      </c>
      <c r="E86" s="353">
        <v>9.9999999999999995E-7</v>
      </c>
      <c r="F86" s="354">
        <f t="shared" si="58"/>
        <v>0.24999950000000001</v>
      </c>
      <c r="G86" s="366">
        <f t="shared" si="61"/>
        <v>0.85000000000000009</v>
      </c>
      <c r="H86" s="349"/>
      <c r="I86" s="1513"/>
      <c r="J86" s="361">
        <v>50</v>
      </c>
      <c r="K86" s="359">
        <v>0.2</v>
      </c>
      <c r="L86" s="353">
        <v>0.2</v>
      </c>
      <c r="M86" s="353">
        <v>9.9999999999999995E-7</v>
      </c>
      <c r="N86" s="354">
        <f t="shared" si="59"/>
        <v>9.9999500000000005E-2</v>
      </c>
      <c r="O86" s="354">
        <f t="shared" si="62"/>
        <v>0.85000000000000009</v>
      </c>
      <c r="P86" s="349"/>
      <c r="Q86" s="1513"/>
      <c r="R86" s="361">
        <v>50</v>
      </c>
      <c r="S86" s="359">
        <v>9.9999999999999995E-7</v>
      </c>
      <c r="T86" s="353">
        <v>0.2</v>
      </c>
      <c r="U86" s="353">
        <v>9.9999999999999995E-7</v>
      </c>
      <c r="V86" s="354">
        <f t="shared" si="60"/>
        <v>9.9999500000000005E-2</v>
      </c>
      <c r="W86" s="354">
        <f t="shared" si="63"/>
        <v>0.85000000000000009</v>
      </c>
    </row>
    <row r="87" spans="1:24" ht="12.75" customHeight="1">
      <c r="A87" s="1513"/>
      <c r="B87" s="361">
        <v>100</v>
      </c>
      <c r="C87" s="356">
        <v>0.8</v>
      </c>
      <c r="D87" s="353">
        <v>0.9</v>
      </c>
      <c r="E87" s="353">
        <v>9.9999999999999995E-7</v>
      </c>
      <c r="F87" s="354">
        <f t="shared" si="58"/>
        <v>0.4499995</v>
      </c>
      <c r="G87" s="366">
        <f t="shared" si="61"/>
        <v>1.7000000000000002</v>
      </c>
      <c r="H87" s="349"/>
      <c r="I87" s="1513"/>
      <c r="J87" s="361">
        <v>100</v>
      </c>
      <c r="K87" s="359">
        <v>1.1000000000000001</v>
      </c>
      <c r="L87" s="353">
        <v>0.6</v>
      </c>
      <c r="M87" s="353">
        <v>9.9999999999999995E-7</v>
      </c>
      <c r="N87" s="354">
        <f t="shared" si="59"/>
        <v>0.54999950000000009</v>
      </c>
      <c r="O87" s="354">
        <f>J87*$P$84</f>
        <v>1.7000000000000002</v>
      </c>
      <c r="P87" s="349"/>
      <c r="Q87" s="1513"/>
      <c r="R87" s="361">
        <v>100</v>
      </c>
      <c r="S87" s="359">
        <v>9.9999999999999995E-7</v>
      </c>
      <c r="T87" s="353">
        <v>0.4</v>
      </c>
      <c r="U87" s="353">
        <v>9.9999999999999995E-7</v>
      </c>
      <c r="V87" s="354">
        <f t="shared" si="60"/>
        <v>0.19999950000000002</v>
      </c>
      <c r="W87" s="354">
        <f>R87*$X$84</f>
        <v>1.7000000000000002</v>
      </c>
    </row>
    <row r="88" spans="1:24" ht="12.75" customHeight="1">
      <c r="A88" s="1513"/>
      <c r="B88" s="1520" t="s">
        <v>186</v>
      </c>
      <c r="C88" s="1521"/>
      <c r="D88" s="1521"/>
      <c r="E88" s="1522"/>
      <c r="F88" s="348" t="s">
        <v>229</v>
      </c>
      <c r="G88" s="348" t="s">
        <v>183</v>
      </c>
      <c r="H88" s="349"/>
      <c r="I88" s="1513"/>
      <c r="J88" s="1520" t="s">
        <v>186</v>
      </c>
      <c r="K88" s="1521"/>
      <c r="L88" s="1521"/>
      <c r="M88" s="1522"/>
      <c r="N88" s="348" t="s">
        <v>229</v>
      </c>
      <c r="O88" s="348" t="s">
        <v>183</v>
      </c>
      <c r="P88" s="349"/>
      <c r="Q88" s="1513"/>
      <c r="R88" s="1520" t="str">
        <f>B88</f>
        <v>Resistance</v>
      </c>
      <c r="S88" s="1521"/>
      <c r="T88" s="1521"/>
      <c r="U88" s="1522"/>
      <c r="V88" s="348" t="s">
        <v>229</v>
      </c>
      <c r="W88" s="348" t="s">
        <v>183</v>
      </c>
    </row>
    <row r="89" spans="1:24" ht="15" customHeight="1">
      <c r="A89" s="1513"/>
      <c r="B89" s="347" t="s">
        <v>231</v>
      </c>
      <c r="C89" s="348">
        <f>C67</f>
        <v>2023</v>
      </c>
      <c r="D89" s="348">
        <f>D67</f>
        <v>2022</v>
      </c>
      <c r="E89" s="348">
        <f>E67</f>
        <v>2020</v>
      </c>
      <c r="F89" s="348"/>
      <c r="G89" s="348"/>
      <c r="H89" s="349"/>
      <c r="I89" s="1513"/>
      <c r="J89" s="347" t="s">
        <v>231</v>
      </c>
      <c r="K89" s="348">
        <f>K67</f>
        <v>2023</v>
      </c>
      <c r="L89" s="348">
        <f>L67</f>
        <v>2022</v>
      </c>
      <c r="M89" s="348">
        <f>M67</f>
        <v>2020</v>
      </c>
      <c r="N89" s="348"/>
      <c r="O89" s="348"/>
      <c r="P89" s="349"/>
      <c r="Q89" s="1513"/>
      <c r="R89" s="347" t="s">
        <v>231</v>
      </c>
      <c r="S89" s="348">
        <f>S67</f>
        <v>2019</v>
      </c>
      <c r="T89" s="350">
        <f>T67</f>
        <v>2022</v>
      </c>
      <c r="U89" s="350">
        <f>U67</f>
        <v>2020</v>
      </c>
      <c r="V89" s="348"/>
      <c r="W89" s="348"/>
    </row>
    <row r="90" spans="1:24" ht="12.75" customHeight="1">
      <c r="A90" s="1513"/>
      <c r="B90" s="361">
        <v>0.01</v>
      </c>
      <c r="C90" s="368">
        <v>0</v>
      </c>
      <c r="D90" s="369">
        <v>0</v>
      </c>
      <c r="E90" s="369">
        <v>9.9999999999999995E-7</v>
      </c>
      <c r="F90" s="354">
        <f t="shared" ref="F90:F93" si="64">0.5*(MAX(C90:E90)-MIN(C90:E90))</f>
        <v>4.9999999999999998E-7</v>
      </c>
      <c r="G90" s="361">
        <f>B90*$H$90</f>
        <v>1.2E-4</v>
      </c>
      <c r="H90" s="349">
        <f>1.2/100</f>
        <v>1.2E-2</v>
      </c>
      <c r="I90" s="1513"/>
      <c r="J90" s="361">
        <v>0.01</v>
      </c>
      <c r="K90" s="361">
        <v>9.9999999999999995E-7</v>
      </c>
      <c r="L90" s="362">
        <v>9.9999999999999995E-7</v>
      </c>
      <c r="M90" s="362">
        <v>9.9999999999999995E-7</v>
      </c>
      <c r="N90" s="354">
        <f t="shared" ref="N90:N93" si="65">0.5*(MAX(K90:M90)-MIN(K90:M90))</f>
        <v>0</v>
      </c>
      <c r="O90" s="361">
        <f>J90*$P$90</f>
        <v>1.2E-4</v>
      </c>
      <c r="P90" s="349">
        <f>1.2/100</f>
        <v>1.2E-2</v>
      </c>
      <c r="Q90" s="1513"/>
      <c r="R90" s="361">
        <v>0.01</v>
      </c>
      <c r="S90" s="361">
        <v>9.9999999999999995E-7</v>
      </c>
      <c r="T90" s="397">
        <v>-1E-3</v>
      </c>
      <c r="U90" s="397">
        <v>-1E-3</v>
      </c>
      <c r="V90" s="354">
        <f t="shared" ref="V90:V93" si="66">0.5*(MAX(S90:U90)-MIN(S90:U90))</f>
        <v>5.0049999999999997E-4</v>
      </c>
      <c r="W90" s="361">
        <f>R90*$X$90</f>
        <v>1.2E-4</v>
      </c>
      <c r="X90" s="342">
        <f>1.2/100</f>
        <v>1.2E-2</v>
      </c>
    </row>
    <row r="91" spans="1:24" ht="12.75" customHeight="1">
      <c r="A91" s="1513"/>
      <c r="B91" s="361">
        <v>0.1</v>
      </c>
      <c r="C91" s="368">
        <v>8.0000000000000002E-3</v>
      </c>
      <c r="D91" s="369">
        <v>3.0000000000000001E-3</v>
      </c>
      <c r="E91" s="369">
        <v>9.9999999999999995E-7</v>
      </c>
      <c r="F91" s="354">
        <f t="shared" si="64"/>
        <v>3.9995000000000005E-3</v>
      </c>
      <c r="G91" s="361">
        <f t="shared" ref="G91:G93" si="67">B91*$H$90</f>
        <v>1.2000000000000001E-3</v>
      </c>
      <c r="H91" s="349"/>
      <c r="I91" s="1513"/>
      <c r="J91" s="361">
        <v>0.1</v>
      </c>
      <c r="K91" s="361">
        <v>1E-3</v>
      </c>
      <c r="L91" s="362">
        <v>-2E-3</v>
      </c>
      <c r="M91" s="362">
        <v>1E-3</v>
      </c>
      <c r="N91" s="354">
        <f t="shared" si="65"/>
        <v>1.5E-3</v>
      </c>
      <c r="O91" s="361">
        <f t="shared" ref="O91:O93" si="68">J91*$P$90</f>
        <v>1.2000000000000001E-3</v>
      </c>
      <c r="P91" s="349"/>
      <c r="Q91" s="1513"/>
      <c r="R91" s="361">
        <v>0.1</v>
      </c>
      <c r="S91" s="361">
        <v>9.9999999999999995E-7</v>
      </c>
      <c r="T91" s="369">
        <v>4.0000000000000001E-3</v>
      </c>
      <c r="U91" s="369">
        <v>-3.0000000000000001E-3</v>
      </c>
      <c r="V91" s="354">
        <f t="shared" si="66"/>
        <v>3.5000000000000001E-3</v>
      </c>
      <c r="W91" s="361">
        <f t="shared" ref="W91:W93" si="69">R91*$X$90</f>
        <v>1.2000000000000001E-3</v>
      </c>
    </row>
    <row r="92" spans="1:24" ht="12.75" customHeight="1">
      <c r="A92" s="1513"/>
      <c r="B92" s="361">
        <v>1</v>
      </c>
      <c r="C92" s="368">
        <v>-6.0000000000000001E-3</v>
      </c>
      <c r="D92" s="369">
        <v>2E-3</v>
      </c>
      <c r="E92" s="369">
        <v>-2E-3</v>
      </c>
      <c r="F92" s="354">
        <f t="shared" si="64"/>
        <v>4.0000000000000001E-3</v>
      </c>
      <c r="G92" s="361">
        <f t="shared" si="67"/>
        <v>1.2E-2</v>
      </c>
      <c r="H92" s="349"/>
      <c r="I92" s="1513"/>
      <c r="J92" s="361">
        <v>1</v>
      </c>
      <c r="K92" s="361">
        <v>-5.0000000000000001E-3</v>
      </c>
      <c r="L92" s="362">
        <v>-1E-3</v>
      </c>
      <c r="M92" s="362">
        <v>9.9999999999999995E-7</v>
      </c>
      <c r="N92" s="354">
        <f t="shared" si="65"/>
        <v>2.5005000000000001E-3</v>
      </c>
      <c r="O92" s="361">
        <f t="shared" si="68"/>
        <v>1.2E-2</v>
      </c>
      <c r="P92" s="349"/>
      <c r="Q92" s="1513"/>
      <c r="R92" s="361">
        <v>1</v>
      </c>
      <c r="S92" s="361">
        <v>9.9999999999999995E-7</v>
      </c>
      <c r="T92" s="369">
        <v>5.0000000000000001E-3</v>
      </c>
      <c r="U92" s="369">
        <v>1E-3</v>
      </c>
      <c r="V92" s="354">
        <f t="shared" si="66"/>
        <v>2.4995E-3</v>
      </c>
      <c r="W92" s="361">
        <f t="shared" si="69"/>
        <v>1.2E-2</v>
      </c>
    </row>
    <row r="93" spans="1:24" ht="12.75" customHeight="1">
      <c r="A93" s="1514"/>
      <c r="B93" s="361">
        <v>2</v>
      </c>
      <c r="C93" s="368">
        <v>-8.0000000000000002E-3</v>
      </c>
      <c r="D93" s="369">
        <v>-1E-3</v>
      </c>
      <c r="E93" s="369">
        <v>9.9999999999999995E-7</v>
      </c>
      <c r="F93" s="354">
        <f t="shared" si="64"/>
        <v>4.0004999999999997E-3</v>
      </c>
      <c r="G93" s="361">
        <f t="shared" si="67"/>
        <v>2.4E-2</v>
      </c>
      <c r="H93" s="349"/>
      <c r="I93" s="1514"/>
      <c r="J93" s="361">
        <v>2</v>
      </c>
      <c r="K93" s="361">
        <v>-3.0000000000000001E-3</v>
      </c>
      <c r="L93" s="362">
        <v>-6.0000000000000001E-3</v>
      </c>
      <c r="M93" s="362">
        <v>9.9999999999999995E-7</v>
      </c>
      <c r="N93" s="354">
        <f t="shared" si="65"/>
        <v>3.0005000000000001E-3</v>
      </c>
      <c r="O93" s="361">
        <f t="shared" si="68"/>
        <v>2.4E-2</v>
      </c>
      <c r="P93" s="349"/>
      <c r="Q93" s="1514"/>
      <c r="R93" s="361">
        <v>2</v>
      </c>
      <c r="S93" s="361">
        <v>9.9999999999999995E-7</v>
      </c>
      <c r="T93" s="369">
        <v>5.0000000000000001E-3</v>
      </c>
      <c r="U93" s="369">
        <v>-1E-3</v>
      </c>
      <c r="V93" s="354">
        <f t="shared" si="66"/>
        <v>3.0000000000000001E-3</v>
      </c>
      <c r="W93" s="361">
        <f t="shared" si="69"/>
        <v>2.4E-2</v>
      </c>
    </row>
    <row r="94" spans="1:24" s="376" customFormat="1" ht="15.6">
      <c r="A94" s="389"/>
      <c r="B94" s="390"/>
      <c r="C94" s="391"/>
      <c r="E94" s="391"/>
      <c r="F94" s="391"/>
      <c r="G94" s="391"/>
      <c r="H94" s="377"/>
      <c r="I94" s="392"/>
      <c r="J94" s="393"/>
      <c r="K94" s="391"/>
      <c r="M94" s="391"/>
      <c r="N94" s="391"/>
      <c r="O94" s="391"/>
      <c r="P94" s="377"/>
      <c r="Q94" s="392"/>
      <c r="R94" s="390"/>
      <c r="S94" s="391"/>
      <c r="U94" s="375"/>
      <c r="V94" s="375"/>
      <c r="W94" s="378"/>
      <c r="X94" s="379"/>
    </row>
    <row r="95" spans="1:24" ht="30" customHeight="1">
      <c r="A95" s="1512">
        <v>10</v>
      </c>
      <c r="B95" s="1523" t="str">
        <f>A176</f>
        <v>Electrical Safety Analyzer, Merek : Fluke, Model : ESA 615, SN : 5838068</v>
      </c>
      <c r="C95" s="1523"/>
      <c r="D95" s="1523"/>
      <c r="E95" s="1523"/>
      <c r="F95" s="1523"/>
      <c r="G95" s="1523"/>
      <c r="H95" s="344"/>
      <c r="I95" s="1512">
        <v>11</v>
      </c>
      <c r="J95" s="1528" t="str">
        <f>A177</f>
        <v>Electrical Safety Analyzer 11</v>
      </c>
      <c r="K95" s="1528"/>
      <c r="L95" s="1528"/>
      <c r="M95" s="1528"/>
      <c r="N95" s="1528"/>
      <c r="O95" s="1528"/>
      <c r="P95" s="344"/>
      <c r="Q95" s="1512">
        <v>12</v>
      </c>
      <c r="R95" s="1528" t="str">
        <f>A178</f>
        <v>Electrical Safety Analyzer 12</v>
      </c>
      <c r="S95" s="1528"/>
      <c r="T95" s="1528"/>
      <c r="U95" s="1528"/>
      <c r="V95" s="1528"/>
      <c r="W95" s="1528"/>
    </row>
    <row r="96" spans="1:24" ht="15" customHeight="1">
      <c r="A96" s="1513"/>
      <c r="B96" s="1524" t="s">
        <v>227</v>
      </c>
      <c r="C96" s="1524"/>
      <c r="D96" s="1524"/>
      <c r="E96" s="1524"/>
      <c r="F96" s="381"/>
      <c r="G96" s="381"/>
      <c r="H96" s="346"/>
      <c r="I96" s="1513"/>
      <c r="J96" s="1516" t="s">
        <v>227</v>
      </c>
      <c r="K96" s="1516"/>
      <c r="L96" s="1516"/>
      <c r="M96" s="1516"/>
      <c r="N96" s="382"/>
      <c r="O96" s="382"/>
      <c r="P96" s="346"/>
      <c r="Q96" s="1513"/>
      <c r="R96" s="1524" t="s">
        <v>227</v>
      </c>
      <c r="S96" s="1524"/>
      <c r="T96" s="1524"/>
      <c r="U96" s="1524"/>
      <c r="V96" s="382"/>
      <c r="W96" s="382"/>
    </row>
    <row r="97" spans="1:23" ht="12.75" customHeight="1">
      <c r="A97" s="1513"/>
      <c r="B97" s="1517" t="s">
        <v>181</v>
      </c>
      <c r="C97" s="1518"/>
      <c r="D97" s="1518"/>
      <c r="E97" s="1519"/>
      <c r="F97" s="348" t="s">
        <v>229</v>
      </c>
      <c r="G97" s="348" t="s">
        <v>183</v>
      </c>
      <c r="H97" s="349"/>
      <c r="I97" s="1513"/>
      <c r="J97" s="1529" t="s">
        <v>181</v>
      </c>
      <c r="K97" s="1530"/>
      <c r="L97" s="1530"/>
      <c r="M97" s="1531"/>
      <c r="N97" s="348" t="s">
        <v>229</v>
      </c>
      <c r="O97" s="348" t="s">
        <v>183</v>
      </c>
      <c r="P97" s="349"/>
      <c r="Q97" s="1513"/>
      <c r="R97" s="1517" t="s">
        <v>181</v>
      </c>
      <c r="S97" s="1518"/>
      <c r="T97" s="1518"/>
      <c r="U97" s="1519"/>
      <c r="V97" s="348" t="s">
        <v>229</v>
      </c>
      <c r="W97" s="348" t="s">
        <v>183</v>
      </c>
    </row>
    <row r="98" spans="1:23" ht="15" customHeight="1">
      <c r="A98" s="1513"/>
      <c r="B98" s="347" t="s">
        <v>184</v>
      </c>
      <c r="C98" s="348">
        <v>2023</v>
      </c>
      <c r="D98" s="348">
        <v>2024</v>
      </c>
      <c r="E98" s="348">
        <v>2025</v>
      </c>
      <c r="F98" s="348"/>
      <c r="G98" s="348"/>
      <c r="H98" s="349"/>
      <c r="I98" s="1513"/>
      <c r="J98" s="347" t="s">
        <v>184</v>
      </c>
      <c r="K98" s="348">
        <v>2019</v>
      </c>
      <c r="L98" s="348">
        <v>2019</v>
      </c>
      <c r="M98" s="348">
        <v>2020</v>
      </c>
      <c r="N98" s="348"/>
      <c r="O98" s="348"/>
      <c r="P98" s="349"/>
      <c r="Q98" s="1513"/>
      <c r="R98" s="347" t="s">
        <v>184</v>
      </c>
      <c r="S98" s="348">
        <v>2019</v>
      </c>
      <c r="T98" s="348">
        <v>2019</v>
      </c>
      <c r="U98" s="348">
        <v>2020</v>
      </c>
      <c r="V98" s="348"/>
      <c r="W98" s="348"/>
    </row>
    <row r="99" spans="1:23" ht="12.75" customHeight="1">
      <c r="A99" s="1513"/>
      <c r="B99" s="352">
        <v>150</v>
      </c>
      <c r="C99" s="398">
        <v>9.9999999999999995E-8</v>
      </c>
      <c r="D99" s="398">
        <v>9.9999999999999995E-8</v>
      </c>
      <c r="E99" s="398">
        <v>9.9999999999999995E-8</v>
      </c>
      <c r="F99" s="354">
        <f t="shared" ref="F99:F104" si="70">0.5*(MAX(C99:E99)-MIN(C99:E99))</f>
        <v>0</v>
      </c>
      <c r="G99" s="360">
        <v>1.2</v>
      </c>
      <c r="H99" s="349"/>
      <c r="I99" s="1513"/>
      <c r="J99" s="352">
        <v>150</v>
      </c>
      <c r="K99" s="355">
        <v>9.9999999999999995E-7</v>
      </c>
      <c r="L99" s="355">
        <v>9.9999999999999995E-7</v>
      </c>
      <c r="M99" s="398">
        <v>-0.17</v>
      </c>
      <c r="N99" s="354">
        <f>0.5*(MAX(K99:M99)-MIN(K99:M99))</f>
        <v>8.5000500000000007E-2</v>
      </c>
      <c r="O99" s="398">
        <v>1.2</v>
      </c>
      <c r="P99" s="349"/>
      <c r="Q99" s="1513"/>
      <c r="R99" s="352">
        <v>150</v>
      </c>
      <c r="S99" s="355">
        <v>9.9999999999999995E-7</v>
      </c>
      <c r="T99" s="355">
        <v>9.9999999999999995E-7</v>
      </c>
      <c r="U99" s="398">
        <v>-0.24</v>
      </c>
      <c r="V99" s="354">
        <f t="shared" ref="V99:V104" si="71">0.5*(MAX(S99:U99)-MIN(S99:U99))</f>
        <v>0.1200005</v>
      </c>
      <c r="W99" s="398">
        <v>1.2</v>
      </c>
    </row>
    <row r="100" spans="1:23" ht="12.75" customHeight="1">
      <c r="A100" s="1513"/>
      <c r="B100" s="352">
        <v>180</v>
      </c>
      <c r="C100" s="398">
        <v>9.9999999999999995E-8</v>
      </c>
      <c r="D100" s="398">
        <v>9.9999999999999995E-8</v>
      </c>
      <c r="E100" s="398">
        <v>9.9999999999999995E-8</v>
      </c>
      <c r="F100" s="354">
        <f t="shared" si="70"/>
        <v>0</v>
      </c>
      <c r="G100" s="360">
        <v>1.2</v>
      </c>
      <c r="H100" s="349"/>
      <c r="I100" s="1513"/>
      <c r="J100" s="352">
        <v>180</v>
      </c>
      <c r="K100" s="355">
        <v>9.9999999999999995E-7</v>
      </c>
      <c r="L100" s="355">
        <v>9.9999999999999995E-7</v>
      </c>
      <c r="M100" s="367">
        <v>-0.22</v>
      </c>
      <c r="N100" s="354">
        <f t="shared" ref="N100:N104" si="72">0.5*(MAX(K100:M100)-MIN(K100:M100))</f>
        <v>0.1100005</v>
      </c>
      <c r="O100" s="398">
        <v>1.2</v>
      </c>
      <c r="P100" s="349"/>
      <c r="Q100" s="1513"/>
      <c r="R100" s="352">
        <v>180</v>
      </c>
      <c r="S100" s="355">
        <v>9.9999999999999995E-7</v>
      </c>
      <c r="T100" s="355">
        <v>9.9999999999999995E-7</v>
      </c>
      <c r="U100" s="367">
        <v>-0.14000000000000001</v>
      </c>
      <c r="V100" s="354">
        <f t="shared" si="71"/>
        <v>7.0000500000000007E-2</v>
      </c>
      <c r="W100" s="398">
        <v>1.2</v>
      </c>
    </row>
    <row r="101" spans="1:23" ht="12.75" customHeight="1">
      <c r="A101" s="1513"/>
      <c r="B101" s="352">
        <v>200</v>
      </c>
      <c r="C101" s="398">
        <v>9.9999999999999995E-8</v>
      </c>
      <c r="D101" s="398">
        <v>9.9999999999999995E-8</v>
      </c>
      <c r="E101" s="398">
        <v>9.9999999999999995E-8</v>
      </c>
      <c r="F101" s="354">
        <f t="shared" si="70"/>
        <v>0</v>
      </c>
      <c r="G101" s="360">
        <v>1.2</v>
      </c>
      <c r="H101" s="349"/>
      <c r="I101" s="1513"/>
      <c r="J101" s="352">
        <v>200</v>
      </c>
      <c r="K101" s="355">
        <v>9.9999999999999995E-7</v>
      </c>
      <c r="L101" s="355">
        <v>9.9999999999999995E-7</v>
      </c>
      <c r="M101" s="367">
        <v>-0.33</v>
      </c>
      <c r="N101" s="354">
        <f t="shared" si="72"/>
        <v>0.16500049999999999</v>
      </c>
      <c r="O101" s="398">
        <v>1.2</v>
      </c>
      <c r="P101" s="349"/>
      <c r="Q101" s="1513"/>
      <c r="R101" s="352">
        <v>200</v>
      </c>
      <c r="S101" s="355">
        <v>9.9999999999999995E-7</v>
      </c>
      <c r="T101" s="355">
        <v>9.9999999999999995E-7</v>
      </c>
      <c r="U101" s="367">
        <v>-0.33</v>
      </c>
      <c r="V101" s="354">
        <f t="shared" si="71"/>
        <v>0.16500049999999999</v>
      </c>
      <c r="W101" s="398">
        <v>1.2</v>
      </c>
    </row>
    <row r="102" spans="1:23" ht="12.75" customHeight="1">
      <c r="A102" s="1513"/>
      <c r="B102" s="352">
        <v>220</v>
      </c>
      <c r="C102" s="398">
        <v>9.9999999999999995E-8</v>
      </c>
      <c r="D102" s="398">
        <v>9.9999999999999995E-8</v>
      </c>
      <c r="E102" s="398">
        <v>9.9999999999999995E-8</v>
      </c>
      <c r="F102" s="354">
        <f t="shared" si="70"/>
        <v>0</v>
      </c>
      <c r="G102" s="360">
        <v>1.2</v>
      </c>
      <c r="H102" s="349"/>
      <c r="I102" s="1513"/>
      <c r="J102" s="352">
        <v>220</v>
      </c>
      <c r="K102" s="355">
        <v>9.9999999999999995E-7</v>
      </c>
      <c r="L102" s="355">
        <v>9.9999999999999995E-7</v>
      </c>
      <c r="M102" s="367">
        <v>-0.39</v>
      </c>
      <c r="N102" s="354">
        <f t="shared" si="72"/>
        <v>0.19500049999999999</v>
      </c>
      <c r="O102" s="398">
        <v>1.2</v>
      </c>
      <c r="P102" s="349"/>
      <c r="Q102" s="1513"/>
      <c r="R102" s="352">
        <v>220</v>
      </c>
      <c r="S102" s="355">
        <v>9.9999999999999995E-7</v>
      </c>
      <c r="T102" s="355">
        <v>9.9999999999999995E-7</v>
      </c>
      <c r="U102" s="367">
        <v>-0.45</v>
      </c>
      <c r="V102" s="354">
        <f t="shared" si="71"/>
        <v>0.22500049999999999</v>
      </c>
      <c r="W102" s="398">
        <v>1.2</v>
      </c>
    </row>
    <row r="103" spans="1:23" ht="12.75" customHeight="1">
      <c r="A103" s="1513"/>
      <c r="B103" s="352">
        <v>230</v>
      </c>
      <c r="C103" s="398">
        <v>9.9999999999999995E-8</v>
      </c>
      <c r="D103" s="398">
        <v>9.9999999999999995E-8</v>
      </c>
      <c r="E103" s="398">
        <v>9.9999999999999995E-8</v>
      </c>
      <c r="F103" s="354">
        <f t="shared" si="70"/>
        <v>0</v>
      </c>
      <c r="G103" s="360">
        <v>1.2</v>
      </c>
      <c r="H103" s="349"/>
      <c r="I103" s="1513"/>
      <c r="J103" s="352">
        <v>230</v>
      </c>
      <c r="K103" s="355">
        <v>9.9999999999999995E-7</v>
      </c>
      <c r="L103" s="355">
        <v>9.9999999999999995E-7</v>
      </c>
      <c r="M103" s="367">
        <v>-0.39</v>
      </c>
      <c r="N103" s="354">
        <f t="shared" si="72"/>
        <v>0.19500049999999999</v>
      </c>
      <c r="O103" s="398">
        <v>1.2</v>
      </c>
      <c r="P103" s="349"/>
      <c r="Q103" s="1513"/>
      <c r="R103" s="352">
        <v>230</v>
      </c>
      <c r="S103" s="355">
        <v>9.9999999999999995E-7</v>
      </c>
      <c r="T103" s="355">
        <v>9.9999999999999995E-7</v>
      </c>
      <c r="U103" s="367">
        <v>-0.54</v>
      </c>
      <c r="V103" s="354">
        <f t="shared" si="71"/>
        <v>0.27000050000000003</v>
      </c>
      <c r="W103" s="398">
        <v>1.2</v>
      </c>
    </row>
    <row r="104" spans="1:23" ht="12.75" customHeight="1">
      <c r="A104" s="1513"/>
      <c r="B104" s="352">
        <v>250</v>
      </c>
      <c r="C104" s="398">
        <v>9.9999999999999995E-8</v>
      </c>
      <c r="D104" s="398">
        <v>9.9999999999999995E-8</v>
      </c>
      <c r="E104" s="398">
        <v>9.9999999999999995E-8</v>
      </c>
      <c r="F104" s="354">
        <f t="shared" si="70"/>
        <v>0</v>
      </c>
      <c r="G104" s="360">
        <v>1.2</v>
      </c>
      <c r="H104" s="349"/>
      <c r="I104" s="1513"/>
      <c r="J104" s="352">
        <v>250</v>
      </c>
      <c r="K104" s="355">
        <v>9.9999999999999995E-7</v>
      </c>
      <c r="L104" s="355">
        <v>9.9999999999999995E-7</v>
      </c>
      <c r="M104" s="362">
        <v>9.9999999999999995E-7</v>
      </c>
      <c r="N104" s="354">
        <f t="shared" si="72"/>
        <v>0</v>
      </c>
      <c r="O104" s="398">
        <v>1.2</v>
      </c>
      <c r="P104" s="349"/>
      <c r="Q104" s="1513"/>
      <c r="R104" s="352">
        <v>250</v>
      </c>
      <c r="S104" s="355">
        <v>9.9999999999999995E-7</v>
      </c>
      <c r="T104" s="355">
        <v>9.9999999999999995E-7</v>
      </c>
      <c r="U104" s="362">
        <v>9.9999999999999995E-7</v>
      </c>
      <c r="V104" s="354">
        <f t="shared" si="71"/>
        <v>0</v>
      </c>
      <c r="W104" s="398">
        <v>1.2</v>
      </c>
    </row>
    <row r="105" spans="1:23" ht="12.75" customHeight="1">
      <c r="A105" s="1513"/>
      <c r="B105" s="1520" t="s">
        <v>179</v>
      </c>
      <c r="C105" s="1521"/>
      <c r="D105" s="1521"/>
      <c r="E105" s="1522"/>
      <c r="F105" s="348" t="s">
        <v>229</v>
      </c>
      <c r="G105" s="348" t="s">
        <v>183</v>
      </c>
      <c r="H105" s="349"/>
      <c r="I105" s="1513"/>
      <c r="J105" s="1520" t="s">
        <v>179</v>
      </c>
      <c r="K105" s="1521"/>
      <c r="L105" s="1521"/>
      <c r="M105" s="1522"/>
      <c r="N105" s="348" t="s">
        <v>229</v>
      </c>
      <c r="O105" s="348" t="s">
        <v>183</v>
      </c>
      <c r="P105" s="349"/>
      <c r="Q105" s="1513"/>
      <c r="R105" s="1520" t="s">
        <v>179</v>
      </c>
      <c r="S105" s="1521"/>
      <c r="T105" s="1521"/>
      <c r="U105" s="1522"/>
      <c r="V105" s="348" t="s">
        <v>229</v>
      </c>
      <c r="W105" s="348" t="s">
        <v>183</v>
      </c>
    </row>
    <row r="106" spans="1:23" ht="15" customHeight="1">
      <c r="A106" s="1513"/>
      <c r="B106" s="347" t="s">
        <v>189</v>
      </c>
      <c r="C106" s="348">
        <f>C98</f>
        <v>2023</v>
      </c>
      <c r="D106" s="348">
        <f>D98</f>
        <v>2024</v>
      </c>
      <c r="E106" s="348">
        <f>E98</f>
        <v>2025</v>
      </c>
      <c r="F106" s="348"/>
      <c r="G106" s="348"/>
      <c r="H106" s="349"/>
      <c r="I106" s="1513"/>
      <c r="J106" s="347" t="s">
        <v>189</v>
      </c>
      <c r="K106" s="348">
        <f>K98</f>
        <v>2019</v>
      </c>
      <c r="L106" s="348">
        <f>L98</f>
        <v>2019</v>
      </c>
      <c r="M106" s="348">
        <f>M98</f>
        <v>2020</v>
      </c>
      <c r="N106" s="348"/>
      <c r="O106" s="348"/>
      <c r="P106" s="349"/>
      <c r="Q106" s="1513"/>
      <c r="R106" s="347" t="s">
        <v>189</v>
      </c>
      <c r="S106" s="348">
        <f>S98</f>
        <v>2019</v>
      </c>
      <c r="T106" s="348">
        <f>T98</f>
        <v>2019</v>
      </c>
      <c r="U106" s="348">
        <f>U98</f>
        <v>2020</v>
      </c>
      <c r="V106" s="348"/>
      <c r="W106" s="348"/>
    </row>
    <row r="107" spans="1:23" ht="12.75" customHeight="1">
      <c r="A107" s="1513"/>
      <c r="B107" s="359">
        <v>9.9999999999999995E-7</v>
      </c>
      <c r="C107" s="398">
        <v>9.9999999999999995E-8</v>
      </c>
      <c r="D107" s="398">
        <v>9.9999999999999995E-8</v>
      </c>
      <c r="E107" s="398">
        <v>9.9999999999999995E-8</v>
      </c>
      <c r="F107" s="354">
        <f t="shared" ref="F107:F112" si="73">0.5*(MAX(C107:E107)-MIN(C107:E107))</f>
        <v>0</v>
      </c>
      <c r="G107" s="365">
        <v>0.59</v>
      </c>
      <c r="H107" s="349"/>
      <c r="I107" s="1513"/>
      <c r="J107" s="366">
        <v>9.9999999999999995E-7</v>
      </c>
      <c r="K107" s="359">
        <v>9.9999999999999995E-7</v>
      </c>
      <c r="L107" s="359">
        <v>9.9999999999999995E-7</v>
      </c>
      <c r="M107" s="362">
        <v>9.9999999999999995E-7</v>
      </c>
      <c r="N107" s="354">
        <f t="shared" ref="N107:N112" si="74">0.5*(MAX(K107:M107)-MIN(K107:M107))</f>
        <v>0</v>
      </c>
      <c r="O107" s="364">
        <v>0.59</v>
      </c>
      <c r="P107" s="349"/>
      <c r="Q107" s="1513"/>
      <c r="R107" s="366">
        <v>9.9999999999999995E-7</v>
      </c>
      <c r="S107" s="359">
        <v>9.9999999999999995E-7</v>
      </c>
      <c r="T107" s="359">
        <v>9.9999999999999995E-7</v>
      </c>
      <c r="U107" s="362">
        <v>9.9999999999999995E-7</v>
      </c>
      <c r="V107" s="354">
        <f t="shared" ref="V107:V112" si="75">0.5*(MAX(S107:U107)-MIN(S107:U107))</f>
        <v>0</v>
      </c>
      <c r="W107" s="364">
        <v>0.59</v>
      </c>
    </row>
    <row r="108" spans="1:23" ht="12.75" customHeight="1">
      <c r="A108" s="1513"/>
      <c r="B108" s="361">
        <v>50</v>
      </c>
      <c r="C108" s="398">
        <v>9.9999999999999995E-8</v>
      </c>
      <c r="D108" s="398">
        <v>9.9999999999999995E-8</v>
      </c>
      <c r="E108" s="398">
        <v>9.9999999999999995E-8</v>
      </c>
      <c r="F108" s="354">
        <f t="shared" si="73"/>
        <v>0</v>
      </c>
      <c r="G108" s="365">
        <v>0.59</v>
      </c>
      <c r="H108" s="349"/>
      <c r="I108" s="1513"/>
      <c r="J108" s="361">
        <v>50</v>
      </c>
      <c r="K108" s="359">
        <v>9.9999999999999995E-7</v>
      </c>
      <c r="L108" s="359">
        <v>9.9999999999999995E-7</v>
      </c>
      <c r="M108" s="367">
        <v>1.7</v>
      </c>
      <c r="N108" s="354">
        <f t="shared" si="74"/>
        <v>0.84999950000000002</v>
      </c>
      <c r="O108" s="364">
        <v>0.59</v>
      </c>
      <c r="P108" s="349"/>
      <c r="Q108" s="1513"/>
      <c r="R108" s="361">
        <v>50</v>
      </c>
      <c r="S108" s="359">
        <v>9.9999999999999995E-7</v>
      </c>
      <c r="T108" s="359">
        <v>9.9999999999999995E-7</v>
      </c>
      <c r="U108" s="367">
        <v>2.1</v>
      </c>
      <c r="V108" s="354">
        <f t="shared" si="75"/>
        <v>1.0499995</v>
      </c>
      <c r="W108" s="367">
        <v>0.59</v>
      </c>
    </row>
    <row r="109" spans="1:23" ht="12.75" customHeight="1">
      <c r="A109" s="1513"/>
      <c r="B109" s="361">
        <v>100</v>
      </c>
      <c r="C109" s="398">
        <v>9.9999999999999995E-8</v>
      </c>
      <c r="D109" s="398">
        <v>9.9999999999999995E-8</v>
      </c>
      <c r="E109" s="398">
        <v>9.9999999999999995E-8</v>
      </c>
      <c r="F109" s="354">
        <f t="shared" si="73"/>
        <v>0</v>
      </c>
      <c r="G109" s="365">
        <v>0.59</v>
      </c>
      <c r="H109" s="349"/>
      <c r="I109" s="1513"/>
      <c r="J109" s="361">
        <v>100</v>
      </c>
      <c r="K109" s="359">
        <v>9.9999999999999995E-7</v>
      </c>
      <c r="L109" s="359">
        <v>9.9999999999999995E-7</v>
      </c>
      <c r="M109" s="367">
        <v>3.4</v>
      </c>
      <c r="N109" s="354">
        <f t="shared" si="74"/>
        <v>1.6999994999999999</v>
      </c>
      <c r="O109" s="364">
        <v>0.59</v>
      </c>
      <c r="P109" s="349"/>
      <c r="Q109" s="1513"/>
      <c r="R109" s="361">
        <v>100</v>
      </c>
      <c r="S109" s="359">
        <v>9.9999999999999995E-7</v>
      </c>
      <c r="T109" s="359">
        <v>9.9999999999999995E-7</v>
      </c>
      <c r="U109" s="367">
        <v>3.7</v>
      </c>
      <c r="V109" s="354">
        <f t="shared" si="75"/>
        <v>1.8499995</v>
      </c>
      <c r="W109" s="367">
        <v>0.59</v>
      </c>
    </row>
    <row r="110" spans="1:23" ht="12.75" customHeight="1">
      <c r="A110" s="1513"/>
      <c r="B110" s="361">
        <v>200</v>
      </c>
      <c r="C110" s="398">
        <v>9.9999999999999995E-8</v>
      </c>
      <c r="D110" s="398">
        <v>9.9999999999999995E-8</v>
      </c>
      <c r="E110" s="398">
        <v>9.9999999999999995E-8</v>
      </c>
      <c r="F110" s="354">
        <f t="shared" si="73"/>
        <v>0</v>
      </c>
      <c r="G110" s="365">
        <v>0.59</v>
      </c>
      <c r="H110" s="349"/>
      <c r="I110" s="1513"/>
      <c r="J110" s="361">
        <v>500</v>
      </c>
      <c r="K110" s="359">
        <v>9.9999999999999995E-7</v>
      </c>
      <c r="L110" s="359">
        <v>9.9999999999999995E-7</v>
      </c>
      <c r="M110" s="367">
        <v>7.2</v>
      </c>
      <c r="N110" s="354">
        <f t="shared" si="74"/>
        <v>3.5999995</v>
      </c>
      <c r="O110" s="364">
        <v>0.59</v>
      </c>
      <c r="P110" s="349"/>
      <c r="Q110" s="1513"/>
      <c r="R110" s="361">
        <v>500</v>
      </c>
      <c r="S110" s="359">
        <v>9.9999999999999995E-7</v>
      </c>
      <c r="T110" s="359">
        <v>9.9999999999999995E-7</v>
      </c>
      <c r="U110" s="367">
        <v>8.3000000000000007</v>
      </c>
      <c r="V110" s="354">
        <f t="shared" si="75"/>
        <v>4.1499995000000007</v>
      </c>
      <c r="W110" s="367">
        <v>0.59</v>
      </c>
    </row>
    <row r="111" spans="1:23" ht="12.75" customHeight="1">
      <c r="A111" s="1513"/>
      <c r="B111" s="361">
        <v>500</v>
      </c>
      <c r="C111" s="398">
        <v>9.9999999999999995E-8</v>
      </c>
      <c r="D111" s="398">
        <v>9.9999999999999995E-8</v>
      </c>
      <c r="E111" s="398">
        <v>9.9999999999999995E-8</v>
      </c>
      <c r="F111" s="354">
        <f t="shared" si="73"/>
        <v>0</v>
      </c>
      <c r="G111" s="365">
        <v>0.59</v>
      </c>
      <c r="H111" s="349"/>
      <c r="I111" s="1513"/>
      <c r="J111" s="361">
        <v>500</v>
      </c>
      <c r="K111" s="359">
        <v>9.9999999999999995E-7</v>
      </c>
      <c r="L111" s="359">
        <v>9.9999999999999995E-7</v>
      </c>
      <c r="M111" s="367">
        <v>7.2</v>
      </c>
      <c r="N111" s="354">
        <f t="shared" si="74"/>
        <v>3.5999995</v>
      </c>
      <c r="O111" s="364">
        <v>0.59</v>
      </c>
      <c r="P111" s="349"/>
      <c r="Q111" s="1513"/>
      <c r="R111" s="361">
        <v>500</v>
      </c>
      <c r="S111" s="359">
        <v>9.9999999999999995E-7</v>
      </c>
      <c r="T111" s="359">
        <v>9.9999999999999995E-7</v>
      </c>
      <c r="U111" s="367">
        <v>8.3000000000000007</v>
      </c>
      <c r="V111" s="354">
        <f t="shared" si="75"/>
        <v>4.1499995000000007</v>
      </c>
      <c r="W111" s="367">
        <v>0.59</v>
      </c>
    </row>
    <row r="112" spans="1:23" ht="12.75" customHeight="1">
      <c r="A112" s="1513"/>
      <c r="B112" s="361">
        <v>1000</v>
      </c>
      <c r="C112" s="398">
        <v>9.9999999999999995E-8</v>
      </c>
      <c r="D112" s="398">
        <v>9.9999999999999995E-8</v>
      </c>
      <c r="E112" s="398">
        <v>9.9999999999999995E-8</v>
      </c>
      <c r="F112" s="354">
        <f t="shared" si="73"/>
        <v>0</v>
      </c>
      <c r="G112" s="365">
        <v>0.59</v>
      </c>
      <c r="H112" s="349"/>
      <c r="I112" s="1513"/>
      <c r="J112" s="361">
        <v>1000</v>
      </c>
      <c r="K112" s="359">
        <v>9.9999999999999995E-7</v>
      </c>
      <c r="L112" s="359">
        <v>9.9999999999999995E-7</v>
      </c>
      <c r="M112" s="367">
        <v>80</v>
      </c>
      <c r="N112" s="354">
        <f t="shared" si="74"/>
        <v>39.999999500000001</v>
      </c>
      <c r="O112" s="364">
        <v>0.59</v>
      </c>
      <c r="P112" s="349"/>
      <c r="Q112" s="1513"/>
      <c r="R112" s="361">
        <v>1000</v>
      </c>
      <c r="S112" s="359">
        <v>9.9999999999999995E-7</v>
      </c>
      <c r="T112" s="359">
        <v>9.9999999999999995E-7</v>
      </c>
      <c r="U112" s="367">
        <v>-97</v>
      </c>
      <c r="V112" s="354">
        <f t="shared" si="75"/>
        <v>48.500000499999999</v>
      </c>
      <c r="W112" s="367">
        <v>0.59</v>
      </c>
    </row>
    <row r="113" spans="1:24" ht="12.75" customHeight="1">
      <c r="A113" s="1513"/>
      <c r="B113" s="1520" t="s">
        <v>180</v>
      </c>
      <c r="C113" s="1521"/>
      <c r="D113" s="1521"/>
      <c r="E113" s="1522"/>
      <c r="F113" s="348" t="s">
        <v>229</v>
      </c>
      <c r="G113" s="348" t="s">
        <v>183</v>
      </c>
      <c r="H113" s="349"/>
      <c r="I113" s="1513"/>
      <c r="J113" s="1520" t="s">
        <v>180</v>
      </c>
      <c r="K113" s="1521"/>
      <c r="L113" s="1521"/>
      <c r="M113" s="1522"/>
      <c r="N113" s="348" t="s">
        <v>229</v>
      </c>
      <c r="O113" s="348" t="s">
        <v>183</v>
      </c>
      <c r="P113" s="349"/>
      <c r="Q113" s="1513"/>
      <c r="R113" s="1520" t="s">
        <v>180</v>
      </c>
      <c r="S113" s="1521"/>
      <c r="T113" s="1521"/>
      <c r="U113" s="1522"/>
      <c r="V113" s="348" t="s">
        <v>229</v>
      </c>
      <c r="W113" s="348" t="s">
        <v>183</v>
      </c>
    </row>
    <row r="114" spans="1:24" ht="15" customHeight="1">
      <c r="A114" s="1513"/>
      <c r="B114" s="347" t="s">
        <v>230</v>
      </c>
      <c r="C114" s="348">
        <v>2020</v>
      </c>
      <c r="D114" s="348">
        <v>2021</v>
      </c>
      <c r="E114" s="348">
        <v>2018</v>
      </c>
      <c r="F114" s="348"/>
      <c r="G114" s="348"/>
      <c r="H114" s="349"/>
      <c r="I114" s="1513"/>
      <c r="J114" s="347" t="s">
        <v>230</v>
      </c>
      <c r="K114" s="348">
        <f>K98</f>
        <v>2019</v>
      </c>
      <c r="L114" s="348">
        <f>L98</f>
        <v>2019</v>
      </c>
      <c r="M114" s="348">
        <f>M98</f>
        <v>2020</v>
      </c>
      <c r="N114" s="348"/>
      <c r="O114" s="348"/>
      <c r="P114" s="349"/>
      <c r="Q114" s="1513"/>
      <c r="R114" s="347" t="s">
        <v>230</v>
      </c>
      <c r="S114" s="348">
        <f>S98</f>
        <v>2019</v>
      </c>
      <c r="T114" s="348">
        <f>T98</f>
        <v>2019</v>
      </c>
      <c r="U114" s="348">
        <f>U98</f>
        <v>2020</v>
      </c>
      <c r="V114" s="348"/>
      <c r="W114" s="348"/>
    </row>
    <row r="115" spans="1:24" ht="12.75" customHeight="1">
      <c r="A115" s="1513"/>
      <c r="B115" s="361">
        <v>10</v>
      </c>
      <c r="C115" s="398">
        <v>9.9999999999999995E-8</v>
      </c>
      <c r="D115" s="398">
        <v>9.9999999999999995E-8</v>
      </c>
      <c r="E115" s="398">
        <v>9.9999999999999995E-8</v>
      </c>
      <c r="F115" s="354">
        <f t="shared" ref="F115:F118" si="76">0.5*(MAX(C115:E115)-MIN(C115:E115))</f>
        <v>0</v>
      </c>
      <c r="G115" s="366">
        <v>1.7</v>
      </c>
      <c r="H115" s="349"/>
      <c r="I115" s="1513"/>
      <c r="J115" s="361">
        <v>10</v>
      </c>
      <c r="K115" s="359">
        <v>9.9999999999999995E-7</v>
      </c>
      <c r="L115" s="359">
        <v>9.9999999999999995E-7</v>
      </c>
      <c r="M115" s="359">
        <v>9.9999999999999995E-7</v>
      </c>
      <c r="N115" s="354">
        <f t="shared" ref="N115:N118" si="77">0.5*(MAX(K115:M115)-MIN(K115:M115))</f>
        <v>0</v>
      </c>
      <c r="O115" s="367">
        <v>0</v>
      </c>
      <c r="P115" s="349"/>
      <c r="Q115" s="1513"/>
      <c r="R115" s="361">
        <v>10</v>
      </c>
      <c r="S115" s="359">
        <v>9.9999999999999995E-7</v>
      </c>
      <c r="T115" s="359">
        <v>9.9999999999999995E-7</v>
      </c>
      <c r="U115" s="359">
        <v>9.9999999999999995E-7</v>
      </c>
      <c r="V115" s="354">
        <f t="shared" ref="V115:V118" si="78">0.5*(MAX(S115:U115)-MIN(S115:U115))</f>
        <v>0</v>
      </c>
      <c r="W115" s="367">
        <v>0</v>
      </c>
    </row>
    <row r="116" spans="1:24" ht="12.75" customHeight="1">
      <c r="A116" s="1513"/>
      <c r="B116" s="361">
        <v>20</v>
      </c>
      <c r="C116" s="398">
        <v>9.9999999999999995E-8</v>
      </c>
      <c r="D116" s="398">
        <v>9.9999999999999995E-8</v>
      </c>
      <c r="E116" s="398">
        <v>9.9999999999999995E-8</v>
      </c>
      <c r="F116" s="354">
        <f t="shared" si="76"/>
        <v>0</v>
      </c>
      <c r="G116" s="366">
        <v>1.7</v>
      </c>
      <c r="H116" s="349"/>
      <c r="I116" s="1513"/>
      <c r="J116" s="361">
        <v>20</v>
      </c>
      <c r="K116" s="359">
        <v>9.9999999999999995E-7</v>
      </c>
      <c r="L116" s="359">
        <v>9.9999999999999995E-7</v>
      </c>
      <c r="M116" s="359">
        <v>9.9999999999999995E-7</v>
      </c>
      <c r="N116" s="354">
        <f t="shared" si="77"/>
        <v>0</v>
      </c>
      <c r="O116" s="367">
        <v>0</v>
      </c>
      <c r="P116" s="349"/>
      <c r="Q116" s="1513"/>
      <c r="R116" s="361">
        <v>20</v>
      </c>
      <c r="S116" s="359">
        <v>9.9999999999999995E-7</v>
      </c>
      <c r="T116" s="359">
        <v>9.9999999999999995E-7</v>
      </c>
      <c r="U116" s="359">
        <v>9.9999999999999995E-7</v>
      </c>
      <c r="V116" s="354">
        <f t="shared" si="78"/>
        <v>0</v>
      </c>
      <c r="W116" s="367">
        <v>0</v>
      </c>
    </row>
    <row r="117" spans="1:24" ht="12.75" customHeight="1">
      <c r="A117" s="1513"/>
      <c r="B117" s="361">
        <v>50</v>
      </c>
      <c r="C117" s="398">
        <v>9.9999999999999995E-8</v>
      </c>
      <c r="D117" s="398">
        <v>9.9999999999999995E-8</v>
      </c>
      <c r="E117" s="398">
        <v>9.9999999999999995E-8</v>
      </c>
      <c r="F117" s="354">
        <f t="shared" si="76"/>
        <v>0</v>
      </c>
      <c r="G117" s="366">
        <v>1.7</v>
      </c>
      <c r="H117" s="349"/>
      <c r="I117" s="1513"/>
      <c r="J117" s="361">
        <v>50</v>
      </c>
      <c r="K117" s="359">
        <v>9.9999999999999995E-7</v>
      </c>
      <c r="L117" s="359">
        <v>9.9999999999999995E-7</v>
      </c>
      <c r="M117" s="359">
        <v>9.9999999999999995E-7</v>
      </c>
      <c r="N117" s="354">
        <f t="shared" si="77"/>
        <v>0</v>
      </c>
      <c r="O117" s="367">
        <v>0</v>
      </c>
      <c r="P117" s="349"/>
      <c r="Q117" s="1513"/>
      <c r="R117" s="361">
        <v>50</v>
      </c>
      <c r="S117" s="359">
        <v>9.9999999999999995E-7</v>
      </c>
      <c r="T117" s="359">
        <v>9.9999999999999995E-7</v>
      </c>
      <c r="U117" s="359">
        <v>9.9999999999999995E-7</v>
      </c>
      <c r="V117" s="354">
        <f t="shared" si="78"/>
        <v>0</v>
      </c>
      <c r="W117" s="367">
        <v>0</v>
      </c>
    </row>
    <row r="118" spans="1:24" ht="12.75" customHeight="1">
      <c r="A118" s="1513"/>
      <c r="B118" s="361">
        <v>100</v>
      </c>
      <c r="C118" s="398">
        <v>9.9999999999999995E-8</v>
      </c>
      <c r="D118" s="398">
        <v>9.9999999999999995E-8</v>
      </c>
      <c r="E118" s="398">
        <v>9.9999999999999995E-8</v>
      </c>
      <c r="F118" s="354">
        <f t="shared" si="76"/>
        <v>0</v>
      </c>
      <c r="G118" s="366">
        <v>1.7</v>
      </c>
      <c r="H118" s="349"/>
      <c r="I118" s="1513"/>
      <c r="J118" s="361">
        <v>100</v>
      </c>
      <c r="K118" s="359">
        <v>9.9999999999999995E-7</v>
      </c>
      <c r="L118" s="359">
        <v>9.9999999999999995E-7</v>
      </c>
      <c r="M118" s="359">
        <v>9.9999999999999995E-7</v>
      </c>
      <c r="N118" s="354">
        <f t="shared" si="77"/>
        <v>0</v>
      </c>
      <c r="O118" s="367">
        <v>0</v>
      </c>
      <c r="P118" s="349"/>
      <c r="Q118" s="1513"/>
      <c r="R118" s="361">
        <v>100</v>
      </c>
      <c r="S118" s="359">
        <v>9.9999999999999995E-7</v>
      </c>
      <c r="T118" s="359">
        <v>9.9999999999999995E-7</v>
      </c>
      <c r="U118" s="359">
        <v>9.9999999999999995E-7</v>
      </c>
      <c r="V118" s="354">
        <f t="shared" si="78"/>
        <v>0</v>
      </c>
      <c r="W118" s="367">
        <v>0</v>
      </c>
    </row>
    <row r="119" spans="1:24" ht="12.75" customHeight="1">
      <c r="A119" s="1513"/>
      <c r="B119" s="1520" t="s">
        <v>186</v>
      </c>
      <c r="C119" s="1521"/>
      <c r="D119" s="1521"/>
      <c r="E119" s="1522"/>
      <c r="F119" s="348" t="s">
        <v>229</v>
      </c>
      <c r="G119" s="348" t="s">
        <v>183</v>
      </c>
      <c r="H119" s="349"/>
      <c r="I119" s="1513"/>
      <c r="J119" s="1520" t="s">
        <v>186</v>
      </c>
      <c r="K119" s="1521"/>
      <c r="L119" s="1521"/>
      <c r="M119" s="1522"/>
      <c r="N119" s="348" t="s">
        <v>229</v>
      </c>
      <c r="O119" s="348" t="s">
        <v>183</v>
      </c>
      <c r="P119" s="349"/>
      <c r="Q119" s="1513"/>
      <c r="R119" s="1520" t="str">
        <f>B119</f>
        <v>Resistance</v>
      </c>
      <c r="S119" s="1521"/>
      <c r="T119" s="1521"/>
      <c r="U119" s="1522"/>
      <c r="V119" s="348" t="s">
        <v>229</v>
      </c>
      <c r="W119" s="348" t="s">
        <v>183</v>
      </c>
    </row>
    <row r="120" spans="1:24" ht="15" customHeight="1">
      <c r="A120" s="1513"/>
      <c r="B120" s="347" t="s">
        <v>231</v>
      </c>
      <c r="C120" s="348">
        <f>C98</f>
        <v>2023</v>
      </c>
      <c r="D120" s="348">
        <f>D98</f>
        <v>2024</v>
      </c>
      <c r="E120" s="348">
        <f>E98</f>
        <v>2025</v>
      </c>
      <c r="F120" s="348"/>
      <c r="G120" s="348"/>
      <c r="H120" s="349"/>
      <c r="I120" s="1513"/>
      <c r="J120" s="347" t="s">
        <v>231</v>
      </c>
      <c r="K120" s="348">
        <f>K98</f>
        <v>2019</v>
      </c>
      <c r="L120" s="348">
        <f>L98</f>
        <v>2019</v>
      </c>
      <c r="M120" s="348">
        <f>M98</f>
        <v>2020</v>
      </c>
      <c r="N120" s="348"/>
      <c r="O120" s="348"/>
      <c r="P120" s="349"/>
      <c r="Q120" s="1513"/>
      <c r="R120" s="347" t="s">
        <v>231</v>
      </c>
      <c r="S120" s="348">
        <f>S98</f>
        <v>2019</v>
      </c>
      <c r="T120" s="348">
        <f>T98</f>
        <v>2019</v>
      </c>
      <c r="U120" s="348">
        <f>U98</f>
        <v>2020</v>
      </c>
      <c r="V120" s="348"/>
      <c r="W120" s="348"/>
    </row>
    <row r="121" spans="1:24" ht="12.75" customHeight="1">
      <c r="A121" s="1513"/>
      <c r="B121" s="361">
        <v>0.01</v>
      </c>
      <c r="C121" s="398">
        <v>9.9999999999999995E-8</v>
      </c>
      <c r="D121" s="398">
        <v>9.9999999999999995E-8</v>
      </c>
      <c r="E121" s="398">
        <v>9.9999999999999995E-8</v>
      </c>
      <c r="F121" s="354">
        <f t="shared" ref="F121:F124" si="79">0.5*(MAX(C121:E121)-MIN(C121:E121))</f>
        <v>0</v>
      </c>
      <c r="G121" s="361">
        <v>1.2</v>
      </c>
      <c r="H121" s="349"/>
      <c r="I121" s="1513"/>
      <c r="J121" s="361">
        <v>0.01</v>
      </c>
      <c r="K121" s="361">
        <v>9.9999999999999995E-7</v>
      </c>
      <c r="L121" s="361">
        <v>9.9999999999999995E-7</v>
      </c>
      <c r="M121" s="362">
        <v>9.9999999999999995E-7</v>
      </c>
      <c r="N121" s="354">
        <f t="shared" ref="N121:N124" si="80">0.5*(MAX(K121:M121)-MIN(K121:M121))</f>
        <v>0</v>
      </c>
      <c r="O121" s="399">
        <v>1.2</v>
      </c>
      <c r="P121" s="349"/>
      <c r="Q121" s="1513"/>
      <c r="R121" s="361">
        <v>0.01</v>
      </c>
      <c r="S121" s="361">
        <v>9.9999999999999995E-7</v>
      </c>
      <c r="T121" s="361">
        <v>9.9999999999999995E-7</v>
      </c>
      <c r="U121" s="362">
        <v>9.9999999999999995E-7</v>
      </c>
      <c r="V121" s="354">
        <f t="shared" ref="V121:V124" si="81">0.5*(MAX(S121:U121)-MIN(S121:U121))</f>
        <v>0</v>
      </c>
      <c r="W121" s="400">
        <v>1.2</v>
      </c>
    </row>
    <row r="122" spans="1:24" ht="12.75" customHeight="1">
      <c r="A122" s="1513"/>
      <c r="B122" s="361">
        <v>0.1</v>
      </c>
      <c r="C122" s="398">
        <v>9.9999999999999995E-8</v>
      </c>
      <c r="D122" s="398">
        <v>9.9999999999999995E-8</v>
      </c>
      <c r="E122" s="398">
        <v>9.9999999999999995E-8</v>
      </c>
      <c r="F122" s="354">
        <f t="shared" si="79"/>
        <v>0</v>
      </c>
      <c r="G122" s="361">
        <v>1.2</v>
      </c>
      <c r="H122" s="349"/>
      <c r="I122" s="1513"/>
      <c r="J122" s="361">
        <v>0.1</v>
      </c>
      <c r="K122" s="371">
        <v>9.9999999999999995E-7</v>
      </c>
      <c r="L122" s="371">
        <v>9.9999999999999995E-7</v>
      </c>
      <c r="M122" s="362">
        <v>-2E-3</v>
      </c>
      <c r="N122" s="354">
        <f t="shared" si="80"/>
        <v>1.0005000000000001E-3</v>
      </c>
      <c r="O122" s="399">
        <v>1.2</v>
      </c>
      <c r="P122" s="349"/>
      <c r="Q122" s="1513"/>
      <c r="R122" s="361">
        <v>0.1</v>
      </c>
      <c r="S122" s="361">
        <v>9.9999999999999995E-7</v>
      </c>
      <c r="T122" s="361">
        <v>9.9999999999999995E-7</v>
      </c>
      <c r="U122" s="362">
        <v>-3.0000000000000001E-3</v>
      </c>
      <c r="V122" s="354">
        <f t="shared" si="81"/>
        <v>1.5005000000000001E-3</v>
      </c>
      <c r="W122" s="400">
        <v>1.2</v>
      </c>
    </row>
    <row r="123" spans="1:24" ht="12.75" customHeight="1">
      <c r="A123" s="1513"/>
      <c r="B123" s="361">
        <v>1</v>
      </c>
      <c r="C123" s="398">
        <v>9.9999999999999995E-8</v>
      </c>
      <c r="D123" s="398">
        <v>9.9999999999999995E-8</v>
      </c>
      <c r="E123" s="398">
        <v>9.9999999999999995E-8</v>
      </c>
      <c r="F123" s="354">
        <f t="shared" si="79"/>
        <v>0</v>
      </c>
      <c r="G123" s="361">
        <v>1.2</v>
      </c>
      <c r="H123" s="349"/>
      <c r="I123" s="1513"/>
      <c r="J123" s="361">
        <v>1</v>
      </c>
      <c r="K123" s="371">
        <v>9.9999999999999995E-7</v>
      </c>
      <c r="L123" s="371">
        <v>9.9999999999999995E-7</v>
      </c>
      <c r="M123" s="362">
        <v>-1E-3</v>
      </c>
      <c r="N123" s="354">
        <f t="shared" si="80"/>
        <v>5.0049999999999997E-4</v>
      </c>
      <c r="O123" s="399">
        <v>1.2</v>
      </c>
      <c r="P123" s="349"/>
      <c r="Q123" s="1513"/>
      <c r="R123" s="361">
        <v>1</v>
      </c>
      <c r="S123" s="361">
        <v>9.9999999999999995E-7</v>
      </c>
      <c r="T123" s="361">
        <v>9.9999999999999995E-7</v>
      </c>
      <c r="U123" s="362">
        <v>-1E-3</v>
      </c>
      <c r="V123" s="354">
        <f t="shared" si="81"/>
        <v>5.0049999999999997E-4</v>
      </c>
      <c r="W123" s="400">
        <v>1.2</v>
      </c>
    </row>
    <row r="124" spans="1:24" ht="12.75" customHeight="1">
      <c r="A124" s="1514"/>
      <c r="B124" s="361">
        <v>2</v>
      </c>
      <c r="C124" s="398">
        <v>9.9999999999999995E-8</v>
      </c>
      <c r="D124" s="398">
        <v>9.9999999999999995E-8</v>
      </c>
      <c r="E124" s="398">
        <v>9.9999999999999995E-8</v>
      </c>
      <c r="F124" s="354">
        <f t="shared" si="79"/>
        <v>0</v>
      </c>
      <c r="G124" s="361">
        <v>1.2</v>
      </c>
      <c r="H124" s="349"/>
      <c r="I124" s="1514"/>
      <c r="J124" s="361">
        <v>2</v>
      </c>
      <c r="K124" s="371">
        <v>9.9999999999999995E-7</v>
      </c>
      <c r="L124" s="371">
        <v>9.9999999999999995E-7</v>
      </c>
      <c r="M124" s="362">
        <v>-6.0000000000000001E-3</v>
      </c>
      <c r="N124" s="354">
        <f t="shared" si="80"/>
        <v>3.0005000000000001E-3</v>
      </c>
      <c r="O124" s="399">
        <v>1.2</v>
      </c>
      <c r="P124" s="349"/>
      <c r="Q124" s="1514"/>
      <c r="R124" s="361">
        <v>2</v>
      </c>
      <c r="S124" s="361">
        <v>9.9999999999999995E-7</v>
      </c>
      <c r="T124" s="361">
        <v>9.9999999999999995E-7</v>
      </c>
      <c r="U124" s="362">
        <v>-6.0000000000000001E-3</v>
      </c>
      <c r="V124" s="354">
        <f t="shared" si="81"/>
        <v>3.0005000000000001E-3</v>
      </c>
      <c r="W124" s="400">
        <v>1.2</v>
      </c>
    </row>
    <row r="125" spans="1:24" s="376" customFormat="1" ht="16.2" thickBot="1">
      <c r="A125" s="389"/>
      <c r="B125" s="390"/>
      <c r="C125" s="391"/>
      <c r="E125" s="391"/>
      <c r="F125" s="391"/>
      <c r="G125" s="391"/>
      <c r="H125" s="377"/>
      <c r="I125" s="392"/>
      <c r="J125" s="393"/>
      <c r="K125" s="391"/>
      <c r="M125" s="391"/>
      <c r="N125" s="391"/>
      <c r="O125" s="391"/>
      <c r="P125" s="377"/>
      <c r="Q125" s="392"/>
      <c r="R125" s="390"/>
      <c r="S125" s="391"/>
      <c r="U125" s="375"/>
      <c r="V125" s="375"/>
      <c r="W125" s="378"/>
      <c r="X125" s="379"/>
    </row>
    <row r="126" spans="1:24" ht="16.2" thickBot="1">
      <c r="A126" s="401"/>
      <c r="B126" s="402"/>
      <c r="C126" s="402"/>
      <c r="D126" s="403"/>
      <c r="E126" s="402"/>
      <c r="F126" s="402"/>
      <c r="G126" s="402"/>
      <c r="H126" s="404"/>
      <c r="I126" s="402"/>
      <c r="J126" s="402"/>
      <c r="K126" s="402"/>
      <c r="L126" s="403"/>
      <c r="M126" s="402"/>
      <c r="N126" s="402"/>
      <c r="O126" s="402"/>
      <c r="P126" s="404"/>
      <c r="Q126" s="402"/>
      <c r="R126" s="402"/>
      <c r="S126" s="402"/>
      <c r="T126" s="403"/>
      <c r="U126" s="405"/>
      <c r="V126" s="405"/>
      <c r="W126" s="406"/>
    </row>
    <row r="127" spans="1:24">
      <c r="A127" s="407"/>
      <c r="B127" s="408"/>
      <c r="C127" s="408"/>
    </row>
    <row r="128" spans="1:24" ht="15" customHeight="1"/>
    <row r="129" spans="1:19" ht="15.75" customHeight="1"/>
    <row r="131" spans="1:19" ht="16.2" thickBot="1">
      <c r="S131" s="409"/>
    </row>
    <row r="132" spans="1:19" ht="30" customHeight="1">
      <c r="A132" s="410">
        <f>IF($A$166=$A$167,A2,IF($A$166=$A$168,I2,IF($A$166=$A$169,Q2,IF($A$166=$A$170,A33,IF($A$166=$A$171,I33,IF($A$166=$A$172,Q33,IF($A$166=$A$173,A64,IF($A$166=$A$174,I64,IF($A$166=$A$175,Q64,IF($A$166=$A$176,A95,IF($A$166=$A$177,I95,Q95)))))))))))</f>
        <v>5</v>
      </c>
      <c r="B132" s="1544" t="str">
        <f>IF($A$166=$A$167,B2,IF($A$166=$A$168,J2,IF($A$166=$A$169,R2,IF($A$166=$A$170,B33,IF($A$166=$A$171,J33,IF($A$166=$A$172,R33,IF($A$166=$A$173,B64,IF($A$166=$A$174,J64,IF($A$166=$A$175,R64,IF($A$166=$A$176,B95,IF($A$166=$A$177,J95,R95)))))))))))</f>
        <v>Electrical Safety Analyzer, Merek : Fluke, Model : ESA 615, SN : 3148907</v>
      </c>
      <c r="C132" s="1545"/>
      <c r="D132" s="1545"/>
      <c r="E132" s="1545"/>
      <c r="F132" s="1545"/>
      <c r="G132" s="1546"/>
    </row>
    <row r="133" spans="1:19" ht="15.75" customHeight="1" thickBot="1">
      <c r="A133" s="411"/>
      <c r="B133" s="412" t="str">
        <f t="shared" ref="B133:G148" si="82">IF($A$166=$A$167,B3,IF($A$166=$A$168,J3,IF($A$166=$A$169,R3,IF($A$166=$A$170,B34,IF($A$166=$A$171,J34,IF($A$166=$A$172,R34,IF($A$166=$A$173,B65,IF($A$166=$A$174,J65,IF($A$166=$A$175,R65,IF($A$166=$A$176,B96,IF($A$166=$A$177,J96,R96)))))))))))</f>
        <v>KOREKSI ESA</v>
      </c>
      <c r="C133" s="413"/>
      <c r="D133" s="413"/>
      <c r="E133" s="413"/>
      <c r="F133" s="413"/>
      <c r="G133" s="414"/>
      <c r="I133" s="376"/>
    </row>
    <row r="134" spans="1:19" ht="15.75" customHeight="1">
      <c r="A134" s="411"/>
      <c r="B134" s="415" t="str">
        <f t="shared" si="82"/>
        <v>Setting VAC</v>
      </c>
      <c r="C134" s="416"/>
      <c r="D134" s="416"/>
      <c r="E134" s="417"/>
      <c r="F134" s="418" t="str">
        <f>IF($A$166=$A$167,F4,IF($A$166=$A$168,N4,IF($A$166=$A$169,V4,IF($A$166=$A$170,F35,IF($A$166=$A$171,N35,IF($A$166=$A$172,V35,IF($A$166=$A$173,F66,IF($A$166=$A$174,N66,IF($A$166=$A$175,V66,IF($A$166=$A$176,F97,IF($A$166=$A$177,N97,V97)))))))))))</f>
        <v>Driff</v>
      </c>
      <c r="G134" s="419" t="str">
        <f>IF($A$166=$A$167,G4,IF($A$166=$A$168,O4,IF($A$166=$A$169,W4,IF($A$166=$A$170,G35,IF($A$166=$A$171,O35,IF($A$166=$A$172,W35,IF($A$166=$A$173,G66,IF($A$166=$A$174,O66,IF($A$166=$A$175,W66,IF($A$166=$A$176,G97,IF($A$166=$A$177,O97,W97)))))))))))</f>
        <v>U95</v>
      </c>
      <c r="I134" s="1547" t="s">
        <v>232</v>
      </c>
      <c r="J134" s="1548"/>
      <c r="K134" s="1548"/>
      <c r="L134" s="1549"/>
      <c r="M134" s="420"/>
      <c r="N134" s="421" t="s">
        <v>101</v>
      </c>
      <c r="O134" s="422" t="s">
        <v>233</v>
      </c>
      <c r="P134" s="423" t="s">
        <v>234</v>
      </c>
    </row>
    <row r="135" spans="1:19" ht="12.75" customHeight="1">
      <c r="A135" s="411"/>
      <c r="B135" s="424" t="str">
        <f t="shared" si="82"/>
        <v>( V )</v>
      </c>
      <c r="C135" s="418">
        <f t="shared" si="82"/>
        <v>2022</v>
      </c>
      <c r="D135" s="418">
        <f t="shared" si="82"/>
        <v>2021</v>
      </c>
      <c r="E135" s="418">
        <f t="shared" si="82"/>
        <v>2019</v>
      </c>
      <c r="F135" s="418"/>
      <c r="G135" s="419"/>
      <c r="I135" s="425">
        <f>N137</f>
        <v>220</v>
      </c>
      <c r="J135" s="426"/>
      <c r="K135" s="427">
        <f>IF(I135="-","-",(FORECAST(I135,$E$136:$E$141,$B$136:$B$141)))</f>
        <v>4.7659302798982194E-2</v>
      </c>
      <c r="L135" s="428"/>
      <c r="M135" s="376"/>
      <c r="N135" s="429"/>
      <c r="O135" s="430"/>
      <c r="P135" s="431"/>
    </row>
    <row r="136" spans="1:19" ht="16.5" customHeight="1" thickBot="1">
      <c r="A136" s="411"/>
      <c r="B136" s="424">
        <f t="shared" si="82"/>
        <v>150</v>
      </c>
      <c r="C136" s="432">
        <f t="shared" si="82"/>
        <v>0.02</v>
      </c>
      <c r="D136" s="432">
        <f t="shared" si="82"/>
        <v>0.25</v>
      </c>
      <c r="E136" s="432">
        <f t="shared" si="82"/>
        <v>0.02</v>
      </c>
      <c r="F136" s="418">
        <f t="shared" si="82"/>
        <v>0.115</v>
      </c>
      <c r="G136" s="419">
        <f t="shared" si="82"/>
        <v>1.8</v>
      </c>
      <c r="I136" s="1538" t="s">
        <v>235</v>
      </c>
      <c r="J136" s="1539"/>
      <c r="K136" s="1539"/>
      <c r="L136" s="1540"/>
      <c r="M136" s="376"/>
      <c r="N136" s="433"/>
      <c r="O136" s="430"/>
      <c r="P136" s="434"/>
    </row>
    <row r="137" spans="1:19" ht="15.75" customHeight="1">
      <c r="A137" s="411"/>
      <c r="B137" s="424">
        <f t="shared" si="82"/>
        <v>180</v>
      </c>
      <c r="C137" s="432">
        <f t="shared" si="82"/>
        <v>-0.08</v>
      </c>
      <c r="D137" s="432">
        <f t="shared" si="82"/>
        <v>0.09</v>
      </c>
      <c r="E137" s="432">
        <f t="shared" si="82"/>
        <v>0.1</v>
      </c>
      <c r="F137" s="418">
        <f t="shared" si="82"/>
        <v>0.09</v>
      </c>
      <c r="G137" s="419">
        <f t="shared" si="82"/>
        <v>2.16</v>
      </c>
      <c r="I137" s="425" t="str">
        <f>N138</f>
        <v>OL</v>
      </c>
      <c r="J137" s="426"/>
      <c r="K137" s="427" t="str">
        <f>IF(I137="-","-",IF(I137="OL","OL",(FORECAST(I137,$E$152:$E$156,$B$152:$B$156))))</f>
        <v>OL</v>
      </c>
      <c r="L137" s="428"/>
      <c r="M137" s="376"/>
      <c r="N137" s="435">
        <f>ID!E16</f>
        <v>220</v>
      </c>
      <c r="O137" s="1003">
        <f>IF(N137="-","-",N137+K135)</f>
        <v>220.04765930279899</v>
      </c>
      <c r="P137" s="437">
        <f>IF(N137="-","-",O137)</f>
        <v>220.04765930279899</v>
      </c>
      <c r="Q137" s="343" t="str">
        <f>TEXT(P137,"0.0")</f>
        <v>220.0</v>
      </c>
    </row>
    <row r="138" spans="1:19" ht="15.75" customHeight="1">
      <c r="A138" s="411"/>
      <c r="B138" s="424">
        <f t="shared" si="82"/>
        <v>200</v>
      </c>
      <c r="C138" s="432">
        <f t="shared" si="82"/>
        <v>-0.12</v>
      </c>
      <c r="D138" s="432">
        <f t="shared" si="82"/>
        <v>0.18</v>
      </c>
      <c r="E138" s="432">
        <f t="shared" si="82"/>
        <v>-0.03</v>
      </c>
      <c r="F138" s="418">
        <f t="shared" si="82"/>
        <v>0.15</v>
      </c>
      <c r="G138" s="419">
        <f t="shared" si="82"/>
        <v>2.4</v>
      </c>
      <c r="I138" s="1538" t="s">
        <v>236</v>
      </c>
      <c r="J138" s="1539"/>
      <c r="K138" s="1539"/>
      <c r="L138" s="1540"/>
      <c r="M138" s="376"/>
      <c r="N138" s="438" t="str">
        <f>ID!K24</f>
        <v>OL</v>
      </c>
      <c r="O138" s="436" t="str">
        <f>IF(N138="-","-",IF(N138="OL","OL",N138+K137))</f>
        <v>OL</v>
      </c>
      <c r="P138" s="439" t="str">
        <f>IF(N138="OL","OL",IF(N138="NC","NC",IF(N138="OR","OR",IF(N138="-","-",O138))))</f>
        <v>OL</v>
      </c>
    </row>
    <row r="139" spans="1:19" ht="12.75" customHeight="1">
      <c r="A139" s="411"/>
      <c r="B139" s="424">
        <f t="shared" si="82"/>
        <v>220</v>
      </c>
      <c r="C139" s="432">
        <f t="shared" si="82"/>
        <v>-0.17</v>
      </c>
      <c r="D139" s="432">
        <f t="shared" si="82"/>
        <v>0.56000000000000005</v>
      </c>
      <c r="E139" s="432">
        <f t="shared" si="82"/>
        <v>0.38</v>
      </c>
      <c r="F139" s="418">
        <f t="shared" si="82"/>
        <v>0.36500000000000005</v>
      </c>
      <c r="G139" s="419">
        <f t="shared" si="82"/>
        <v>2.64</v>
      </c>
      <c r="I139" s="440">
        <f>N139</f>
        <v>0.1</v>
      </c>
      <c r="J139" s="426"/>
      <c r="K139" s="441">
        <f>IF(I139="-","-",(FORECAST(I139,$E$159:$E$162,$B$159:$B$162)))</f>
        <v>3.1566747779288792E-3</v>
      </c>
      <c r="L139" s="442"/>
      <c r="M139" s="376"/>
      <c r="N139" s="1004">
        <f>ID!K25</f>
        <v>0.1</v>
      </c>
      <c r="O139" s="1002">
        <f>IF(N139="-","-",IF(N139="OL","OL",N139+K139))</f>
        <v>0.10315667477792889</v>
      </c>
      <c r="P139" s="439">
        <f>IF(N139="OL","OL",IF(N139="NC","NC",IF(N139="-","-",O139)))</f>
        <v>0.10315667477792889</v>
      </c>
    </row>
    <row r="140" spans="1:19" ht="12.75" customHeight="1">
      <c r="A140" s="411"/>
      <c r="B140" s="424">
        <f t="shared" si="82"/>
        <v>230</v>
      </c>
      <c r="C140" s="432">
        <f t="shared" si="82"/>
        <v>-0.14000000000000001</v>
      </c>
      <c r="D140" s="432">
        <f t="shared" si="82"/>
        <v>0.73</v>
      </c>
      <c r="E140" s="432">
        <f t="shared" si="82"/>
        <v>-0.16</v>
      </c>
      <c r="F140" s="418">
        <f t="shared" si="82"/>
        <v>0.44500000000000001</v>
      </c>
      <c r="G140" s="419">
        <f t="shared" si="82"/>
        <v>2.7600000000000002</v>
      </c>
      <c r="I140" s="1538" t="s">
        <v>237</v>
      </c>
      <c r="J140" s="1539"/>
      <c r="K140" s="1539"/>
      <c r="L140" s="1540"/>
      <c r="M140" s="376"/>
      <c r="N140" s="438" t="str">
        <f>ID!K26</f>
        <v>-</v>
      </c>
      <c r="O140" s="1003" t="str">
        <f>IF(N140="-","-",N140+K141)</f>
        <v>-</v>
      </c>
      <c r="P140" s="443" t="str">
        <f>IF(N140="-","-",O140)</f>
        <v>-</v>
      </c>
    </row>
    <row r="141" spans="1:19" ht="12.75" customHeight="1" thickBot="1">
      <c r="A141" s="411"/>
      <c r="B141" s="424">
        <f t="shared" si="82"/>
        <v>250</v>
      </c>
      <c r="C141" s="432">
        <f t="shared" si="82"/>
        <v>-0.31</v>
      </c>
      <c r="D141" s="432">
        <f t="shared" si="82"/>
        <v>9.9999999999999995E-7</v>
      </c>
      <c r="E141" s="432">
        <f t="shared" si="82"/>
        <v>9.9999999999999995E-7</v>
      </c>
      <c r="F141" s="418">
        <f t="shared" si="82"/>
        <v>0.15500049999999999</v>
      </c>
      <c r="G141" s="419">
        <f t="shared" si="82"/>
        <v>3</v>
      </c>
      <c r="I141" s="444" t="str">
        <f>N140</f>
        <v>-</v>
      </c>
      <c r="J141" s="426"/>
      <c r="K141" s="445" t="str">
        <f>IF(I141="-","-",(FORECAST(I141,$E$144:$E$149,$B$144:$B$149)))</f>
        <v>-</v>
      </c>
      <c r="L141" s="428"/>
      <c r="M141" s="376"/>
      <c r="N141" s="438" t="str">
        <f>ID!K27</f>
        <v>-</v>
      </c>
      <c r="O141" s="1003" t="str">
        <f>IF(N141="-","-",N141+K143)</f>
        <v>-</v>
      </c>
      <c r="P141" s="443" t="str">
        <f>IF(N141="-","-",O141)</f>
        <v>-</v>
      </c>
    </row>
    <row r="142" spans="1:19" ht="13.5" customHeight="1" thickBot="1">
      <c r="A142" s="411"/>
      <c r="B142" s="415" t="str">
        <f t="shared" si="82"/>
        <v>Current Leakage</v>
      </c>
      <c r="C142" s="416"/>
      <c r="D142" s="416"/>
      <c r="E142" s="417"/>
      <c r="F142" s="418" t="str">
        <f t="shared" si="82"/>
        <v>Driff</v>
      </c>
      <c r="G142" s="419" t="str">
        <f t="shared" si="82"/>
        <v>U95</v>
      </c>
      <c r="I142" s="1538" t="s">
        <v>237</v>
      </c>
      <c r="J142" s="1539"/>
      <c r="K142" s="1539"/>
      <c r="L142" s="1540"/>
      <c r="M142" s="446" t="s">
        <v>238</v>
      </c>
      <c r="N142" s="447">
        <f>ID!S25</f>
        <v>3</v>
      </c>
      <c r="O142" s="1003">
        <f>IF(N142="-","-",N142+K145)</f>
        <v>3.1390643737035524</v>
      </c>
      <c r="P142" s="443">
        <f>IF(N142="-","-",O142)</f>
        <v>3.1390643737035524</v>
      </c>
    </row>
    <row r="143" spans="1:19" ht="12.75" customHeight="1">
      <c r="A143" s="411"/>
      <c r="B143" s="424" t="str">
        <f t="shared" si="82"/>
        <v>( uA )</v>
      </c>
      <c r="C143" s="418">
        <f t="shared" si="82"/>
        <v>2022</v>
      </c>
      <c r="D143" s="418">
        <f t="shared" si="82"/>
        <v>2021</v>
      </c>
      <c r="E143" s="418">
        <f t="shared" si="82"/>
        <v>2019</v>
      </c>
      <c r="F143" s="418"/>
      <c r="G143" s="419"/>
      <c r="I143" s="444" t="str">
        <f>N141</f>
        <v>-</v>
      </c>
      <c r="J143" s="426"/>
      <c r="K143" s="445" t="str">
        <f>IF(I143="-","-",(FORECAST(I143,$E$144:$E$149,$B$144:$B$149)))</f>
        <v>-</v>
      </c>
      <c r="L143" s="428"/>
      <c r="M143" s="448" t="s">
        <v>239</v>
      </c>
      <c r="N143" s="449">
        <f>P137</f>
        <v>220.04765930279899</v>
      </c>
      <c r="O143" s="450">
        <f>IF(N143="-","-",(FORECAST(N143,G136:G141,B136:B141)))</f>
        <v>2.6405719116335882</v>
      </c>
      <c r="P143" s="451" t="s">
        <v>240</v>
      </c>
      <c r="Q143" s="343" t="str">
        <f>TEXT(O143,"0.0")</f>
        <v>2.6</v>
      </c>
    </row>
    <row r="144" spans="1:19" ht="15.75" customHeight="1" thickBot="1">
      <c r="A144" s="411"/>
      <c r="B144" s="452">
        <f t="shared" si="82"/>
        <v>1.0000000000000001E-5</v>
      </c>
      <c r="C144" s="453">
        <f t="shared" si="82"/>
        <v>0</v>
      </c>
      <c r="D144" s="453">
        <f t="shared" si="82"/>
        <v>9.9999999999999995E-7</v>
      </c>
      <c r="E144" s="453">
        <f t="shared" si="82"/>
        <v>9.9999999999999995E-7</v>
      </c>
      <c r="F144" s="418">
        <f t="shared" si="82"/>
        <v>4.9999999999999998E-7</v>
      </c>
      <c r="G144" s="419">
        <f t="shared" si="82"/>
        <v>5.9000000000000006E-8</v>
      </c>
      <c r="I144" s="1541" t="s">
        <v>237</v>
      </c>
      <c r="J144" s="1542"/>
      <c r="K144" s="1542"/>
      <c r="L144" s="1543"/>
      <c r="M144" s="454"/>
      <c r="N144" s="455" t="str">
        <f>P144&amp;FIXED(N143,1)&amp;P145&amp;FIXED(O143,1)&amp;P146&amp;P143</f>
        <v>( 220.0 ± 2.6 ) Volt</v>
      </c>
      <c r="O144" s="456"/>
      <c r="P144" s="457" t="s">
        <v>241</v>
      </c>
    </row>
    <row r="145" spans="1:17" ht="12.75" customHeight="1">
      <c r="A145" s="411"/>
      <c r="B145" s="424">
        <f t="shared" si="82"/>
        <v>50</v>
      </c>
      <c r="C145" s="453">
        <f t="shared" si="82"/>
        <v>4.0999999999999996</v>
      </c>
      <c r="D145" s="453">
        <f t="shared" si="82"/>
        <v>0.3</v>
      </c>
      <c r="E145" s="453">
        <f t="shared" si="82"/>
        <v>-0.33</v>
      </c>
      <c r="F145" s="418">
        <f t="shared" si="82"/>
        <v>2.2149999999999999</v>
      </c>
      <c r="G145" s="419">
        <f t="shared" si="82"/>
        <v>0.29499999999999998</v>
      </c>
      <c r="I145" s="458">
        <f>N142</f>
        <v>3</v>
      </c>
      <c r="J145" s="459"/>
      <c r="K145" s="460">
        <f>FORECAST(I145,$E$144:$E$149,$B$144:$B$149)</f>
        <v>0.13906437370355229</v>
      </c>
      <c r="L145" s="460"/>
      <c r="M145" s="376"/>
      <c r="N145" s="461"/>
      <c r="O145" s="462"/>
      <c r="P145" s="463" t="s">
        <v>242</v>
      </c>
    </row>
    <row r="146" spans="1:17" ht="13.5" customHeight="1" thickBot="1">
      <c r="A146" s="411"/>
      <c r="B146" s="424">
        <f t="shared" si="82"/>
        <v>100</v>
      </c>
      <c r="C146" s="453">
        <f t="shared" si="82"/>
        <v>5</v>
      </c>
      <c r="D146" s="453">
        <f t="shared" si="82"/>
        <v>-0.1</v>
      </c>
      <c r="E146" s="453">
        <f t="shared" si="82"/>
        <v>-0.42</v>
      </c>
      <c r="F146" s="418">
        <f t="shared" si="82"/>
        <v>2.71</v>
      </c>
      <c r="G146" s="419">
        <f t="shared" si="82"/>
        <v>0.59</v>
      </c>
      <c r="I146" s="464"/>
      <c r="M146" s="376"/>
      <c r="N146" s="465"/>
      <c r="O146" s="465"/>
      <c r="P146" s="466" t="s">
        <v>243</v>
      </c>
    </row>
    <row r="147" spans="1:17" ht="13.5" customHeight="1" thickBot="1">
      <c r="A147" s="411"/>
      <c r="B147" s="424">
        <f t="shared" si="82"/>
        <v>200</v>
      </c>
      <c r="C147" s="453">
        <f t="shared" si="82"/>
        <v>7.7</v>
      </c>
      <c r="D147" s="453">
        <f t="shared" si="82"/>
        <v>1.3</v>
      </c>
      <c r="E147" s="453">
        <f t="shared" si="82"/>
        <v>1.3</v>
      </c>
      <c r="F147" s="418">
        <f t="shared" si="82"/>
        <v>3.2</v>
      </c>
      <c r="G147" s="419">
        <f t="shared" si="82"/>
        <v>1.18</v>
      </c>
      <c r="H147" s="467"/>
      <c r="I147" s="468"/>
      <c r="J147" s="469"/>
      <c r="K147" s="469"/>
      <c r="L147" s="470"/>
      <c r="M147" s="471"/>
      <c r="N147" s="472">
        <f>MAX(N140:N145)</f>
        <v>220.04765930279899</v>
      </c>
      <c r="O147" s="472">
        <f>MAX(P140:P142)</f>
        <v>3.1390643737035524</v>
      </c>
      <c r="P147" s="473">
        <f>IF(N147=0,"-",IF(N147=N147,O147,))</f>
        <v>3.1390643737035524</v>
      </c>
    </row>
    <row r="148" spans="1:17" ht="12.75" customHeight="1">
      <c r="A148" s="411"/>
      <c r="B148" s="424">
        <f t="shared" si="82"/>
        <v>500</v>
      </c>
      <c r="C148" s="453">
        <f t="shared" si="82"/>
        <v>5.7</v>
      </c>
      <c r="D148" s="453">
        <f t="shared" si="82"/>
        <v>0.7</v>
      </c>
      <c r="E148" s="453">
        <f t="shared" si="82"/>
        <v>0.7</v>
      </c>
      <c r="F148" s="418">
        <f t="shared" si="82"/>
        <v>2.5</v>
      </c>
      <c r="G148" s="419">
        <f t="shared" si="82"/>
        <v>2.9499999999999997</v>
      </c>
      <c r="I148" s="474"/>
      <c r="J148" s="474"/>
      <c r="K148" s="474"/>
      <c r="L148" s="420"/>
      <c r="M148" s="420"/>
      <c r="N148" s="420"/>
      <c r="O148" s="420"/>
    </row>
    <row r="149" spans="1:17" ht="12.75" customHeight="1">
      <c r="A149" s="411"/>
      <c r="B149" s="424">
        <f t="shared" ref="B149:G149" si="83">IF($A$166=$A$167,B19,IF($A$166=$A$168,J19,IF($A$166=$A$169,R19,IF($A$166=$A$170,B50,IF($A$166=$A$171,J50,IF($A$166=$A$172,R50,IF($A$166=$A$173,B81,IF($A$166=$A$174,J81,IF($A$166=$A$175,R81,IF($A$166=$A$176,B112,IF($A$166=$A$177,J112,R112)))))))))))</f>
        <v>1000</v>
      </c>
      <c r="C149" s="453">
        <f t="shared" si="83"/>
        <v>-88</v>
      </c>
      <c r="D149" s="453">
        <f t="shared" si="83"/>
        <v>9.9999999999999995E-7</v>
      </c>
      <c r="E149" s="453">
        <f t="shared" si="83"/>
        <v>9.9999999999999995E-7</v>
      </c>
      <c r="F149" s="418">
        <f t="shared" si="83"/>
        <v>44.000000499999999</v>
      </c>
      <c r="G149" s="419">
        <f t="shared" si="83"/>
        <v>5.8999999999999995</v>
      </c>
      <c r="H149" s="475"/>
      <c r="I149" s="476"/>
      <c r="J149" s="476"/>
      <c r="K149" s="477"/>
      <c r="L149" s="376"/>
      <c r="M149" s="376"/>
      <c r="N149" s="376"/>
      <c r="O149" s="376"/>
    </row>
    <row r="150" spans="1:17" ht="12.75" customHeight="1">
      <c r="A150" s="411"/>
      <c r="B150" s="415" t="str">
        <f>IF($A$166=$A$167,B20,IF($A$166=$A$168,J20,IF($A$166=$A$169,R20,IF($A$166=$A$170,B51,IF($A$166=$A$171,J51,IF($A$166=$A$172,R51,IF($A$166=$A$173,B82,IF($A$166=$A$174,J82,IF($A$166=$A$175,R82,IF($A$166=$A$176,B113,IF($A$166=$A$177,J113,R113)))))))))))</f>
        <v>Main-PE</v>
      </c>
      <c r="C150" s="416"/>
      <c r="D150" s="416"/>
      <c r="E150" s="417"/>
      <c r="F150" s="418" t="str">
        <f>IF($A$166=$A$167,F20,IF($A$166=$A$168,N20,IF($A$166=$A$169,V20,IF($A$166=$A$170,F51,IF($A$166=$A$171,N51,IF($A$166=$A$172,V51,IF($A$166=$A$173,F82,IF($A$166=$A$174,N82,IF($A$166=$A$175,V82,IF($A$166=$A$176,F113,IF($A$166=$A$177,N113,V113)))))))))))</f>
        <v>Driff</v>
      </c>
      <c r="G150" s="419" t="str">
        <f>IF($A$166=$A$167,G20,IF($A$166=$A$168,O20,IF($A$166=$A$169,W20,IF($A$166=$A$170,G51,IF($A$166=$A$171,O51,IF($A$166=$A$172,W51,IF($A$166=$A$173,G82,IF($A$166=$A$174,O82,IF($A$166=$A$175,W82,IF($A$166=$A$176,G113,IF($A$166=$A$177,O113,W113)))))))))))</f>
        <v>U95</v>
      </c>
      <c r="L150" s="478"/>
      <c r="M150" s="478"/>
      <c r="N150" s="478"/>
      <c r="O150" s="478"/>
      <c r="P150" s="479"/>
    </row>
    <row r="151" spans="1:17" ht="12.75" customHeight="1">
      <c r="A151" s="411"/>
      <c r="B151" s="424" t="str">
        <f>IF($A$166=$A$167,B21,IF($A$166=$A$168,J21,IF($A$166=$A$169,R21,IF($A$166=$A$170,B52,IF($A$166=$A$171,J52,IF($A$166=$A$172,R52,IF($A$166=$A$173,B83,IF($A$166=$A$174,J83,IF($A$166=$A$175,R83,IF($A$166=$A$176,B114,IF($A$166=$A$177,J114,R114)))))))))))</f>
        <v>( MΩ )</v>
      </c>
      <c r="C151" s="418">
        <f>IF($A$166=$A$167,C21,IF($A$166=$A$168,K21,IF($A$166=$A$169,S21,IF($A$166=$A$170,C52,IF($A$166=$A$171,K52,IF($A$166=$A$172,S52,IF($A$166=$A$173,C83,IF($A$166=$A$174,K83,IF($A$166=$A$175,S83,IF($A$166=$A$176,C114,IF($A$166=$A$177,K114,S114)))))))))))</f>
        <v>2022</v>
      </c>
      <c r="D151" s="418">
        <f>IF($A$166=$A$167,D21,IF($A$166=$A$168,L21,IF($A$166=$A$169,T21,IF($A$166=$A$170,D52,IF($A$166=$A$171,L52,IF($A$166=$A$172,T52,IF($A$166=$A$173,D83,IF($A$166=$A$174,L83,IF($A$166=$A$175,T83,IF($A$166=$A$176,D114,IF($A$166=$A$177,L114,T114)))))))))))</f>
        <v>2021</v>
      </c>
      <c r="E151" s="418">
        <f>IF($A$166=$A$167,E21,IF($A$166=$A$168,M21,IF($A$166=$A$169,U21,IF($A$166=$A$170,E52,IF($A$166=$A$171,M52,IF($A$166=$A$172,U52,IF($A$166=$A$173,E83,IF($A$166=$A$174,M83,IF($A$166=$A$175,U83,IF($A$166=$A$176,E114,IF($A$166=$A$177,M114,U114)))))))))))</f>
        <v>2019</v>
      </c>
      <c r="F151" s="418"/>
      <c r="G151" s="419"/>
      <c r="H151" s="475"/>
      <c r="I151" s="476"/>
      <c r="J151" s="476"/>
      <c r="K151" s="477"/>
      <c r="L151" s="476"/>
      <c r="M151" s="476"/>
      <c r="N151" s="476"/>
      <c r="O151" s="477"/>
      <c r="P151" s="480"/>
    </row>
    <row r="152" spans="1:17">
      <c r="B152" s="343">
        <v>0</v>
      </c>
      <c r="C152" s="343">
        <v>0</v>
      </c>
      <c r="D152" s="343">
        <v>0</v>
      </c>
      <c r="E152" s="343">
        <v>0</v>
      </c>
      <c r="F152" s="343">
        <v>0</v>
      </c>
      <c r="G152" s="343">
        <v>0</v>
      </c>
    </row>
    <row r="153" spans="1:17" ht="12.75" customHeight="1">
      <c r="A153" s="411"/>
      <c r="B153" s="424">
        <f t="shared" ref="B153:G162" si="84">IF($A$166=$A$167,B22,IF($A$166=$A$168,J22,IF($A$166=$A$169,R22,IF($A$166=$A$170,B53,IF($A$166=$A$171,J53,IF($A$166=$A$172,R53,IF($A$166=$A$173,B84,IF($A$166=$A$174,J84,IF($A$166=$A$175,R84,IF($A$166=$A$176,B115,IF($A$166=$A$177,J115,R115)))))))))))</f>
        <v>10</v>
      </c>
      <c r="C153" s="418">
        <f t="shared" si="84"/>
        <v>0</v>
      </c>
      <c r="D153" s="453">
        <f t="shared" si="84"/>
        <v>9.9999999999999995E-7</v>
      </c>
      <c r="E153" s="453">
        <f t="shared" si="84"/>
        <v>0.1</v>
      </c>
      <c r="F153" s="418">
        <f t="shared" si="84"/>
        <v>0.05</v>
      </c>
      <c r="G153" s="419">
        <f t="shared" si="84"/>
        <v>0.17</v>
      </c>
      <c r="L153" s="376"/>
      <c r="M153" s="476"/>
      <c r="N153" s="376"/>
      <c r="O153" s="477"/>
      <c r="P153" s="481"/>
    </row>
    <row r="154" spans="1:17" ht="12.75" customHeight="1">
      <c r="A154" s="411"/>
      <c r="B154" s="424">
        <f t="shared" si="84"/>
        <v>20</v>
      </c>
      <c r="C154" s="418">
        <f t="shared" si="84"/>
        <v>0.1</v>
      </c>
      <c r="D154" s="418">
        <f t="shared" si="84"/>
        <v>0.1</v>
      </c>
      <c r="E154" s="418">
        <f t="shared" si="84"/>
        <v>0.1</v>
      </c>
      <c r="F154" s="418">
        <f t="shared" si="84"/>
        <v>0</v>
      </c>
      <c r="G154" s="419">
        <f t="shared" si="84"/>
        <v>0.34</v>
      </c>
      <c r="H154" s="475"/>
      <c r="I154" s="476"/>
      <c r="J154" s="476"/>
      <c r="K154" s="477"/>
      <c r="L154" s="476"/>
      <c r="M154" s="476"/>
      <c r="N154" s="476"/>
      <c r="O154" s="477"/>
      <c r="P154" s="480"/>
    </row>
    <row r="155" spans="1:17" ht="12.75" customHeight="1">
      <c r="A155" s="411"/>
      <c r="B155" s="424">
        <f t="shared" si="84"/>
        <v>50</v>
      </c>
      <c r="C155" s="418">
        <f t="shared" si="84"/>
        <v>0.3</v>
      </c>
      <c r="D155" s="418">
        <f t="shared" si="84"/>
        <v>0.6</v>
      </c>
      <c r="E155" s="418">
        <f t="shared" si="84"/>
        <v>0.4</v>
      </c>
      <c r="F155" s="418">
        <f t="shared" si="84"/>
        <v>0.15</v>
      </c>
      <c r="G155" s="419">
        <f t="shared" si="84"/>
        <v>0.85000000000000009</v>
      </c>
      <c r="L155" s="376"/>
      <c r="M155" s="376"/>
      <c r="N155" s="376"/>
      <c r="O155" s="376"/>
    </row>
    <row r="156" spans="1:17" ht="12.75" customHeight="1">
      <c r="A156" s="411"/>
      <c r="B156" s="424">
        <f t="shared" si="84"/>
        <v>100</v>
      </c>
      <c r="C156" s="418">
        <f t="shared" si="84"/>
        <v>0.4</v>
      </c>
      <c r="D156" s="418">
        <f t="shared" si="84"/>
        <v>1.5</v>
      </c>
      <c r="E156" s="418">
        <f t="shared" si="84"/>
        <v>0.8</v>
      </c>
      <c r="F156" s="418">
        <f t="shared" si="84"/>
        <v>0.55000000000000004</v>
      </c>
      <c r="G156" s="419">
        <f t="shared" si="84"/>
        <v>1.7000000000000002</v>
      </c>
      <c r="H156" s="482"/>
      <c r="I156" s="483"/>
      <c r="J156" s="483"/>
      <c r="K156" s="484"/>
      <c r="L156" s="376"/>
      <c r="M156" s="376"/>
      <c r="N156" s="376"/>
      <c r="O156" s="376"/>
    </row>
    <row r="157" spans="1:17" ht="12.75" customHeight="1">
      <c r="A157" s="411"/>
      <c r="B157" s="415" t="str">
        <f t="shared" si="84"/>
        <v>Resistance</v>
      </c>
      <c r="C157" s="416"/>
      <c r="D157" s="416"/>
      <c r="E157" s="417"/>
      <c r="F157" s="418" t="str">
        <f>IF($A$166=$A$167,F26,IF($A$166=$A$168,N26,IF($A$166=$A$169,V26,IF($A$166=$A$170,F57,IF($A$166=$A$171,N57,IF($A$166=$A$172,V57,IF($A$166=$A$173,F88,IF($A$166=$A$174,N88,IF($A$166=$A$175,V88,IF($A$166=$A$176,F119,IF($A$166=$A$177,N119,V119)))))))))))</f>
        <v>Driff</v>
      </c>
      <c r="G157" s="419" t="str">
        <f>IF($A$166=$A$167,G26,IF($A$166=$A$168,O26,IF($A$166=$A$169,W26,IF($A$166=$A$170,G57,IF($A$166=$A$171,O57,IF($A$166=$A$172,W57,IF($A$166=$A$173,G88,IF($A$166=$A$174,O88,IF($A$166=$A$175,W88,IF($A$166=$A$176,G119,IF($A$166=$A$177,O119,W119)))))))))))</f>
        <v>U95</v>
      </c>
      <c r="L157" s="485"/>
      <c r="M157" s="485"/>
      <c r="O157" s="376"/>
    </row>
    <row r="158" spans="1:17" ht="12.75" customHeight="1">
      <c r="A158" s="411"/>
      <c r="B158" s="424" t="str">
        <f t="shared" si="84"/>
        <v>( Ω )</v>
      </c>
      <c r="C158" s="418">
        <f t="shared" si="84"/>
        <v>2022</v>
      </c>
      <c r="D158" s="418">
        <f t="shared" si="84"/>
        <v>2021</v>
      </c>
      <c r="E158" s="418">
        <f t="shared" si="84"/>
        <v>2019</v>
      </c>
      <c r="F158" s="418"/>
      <c r="G158" s="419"/>
      <c r="H158" s="482"/>
      <c r="I158" s="483"/>
      <c r="J158" s="483"/>
      <c r="K158" s="484"/>
      <c r="L158" s="486"/>
      <c r="M158" s="376"/>
      <c r="N158" s="376"/>
      <c r="O158" s="376"/>
      <c r="Q158" s="376"/>
    </row>
    <row r="159" spans="1:17" ht="12.75" customHeight="1">
      <c r="A159" s="411"/>
      <c r="B159" s="424">
        <f t="shared" si="84"/>
        <v>0.01</v>
      </c>
      <c r="C159" s="453">
        <f t="shared" si="84"/>
        <v>0</v>
      </c>
      <c r="D159" s="453">
        <f t="shared" si="84"/>
        <v>9.9999999999999995E-7</v>
      </c>
      <c r="E159" s="453">
        <f t="shared" si="84"/>
        <v>9.9999999999999995E-7</v>
      </c>
      <c r="F159" s="418">
        <f t="shared" si="84"/>
        <v>4.9999999999999998E-7</v>
      </c>
      <c r="G159" s="419">
        <f t="shared" si="84"/>
        <v>1.2E-4</v>
      </c>
      <c r="I159" s="376"/>
      <c r="J159" s="487"/>
      <c r="K159" s="487"/>
      <c r="L159" s="487"/>
      <c r="M159" s="488"/>
      <c r="N159" s="376"/>
      <c r="O159" s="376"/>
      <c r="P159" s="379"/>
      <c r="Q159" s="376"/>
    </row>
    <row r="160" spans="1:17" ht="12.75" customHeight="1">
      <c r="A160" s="411"/>
      <c r="B160" s="424">
        <f t="shared" si="84"/>
        <v>0.1</v>
      </c>
      <c r="C160" s="453">
        <f t="shared" si="84"/>
        <v>-6.0000000000000001E-3</v>
      </c>
      <c r="D160" s="453">
        <f t="shared" si="84"/>
        <v>5.0000000000000001E-3</v>
      </c>
      <c r="E160" s="453">
        <f t="shared" si="84"/>
        <v>2E-3</v>
      </c>
      <c r="F160" s="432">
        <f t="shared" si="84"/>
        <v>5.4999999999999997E-3</v>
      </c>
      <c r="G160" s="419">
        <f t="shared" si="84"/>
        <v>1.2000000000000001E-3</v>
      </c>
      <c r="I160" s="376"/>
      <c r="J160" s="488"/>
      <c r="K160" s="487"/>
      <c r="L160" s="488"/>
      <c r="M160" s="488"/>
      <c r="N160" s="376"/>
      <c r="O160" s="376"/>
      <c r="P160" s="379"/>
      <c r="Q160" s="376"/>
    </row>
    <row r="161" spans="1:38" ht="15.75" customHeight="1">
      <c r="A161" s="411"/>
      <c r="B161" s="424">
        <f t="shared" si="84"/>
        <v>1</v>
      </c>
      <c r="C161" s="453">
        <f t="shared" si="84"/>
        <v>-2E-3</v>
      </c>
      <c r="D161" s="453">
        <f t="shared" si="84"/>
        <v>1.7999999999999999E-2</v>
      </c>
      <c r="E161" s="453">
        <f t="shared" si="84"/>
        <v>1.2E-2</v>
      </c>
      <c r="F161" s="432">
        <f t="shared" si="84"/>
        <v>9.9999999999999985E-3</v>
      </c>
      <c r="G161" s="419">
        <f t="shared" si="84"/>
        <v>1.2E-2</v>
      </c>
      <c r="I161" s="376"/>
      <c r="J161" s="487"/>
      <c r="K161" s="487"/>
      <c r="L161" s="487"/>
      <c r="M161" s="488"/>
      <c r="N161" s="376"/>
      <c r="O161" s="376"/>
      <c r="P161" s="379"/>
      <c r="Q161" s="376"/>
    </row>
    <row r="162" spans="1:38" ht="13.5" customHeight="1" thickBot="1">
      <c r="A162" s="489"/>
      <c r="B162" s="490">
        <f t="shared" si="84"/>
        <v>2</v>
      </c>
      <c r="C162" s="491">
        <f t="shared" si="84"/>
        <v>-4.0000000000000001E-3</v>
      </c>
      <c r="D162" s="491">
        <f t="shared" si="84"/>
        <v>0.113</v>
      </c>
      <c r="E162" s="491">
        <f t="shared" si="84"/>
        <v>9.9999999999999995E-7</v>
      </c>
      <c r="F162" s="492">
        <f t="shared" si="84"/>
        <v>5.8500000000000003E-2</v>
      </c>
      <c r="G162" s="493">
        <f t="shared" si="84"/>
        <v>2.4E-2</v>
      </c>
      <c r="I162" s="376"/>
      <c r="J162" s="494"/>
      <c r="K162" s="494"/>
      <c r="L162" s="494"/>
      <c r="M162" s="494"/>
      <c r="N162" s="376"/>
      <c r="O162" s="376"/>
      <c r="P162" s="379"/>
      <c r="Q162" s="376"/>
    </row>
    <row r="163" spans="1:38">
      <c r="I163" s="376"/>
      <c r="J163" s="487"/>
      <c r="K163" s="487"/>
      <c r="L163" s="487"/>
      <c r="M163" s="488"/>
      <c r="N163" s="376"/>
      <c r="O163" s="376"/>
      <c r="P163" s="379"/>
      <c r="Q163" s="376"/>
    </row>
    <row r="164" spans="1:38">
      <c r="I164" s="376"/>
      <c r="J164" s="488"/>
      <c r="K164" s="487"/>
      <c r="L164" s="488"/>
      <c r="M164" s="488"/>
      <c r="N164" s="376"/>
      <c r="O164" s="376"/>
      <c r="P164" s="379"/>
      <c r="Q164" s="376"/>
    </row>
    <row r="165" spans="1:38" ht="13.8" thickBot="1">
      <c r="I165" s="376"/>
      <c r="J165" s="487"/>
      <c r="K165" s="487"/>
      <c r="L165" s="487"/>
      <c r="M165" s="488"/>
      <c r="N165" s="376"/>
      <c r="O165" s="376"/>
      <c r="P165" s="379"/>
      <c r="Q165" s="376"/>
    </row>
    <row r="166" spans="1:38" ht="15" customHeight="1">
      <c r="A166" s="495" t="str">
        <f>ID!B64</f>
        <v>Electrical Safety Analyzer, Merek : Fluke, Model : ESA 615, SN : 3148907</v>
      </c>
      <c r="B166" s="495"/>
      <c r="C166" s="495"/>
      <c r="D166" s="495"/>
      <c r="E166" s="495"/>
      <c r="F166" s="495"/>
      <c r="G166" s="495"/>
      <c r="H166" s="496"/>
      <c r="I166" s="496"/>
      <c r="J166" s="496"/>
      <c r="K166" s="496"/>
      <c r="L166" s="497"/>
      <c r="N166" s="1532">
        <f>A179</f>
        <v>5</v>
      </c>
      <c r="O166" s="1533"/>
      <c r="P166" s="1533"/>
      <c r="Q166" s="1533"/>
      <c r="R166" s="1533"/>
      <c r="S166" s="1533"/>
      <c r="T166" s="1533"/>
      <c r="U166" s="1533"/>
      <c r="V166" s="1533"/>
      <c r="W166" s="1533"/>
      <c r="X166" s="1533"/>
      <c r="Y166" s="1534"/>
    </row>
    <row r="167" spans="1:38" ht="14.4">
      <c r="A167" s="498" t="s">
        <v>244</v>
      </c>
      <c r="B167" s="499"/>
      <c r="C167" s="500"/>
      <c r="D167" s="501"/>
      <c r="E167" s="501"/>
      <c r="F167" s="501"/>
      <c r="G167" s="501"/>
      <c r="H167" s="502"/>
      <c r="I167" s="503">
        <f>C5</f>
        <v>2022</v>
      </c>
      <c r="J167" s="503">
        <f t="shared" ref="J167:K167" si="85">D5</f>
        <v>2020</v>
      </c>
      <c r="K167" s="503">
        <f t="shared" si="85"/>
        <v>2019</v>
      </c>
      <c r="L167" s="504">
        <v>1</v>
      </c>
      <c r="N167" s="505">
        <v>1</v>
      </c>
      <c r="O167" s="506" t="s">
        <v>245</v>
      </c>
      <c r="P167" s="507"/>
      <c r="Q167" s="508"/>
      <c r="R167" s="508"/>
      <c r="S167" s="508"/>
      <c r="T167" s="508"/>
      <c r="U167" s="508"/>
      <c r="V167" s="508"/>
      <c r="W167" s="508"/>
      <c r="X167" s="507"/>
      <c r="Y167" s="509"/>
    </row>
    <row r="168" spans="1:38" ht="14.4">
      <c r="A168" s="498" t="s">
        <v>246</v>
      </c>
      <c r="B168" s="499"/>
      <c r="C168" s="500"/>
      <c r="D168" s="501"/>
      <c r="E168" s="501"/>
      <c r="F168" s="501"/>
      <c r="G168" s="501"/>
      <c r="H168" s="502"/>
      <c r="I168" s="503">
        <f>K5</f>
        <v>2022</v>
      </c>
      <c r="J168" s="503">
        <f t="shared" ref="J168:K168" si="86">L5</f>
        <v>2019</v>
      </c>
      <c r="K168" s="503">
        <f t="shared" si="86"/>
        <v>2017</v>
      </c>
      <c r="L168" s="504">
        <v>2</v>
      </c>
      <c r="N168" s="505">
        <v>2</v>
      </c>
      <c r="O168" s="506" t="s">
        <v>245</v>
      </c>
      <c r="P168" s="507"/>
      <c r="Q168" s="508"/>
      <c r="R168" s="508"/>
      <c r="S168" s="508"/>
      <c r="T168" s="508"/>
      <c r="U168" s="508"/>
      <c r="V168" s="508"/>
      <c r="W168" s="508"/>
      <c r="X168" s="507"/>
      <c r="Y168" s="509"/>
      <c r="AL168" s="510"/>
    </row>
    <row r="169" spans="1:38" ht="14.4">
      <c r="A169" s="498" t="s">
        <v>247</v>
      </c>
      <c r="B169" s="499"/>
      <c r="C169" s="500"/>
      <c r="D169" s="501"/>
      <c r="E169" s="501"/>
      <c r="F169" s="501"/>
      <c r="G169" s="501"/>
      <c r="H169" s="502"/>
      <c r="I169" s="503">
        <f>S5</f>
        <v>2018</v>
      </c>
      <c r="J169" s="503">
        <f t="shared" ref="J169:K169" si="87">T5</f>
        <v>2021</v>
      </c>
      <c r="K169" s="503">
        <f t="shared" si="87"/>
        <v>2022</v>
      </c>
      <c r="L169" s="504">
        <v>3</v>
      </c>
      <c r="N169" s="505">
        <v>3</v>
      </c>
      <c r="O169" s="506" t="s">
        <v>245</v>
      </c>
      <c r="P169" s="507"/>
      <c r="Q169" s="508"/>
      <c r="R169" s="508"/>
      <c r="S169" s="508"/>
      <c r="T169" s="508"/>
      <c r="U169" s="508"/>
      <c r="V169" s="508"/>
      <c r="W169" s="508"/>
      <c r="X169" s="507"/>
      <c r="Y169" s="509"/>
      <c r="AL169" s="510"/>
    </row>
    <row r="170" spans="1:38" ht="14.4">
      <c r="A170" s="498" t="s">
        <v>248</v>
      </c>
      <c r="B170" s="499"/>
      <c r="C170" s="500"/>
      <c r="D170" s="501"/>
      <c r="E170" s="501"/>
      <c r="F170" s="501"/>
      <c r="G170" s="501"/>
      <c r="H170" s="502"/>
      <c r="I170" s="503">
        <f>C36</f>
        <v>2022</v>
      </c>
      <c r="J170" s="503">
        <f t="shared" ref="J170:K170" si="88">D36</f>
        <v>2021</v>
      </c>
      <c r="K170" s="503">
        <f t="shared" si="88"/>
        <v>2019</v>
      </c>
      <c r="L170" s="504">
        <v>4</v>
      </c>
      <c r="N170" s="505">
        <v>4</v>
      </c>
      <c r="O170" s="506" t="s">
        <v>245</v>
      </c>
      <c r="P170" s="507"/>
      <c r="Q170" s="508"/>
      <c r="R170" s="508"/>
      <c r="S170" s="508"/>
      <c r="T170" s="508"/>
      <c r="U170" s="508"/>
      <c r="V170" s="508"/>
      <c r="W170" s="508"/>
      <c r="X170" s="507"/>
      <c r="Y170" s="509"/>
      <c r="AL170" s="510"/>
    </row>
    <row r="171" spans="1:38" ht="14.4">
      <c r="A171" s="498" t="s">
        <v>249</v>
      </c>
      <c r="B171" s="500"/>
      <c r="C171" s="500"/>
      <c r="D171" s="501"/>
      <c r="E171" s="501"/>
      <c r="F171" s="501"/>
      <c r="G171" s="501"/>
      <c r="H171" s="502"/>
      <c r="I171" s="503">
        <f>K36</f>
        <v>2022</v>
      </c>
      <c r="J171" s="503">
        <f t="shared" ref="J171:K171" si="89">L36</f>
        <v>2021</v>
      </c>
      <c r="K171" s="503">
        <f t="shared" si="89"/>
        <v>2019</v>
      </c>
      <c r="L171" s="504">
        <v>5</v>
      </c>
      <c r="N171" s="505">
        <v>5</v>
      </c>
      <c r="O171" s="506" t="s">
        <v>245</v>
      </c>
      <c r="P171" s="507"/>
      <c r="Q171" s="508"/>
      <c r="R171" s="508"/>
      <c r="S171" s="508"/>
      <c r="T171" s="508"/>
      <c r="U171" s="508"/>
      <c r="V171" s="508"/>
      <c r="W171" s="508"/>
      <c r="X171" s="507"/>
      <c r="Y171" s="509"/>
      <c r="AL171" s="510"/>
    </row>
    <row r="172" spans="1:38" ht="14.4">
      <c r="A172" s="498" t="s">
        <v>250</v>
      </c>
      <c r="B172" s="500"/>
      <c r="C172" s="500"/>
      <c r="D172" s="501"/>
      <c r="E172" s="501"/>
      <c r="F172" s="501"/>
      <c r="G172" s="501"/>
      <c r="H172" s="502"/>
      <c r="I172" s="503">
        <f>S36</f>
        <v>2023</v>
      </c>
      <c r="J172" s="503">
        <f t="shared" ref="J172:K172" si="90">T36</f>
        <v>2022</v>
      </c>
      <c r="K172" s="503">
        <f t="shared" si="90"/>
        <v>2019</v>
      </c>
      <c r="L172" s="504">
        <v>6</v>
      </c>
      <c r="N172" s="505">
        <v>6</v>
      </c>
      <c r="O172" s="506" t="s">
        <v>245</v>
      </c>
      <c r="P172" s="507"/>
      <c r="Q172" s="508"/>
      <c r="R172" s="508"/>
      <c r="S172" s="508"/>
      <c r="T172" s="508"/>
      <c r="U172" s="508"/>
      <c r="V172" s="508"/>
      <c r="W172" s="508"/>
      <c r="X172" s="507"/>
      <c r="Y172" s="509"/>
      <c r="AL172" s="510"/>
    </row>
    <row r="173" spans="1:38" ht="14.4">
      <c r="A173" s="498" t="s">
        <v>251</v>
      </c>
      <c r="B173" s="500"/>
      <c r="C173" s="500"/>
      <c r="D173" s="501"/>
      <c r="E173" s="501"/>
      <c r="F173" s="501"/>
      <c r="G173" s="501"/>
      <c r="H173" s="502"/>
      <c r="I173" s="503">
        <f>C67</f>
        <v>2023</v>
      </c>
      <c r="J173" s="503">
        <f t="shared" ref="J173:K173" si="91">D67</f>
        <v>2022</v>
      </c>
      <c r="K173" s="503">
        <f t="shared" si="91"/>
        <v>2020</v>
      </c>
      <c r="L173" s="504">
        <v>7</v>
      </c>
      <c r="N173" s="505">
        <v>7</v>
      </c>
      <c r="O173" s="506" t="s">
        <v>245</v>
      </c>
      <c r="P173" s="507"/>
      <c r="Q173" s="508"/>
      <c r="R173" s="508"/>
      <c r="S173" s="508"/>
      <c r="T173" s="508"/>
      <c r="U173" s="508"/>
      <c r="V173" s="508"/>
      <c r="W173" s="508"/>
      <c r="X173" s="507"/>
      <c r="Y173" s="509"/>
      <c r="AL173" s="510"/>
    </row>
    <row r="174" spans="1:38" ht="14.4">
      <c r="A174" s="498" t="s">
        <v>252</v>
      </c>
      <c r="B174" s="500"/>
      <c r="C174" s="500"/>
      <c r="D174" s="501"/>
      <c r="E174" s="501"/>
      <c r="F174" s="501"/>
      <c r="G174" s="501"/>
      <c r="H174" s="502"/>
      <c r="I174" s="511">
        <f>K67</f>
        <v>2023</v>
      </c>
      <c r="J174" s="511">
        <f t="shared" ref="J174:K174" si="92">L67</f>
        <v>2022</v>
      </c>
      <c r="K174" s="511">
        <f t="shared" si="92"/>
        <v>2020</v>
      </c>
      <c r="L174" s="504">
        <v>8</v>
      </c>
      <c r="N174" s="505">
        <v>8</v>
      </c>
      <c r="O174" s="506" t="s">
        <v>245</v>
      </c>
      <c r="P174" s="507"/>
      <c r="Q174" s="508"/>
      <c r="R174" s="508"/>
      <c r="S174" s="508"/>
      <c r="T174" s="508"/>
      <c r="U174" s="508"/>
      <c r="V174" s="508"/>
      <c r="W174" s="508"/>
      <c r="X174" s="507"/>
      <c r="Y174" s="509"/>
      <c r="AL174" s="510"/>
    </row>
    <row r="175" spans="1:38" ht="14.4">
      <c r="A175" s="498" t="s">
        <v>253</v>
      </c>
      <c r="B175" s="500"/>
      <c r="C175" s="500"/>
      <c r="D175" s="501"/>
      <c r="E175" s="501"/>
      <c r="F175" s="501"/>
      <c r="G175" s="501"/>
      <c r="H175" s="502"/>
      <c r="I175" s="511">
        <f>S67</f>
        <v>2019</v>
      </c>
      <c r="J175" s="511">
        <f t="shared" ref="J175:K175" si="93">T67</f>
        <v>2022</v>
      </c>
      <c r="K175" s="511">
        <f t="shared" si="93"/>
        <v>2020</v>
      </c>
      <c r="L175" s="504">
        <v>9</v>
      </c>
      <c r="N175" s="505">
        <v>9</v>
      </c>
      <c r="O175" s="506" t="s">
        <v>245</v>
      </c>
      <c r="P175" s="507"/>
      <c r="Q175" s="508"/>
      <c r="R175" s="508"/>
      <c r="S175" s="508"/>
      <c r="T175" s="508"/>
      <c r="U175" s="508"/>
      <c r="V175" s="508"/>
      <c r="W175" s="508"/>
      <c r="X175" s="507"/>
      <c r="Y175" s="509"/>
      <c r="AL175" s="510"/>
    </row>
    <row r="176" spans="1:38" ht="14.4">
      <c r="A176" s="498" t="s">
        <v>254</v>
      </c>
      <c r="B176" s="500"/>
      <c r="C176" s="500"/>
      <c r="D176" s="501"/>
      <c r="E176" s="501"/>
      <c r="F176" s="501"/>
      <c r="G176" s="501"/>
      <c r="H176" s="502"/>
      <c r="I176" s="511">
        <f>C98</f>
        <v>2023</v>
      </c>
      <c r="J176" s="511">
        <f t="shared" ref="J176:K176" si="94">D98</f>
        <v>2024</v>
      </c>
      <c r="K176" s="511">
        <f t="shared" si="94"/>
        <v>2025</v>
      </c>
      <c r="L176" s="504">
        <v>10</v>
      </c>
      <c r="M176" s="510"/>
      <c r="N176" s="505">
        <v>10</v>
      </c>
      <c r="O176" s="506" t="s">
        <v>245</v>
      </c>
      <c r="P176" s="507"/>
      <c r="Q176" s="508"/>
      <c r="R176" s="508"/>
      <c r="S176" s="508"/>
      <c r="T176" s="508"/>
      <c r="U176" s="508"/>
      <c r="V176" s="508"/>
      <c r="W176" s="508"/>
      <c r="X176" s="507"/>
      <c r="Y176" s="509"/>
      <c r="AL176" s="510"/>
    </row>
    <row r="177" spans="1:50" ht="14.4">
      <c r="A177" s="498" t="s">
        <v>255</v>
      </c>
      <c r="B177" s="500"/>
      <c r="C177" s="500"/>
      <c r="D177" s="501"/>
      <c r="E177" s="501"/>
      <c r="F177" s="501"/>
      <c r="G177" s="501"/>
      <c r="H177" s="502"/>
      <c r="I177" s="511">
        <f>K98</f>
        <v>2019</v>
      </c>
      <c r="J177" s="511">
        <f t="shared" ref="J177:K177" si="95">L98</f>
        <v>2019</v>
      </c>
      <c r="K177" s="511">
        <f t="shared" si="95"/>
        <v>2020</v>
      </c>
      <c r="L177" s="504">
        <v>11</v>
      </c>
      <c r="N177" s="505">
        <v>11</v>
      </c>
      <c r="O177" s="506" t="s">
        <v>245</v>
      </c>
      <c r="P177" s="507"/>
      <c r="Q177" s="508"/>
      <c r="R177" s="508"/>
      <c r="S177" s="508"/>
      <c r="T177" s="508"/>
      <c r="U177" s="508"/>
      <c r="V177" s="508"/>
      <c r="W177" s="508"/>
      <c r="X177" s="507"/>
      <c r="Y177" s="509"/>
      <c r="AL177" s="510"/>
    </row>
    <row r="178" spans="1:50" ht="14.4">
      <c r="A178" s="498" t="s">
        <v>256</v>
      </c>
      <c r="B178" s="500"/>
      <c r="C178" s="500"/>
      <c r="D178" s="501"/>
      <c r="E178" s="501"/>
      <c r="F178" s="501"/>
      <c r="G178" s="501"/>
      <c r="H178" s="502"/>
      <c r="I178" s="511">
        <f>S98</f>
        <v>2019</v>
      </c>
      <c r="J178" s="511">
        <f t="shared" ref="J178:K178" si="96">T98</f>
        <v>2019</v>
      </c>
      <c r="K178" s="511">
        <f t="shared" si="96"/>
        <v>2020</v>
      </c>
      <c r="L178" s="504">
        <v>12</v>
      </c>
      <c r="N178" s="505">
        <v>12</v>
      </c>
      <c r="O178" s="506" t="s">
        <v>245</v>
      </c>
      <c r="P178" s="507"/>
      <c r="Q178" s="508"/>
      <c r="R178" s="508"/>
      <c r="S178" s="508"/>
      <c r="T178" s="508"/>
      <c r="U178" s="508"/>
      <c r="V178" s="508"/>
      <c r="W178" s="508"/>
      <c r="X178" s="507"/>
      <c r="Y178" s="509"/>
      <c r="AL178" s="510"/>
    </row>
    <row r="179" spans="1:50" ht="15.75" customHeight="1" thickBot="1">
      <c r="A179" s="1535">
        <f>VLOOKUP(A166,A167:L178,12,(FALSE))</f>
        <v>5</v>
      </c>
      <c r="B179" s="1536"/>
      <c r="C179" s="1536"/>
      <c r="D179" s="1536"/>
      <c r="E179" s="1536"/>
      <c r="F179" s="1536"/>
      <c r="G179" s="1536"/>
      <c r="H179" s="1536"/>
      <c r="I179" s="1536"/>
      <c r="J179" s="1536"/>
      <c r="K179" s="1536"/>
      <c r="L179" s="1537"/>
      <c r="O179" s="512" t="str">
        <f>VLOOKUP(N166,N167:Y178,2,FALSE)</f>
        <v>Hasil pengukuran keselamatan listrik tertelusur ke Satuan Internasional ( SI ) melalui PT. Kaliman</v>
      </c>
      <c r="P179" s="513"/>
      <c r="Q179" s="513"/>
      <c r="R179" s="513"/>
      <c r="S179" s="513"/>
      <c r="T179" s="513"/>
      <c r="U179" s="513"/>
      <c r="V179" s="513"/>
      <c r="W179" s="513"/>
      <c r="X179" s="513"/>
      <c r="Y179" s="514"/>
      <c r="AL179" s="510"/>
    </row>
    <row r="180" spans="1:50">
      <c r="AL180" s="510"/>
    </row>
    <row r="181" spans="1:50" ht="13.8">
      <c r="A181" s="515"/>
      <c r="AL181" s="510"/>
    </row>
    <row r="182" spans="1:50">
      <c r="AA182" s="510"/>
      <c r="AB182" s="510"/>
      <c r="AC182" s="510"/>
      <c r="AD182" s="510"/>
      <c r="AE182" s="510"/>
      <c r="AF182" s="510"/>
      <c r="AG182" s="510"/>
      <c r="AH182" s="510"/>
      <c r="AI182" s="510"/>
      <c r="AJ182" s="510"/>
      <c r="AK182" s="510"/>
      <c r="AL182" s="510"/>
      <c r="AM182" s="510"/>
      <c r="AN182" s="510"/>
      <c r="AO182" s="510"/>
      <c r="AP182" s="510"/>
      <c r="AQ182" s="510"/>
      <c r="AR182" s="510"/>
      <c r="AS182" s="510"/>
      <c r="AT182" s="510"/>
      <c r="AU182" s="510"/>
      <c r="AV182" s="510"/>
      <c r="AW182" s="510"/>
      <c r="AX182" s="510"/>
    </row>
    <row r="215" spans="27:31">
      <c r="AA215" s="516"/>
      <c r="AB215" s="376"/>
      <c r="AC215" s="376"/>
      <c r="AD215" s="376"/>
      <c r="AE215" s="376"/>
    </row>
    <row r="216" spans="27:31">
      <c r="AA216" s="516"/>
      <c r="AB216" s="376"/>
      <c r="AC216" s="376"/>
      <c r="AD216" s="376"/>
      <c r="AE216" s="376"/>
    </row>
    <row r="217" spans="27:31">
      <c r="AA217" s="516"/>
      <c r="AB217" s="376"/>
      <c r="AC217" s="376"/>
      <c r="AD217" s="376"/>
      <c r="AE217" s="376"/>
    </row>
    <row r="218" spans="27:31">
      <c r="AA218" s="516"/>
      <c r="AB218" s="376"/>
      <c r="AC218" s="376"/>
      <c r="AD218" s="376"/>
      <c r="AE218" s="376"/>
    </row>
    <row r="219" spans="27:31">
      <c r="AA219" s="516"/>
      <c r="AB219" s="376"/>
      <c r="AC219" s="376"/>
      <c r="AD219" s="376"/>
      <c r="AE219" s="376"/>
    </row>
    <row r="220" spans="27:31" ht="13.8" thickBot="1">
      <c r="AA220" s="517"/>
      <c r="AB220" s="471"/>
      <c r="AC220" s="471"/>
      <c r="AD220" s="471"/>
      <c r="AE220" s="471"/>
    </row>
  </sheetData>
  <mergeCells count="94">
    <mergeCell ref="N166:Y166"/>
    <mergeCell ref="A95:A124"/>
    <mergeCell ref="B95:G95"/>
    <mergeCell ref="A179:L179"/>
    <mergeCell ref="B119:E119"/>
    <mergeCell ref="J119:M119"/>
    <mergeCell ref="I140:L140"/>
    <mergeCell ref="I142:L142"/>
    <mergeCell ref="I144:L144"/>
    <mergeCell ref="R119:U119"/>
    <mergeCell ref="B132:G132"/>
    <mergeCell ref="I134:L134"/>
    <mergeCell ref="I136:L136"/>
    <mergeCell ref="I138:L138"/>
    <mergeCell ref="I95:I124"/>
    <mergeCell ref="J95:O95"/>
    <mergeCell ref="B113:E113"/>
    <mergeCell ref="J113:M113"/>
    <mergeCell ref="R113:U113"/>
    <mergeCell ref="R95:W95"/>
    <mergeCell ref="R96:U96"/>
    <mergeCell ref="R97:U97"/>
    <mergeCell ref="R105:U105"/>
    <mergeCell ref="Q95:Q124"/>
    <mergeCell ref="B96:E96"/>
    <mergeCell ref="J96:M96"/>
    <mergeCell ref="B97:E97"/>
    <mergeCell ref="J97:M97"/>
    <mergeCell ref="B105:E105"/>
    <mergeCell ref="R65:U65"/>
    <mergeCell ref="B66:E66"/>
    <mergeCell ref="J66:M66"/>
    <mergeCell ref="R66:U66"/>
    <mergeCell ref="B82:E82"/>
    <mergeCell ref="J82:M82"/>
    <mergeCell ref="R82:U82"/>
    <mergeCell ref="J105:M105"/>
    <mergeCell ref="B88:E88"/>
    <mergeCell ref="J88:M88"/>
    <mergeCell ref="R88:U88"/>
    <mergeCell ref="J43:M43"/>
    <mergeCell ref="R43:U43"/>
    <mergeCell ref="A64:A93"/>
    <mergeCell ref="B64:G64"/>
    <mergeCell ref="I64:I93"/>
    <mergeCell ref="J64:O64"/>
    <mergeCell ref="Q64:Q93"/>
    <mergeCell ref="B65:E65"/>
    <mergeCell ref="B74:E74"/>
    <mergeCell ref="J74:M74"/>
    <mergeCell ref="R74:U74"/>
    <mergeCell ref="B57:E57"/>
    <mergeCell ref="J57:M57"/>
    <mergeCell ref="R57:U57"/>
    <mergeCell ref="R64:W64"/>
    <mergeCell ref="J65:M65"/>
    <mergeCell ref="B51:E51"/>
    <mergeCell ref="J51:M51"/>
    <mergeCell ref="R51:U51"/>
    <mergeCell ref="A33:A62"/>
    <mergeCell ref="B33:G33"/>
    <mergeCell ref="I33:I62"/>
    <mergeCell ref="J33:O33"/>
    <mergeCell ref="Q33:Q62"/>
    <mergeCell ref="R33:W33"/>
    <mergeCell ref="B34:E34"/>
    <mergeCell ref="J34:M34"/>
    <mergeCell ref="R34:U34"/>
    <mergeCell ref="B35:E35"/>
    <mergeCell ref="J35:M35"/>
    <mergeCell ref="R35:U35"/>
    <mergeCell ref="B43:E43"/>
    <mergeCell ref="B20:E20"/>
    <mergeCell ref="J20:M20"/>
    <mergeCell ref="R20:U20"/>
    <mergeCell ref="B26:E26"/>
    <mergeCell ref="J26:M26"/>
    <mergeCell ref="R26:U26"/>
    <mergeCell ref="A1:W1"/>
    <mergeCell ref="A2:A31"/>
    <mergeCell ref="B2:G2"/>
    <mergeCell ref="I2:I31"/>
    <mergeCell ref="J2:O2"/>
    <mergeCell ref="Q2:Q31"/>
    <mergeCell ref="R2:W2"/>
    <mergeCell ref="B3:E3"/>
    <mergeCell ref="J3:M3"/>
    <mergeCell ref="R3:U3"/>
    <mergeCell ref="B4:E4"/>
    <mergeCell ref="J4:M4"/>
    <mergeCell ref="R4:U4"/>
    <mergeCell ref="B12:E12"/>
    <mergeCell ref="J12:M12"/>
    <mergeCell ref="R12:U12"/>
  </mergeCells>
  <pageMargins left="0.69930555555555596" right="0.69930555555555596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26"/>
  <sheetViews>
    <sheetView view="pageBreakPreview" topLeftCell="A7" zoomScaleSheetLayoutView="100" workbookViewId="0">
      <selection activeCell="E14" sqref="E14"/>
    </sheetView>
  </sheetViews>
  <sheetFormatPr defaultColWidth="9.21875" defaultRowHeight="12"/>
  <cols>
    <col min="1" max="1" width="4.77734375" style="1063" customWidth="1"/>
    <col min="2" max="2" width="14.21875" style="1063" customWidth="1"/>
    <col min="3" max="3" width="10" style="1063" customWidth="1"/>
    <col min="4" max="4" width="6.5546875" style="1063" customWidth="1"/>
    <col min="5" max="5" width="7.44140625" style="1063" customWidth="1"/>
    <col min="6" max="7" width="6.21875" style="1063" customWidth="1"/>
    <col min="8" max="8" width="6.5546875" style="1063" customWidth="1"/>
    <col min="9" max="9" width="6.21875" style="1063" customWidth="1"/>
    <col min="10" max="10" width="11" style="1063" customWidth="1"/>
    <col min="11" max="11" width="10.21875" style="1063" customWidth="1"/>
    <col min="12" max="12" width="6.77734375" style="1063" customWidth="1"/>
    <col min="13" max="13" width="8.21875" style="1063" customWidth="1"/>
    <col min="14" max="14" width="5.77734375" style="1063" customWidth="1"/>
    <col min="15" max="15" width="9.21875" style="1063" customWidth="1"/>
    <col min="16" max="16" width="13.77734375" style="1061" customWidth="1"/>
    <col min="17" max="17" width="11.21875" style="1061" customWidth="1"/>
    <col min="18" max="16384" width="9.21875" style="1061"/>
  </cols>
  <sheetData>
    <row r="1" spans="1:16" ht="18">
      <c r="A1" s="1582" t="s">
        <v>81</v>
      </c>
      <c r="B1" s="1582"/>
      <c r="C1" s="1582"/>
      <c r="D1" s="1582"/>
      <c r="E1" s="1582"/>
      <c r="F1" s="1582"/>
      <c r="G1" s="1582"/>
      <c r="H1" s="1582"/>
      <c r="I1" s="1582"/>
      <c r="J1" s="1582"/>
      <c r="K1" s="1582"/>
      <c r="L1" s="1582"/>
      <c r="M1" s="1582"/>
      <c r="N1" s="1582"/>
      <c r="O1" s="1582"/>
    </row>
    <row r="2" spans="1:16" ht="17.399999999999999">
      <c r="A2" s="1583" t="str">
        <f>IF(Penyelia!K77&gt;=70,ID!P80,ID!P81)</f>
        <v>Nomor Sertifikat : 21 /</v>
      </c>
      <c r="B2" s="1583"/>
      <c r="C2" s="1583"/>
      <c r="D2" s="1583"/>
      <c r="E2" s="1583"/>
      <c r="F2" s="1583"/>
      <c r="G2" s="1583"/>
      <c r="H2" s="1583"/>
      <c r="I2" s="1062" t="s">
        <v>469</v>
      </c>
      <c r="J2" s="1062"/>
      <c r="K2" s="1062"/>
      <c r="L2" s="1062"/>
      <c r="M2" s="1062"/>
      <c r="N2" s="1062"/>
      <c r="O2" s="1062"/>
    </row>
    <row r="3" spans="1:16" ht="13.5" customHeight="1">
      <c r="A3" s="1115"/>
      <c r="B3" s="1115"/>
      <c r="C3" s="1115"/>
      <c r="D3" s="1115"/>
      <c r="E3" s="1115"/>
      <c r="F3" s="1115"/>
      <c r="G3" s="1115"/>
      <c r="H3" s="1115"/>
      <c r="I3" s="1115"/>
      <c r="J3" s="1115"/>
      <c r="K3" s="1115"/>
      <c r="L3" s="1115"/>
      <c r="M3" s="1115"/>
      <c r="N3" s="1115"/>
      <c r="O3" s="1115"/>
    </row>
    <row r="4" spans="1:16" ht="14.4">
      <c r="A4" s="1115" t="s">
        <v>2</v>
      </c>
      <c r="B4" s="1115"/>
      <c r="C4" s="1115"/>
      <c r="D4" s="1116" t="s">
        <v>3</v>
      </c>
      <c r="E4" s="1117" t="s">
        <v>83</v>
      </c>
      <c r="F4" s="1118"/>
      <c r="I4" s="1118"/>
      <c r="J4" s="1115"/>
      <c r="K4" s="1115"/>
      <c r="L4" s="1115"/>
      <c r="M4" s="1115"/>
      <c r="N4" s="1115"/>
      <c r="O4" s="1115"/>
      <c r="P4" s="1064"/>
    </row>
    <row r="5" spans="1:16" ht="14.4">
      <c r="A5" s="1115" t="s">
        <v>5</v>
      </c>
      <c r="B5" s="1115"/>
      <c r="C5" s="1115"/>
      <c r="D5" s="1116" t="s">
        <v>3</v>
      </c>
      <c r="E5" s="1117" t="s">
        <v>84</v>
      </c>
      <c r="F5" s="1118"/>
      <c r="I5" s="1118"/>
      <c r="J5" s="1115"/>
      <c r="K5" s="1115"/>
      <c r="L5" s="1115"/>
      <c r="M5" s="1115"/>
      <c r="N5" s="1115"/>
      <c r="O5" s="1115"/>
      <c r="P5" s="1065"/>
    </row>
    <row r="6" spans="1:16" ht="14.4">
      <c r="A6" s="1115" t="s">
        <v>6</v>
      </c>
      <c r="B6" s="1115"/>
      <c r="C6" s="1115"/>
      <c r="D6" s="1116" t="s">
        <v>3</v>
      </c>
      <c r="E6" s="1119" t="s">
        <v>85</v>
      </c>
      <c r="F6" s="1118"/>
      <c r="I6" s="1118"/>
      <c r="J6" s="1115"/>
      <c r="K6" s="1115"/>
      <c r="L6" s="1115"/>
      <c r="M6" s="1115"/>
      <c r="N6" s="1115"/>
      <c r="O6" s="1115"/>
    </row>
    <row r="7" spans="1:16" ht="14.4">
      <c r="A7" s="1115" t="s">
        <v>86</v>
      </c>
      <c r="B7" s="1115"/>
      <c r="C7" s="1115"/>
      <c r="D7" s="1116" t="s">
        <v>3</v>
      </c>
      <c r="E7" s="1119" t="s">
        <v>87</v>
      </c>
      <c r="F7" s="1118"/>
      <c r="I7" s="1118"/>
      <c r="J7" s="1115"/>
      <c r="K7" s="1115"/>
      <c r="L7" s="1115"/>
      <c r="M7" s="1115"/>
      <c r="N7" s="1115"/>
      <c r="O7" s="1115"/>
    </row>
    <row r="8" spans="1:16" ht="14.4">
      <c r="A8" s="1117" t="s">
        <v>7</v>
      </c>
      <c r="B8" s="1115"/>
      <c r="C8" s="1115"/>
      <c r="D8" s="1116" t="s">
        <v>3</v>
      </c>
      <c r="E8" s="1119" t="s">
        <v>87</v>
      </c>
      <c r="F8" s="1118"/>
      <c r="I8" s="1118"/>
      <c r="J8" s="1115"/>
      <c r="K8" s="1115"/>
      <c r="L8" s="1115"/>
      <c r="M8" s="1115"/>
      <c r="N8" s="1115"/>
      <c r="O8" s="1115"/>
    </row>
    <row r="9" spans="1:16" ht="14.4">
      <c r="A9" s="1117" t="s">
        <v>8</v>
      </c>
      <c r="B9" s="1115"/>
      <c r="C9" s="1115"/>
      <c r="D9" s="1116" t="s">
        <v>3</v>
      </c>
      <c r="E9" s="1117" t="s">
        <v>88</v>
      </c>
      <c r="F9" s="1118"/>
      <c r="I9" s="1118"/>
      <c r="J9" s="1115"/>
      <c r="K9" s="1115"/>
      <c r="L9" s="1115"/>
      <c r="M9" s="1115"/>
      <c r="N9" s="1115"/>
      <c r="O9" s="1115"/>
    </row>
    <row r="10" spans="1:16" ht="14.4">
      <c r="A10" s="1117" t="s">
        <v>9</v>
      </c>
      <c r="B10" s="1115"/>
      <c r="C10" s="1115"/>
      <c r="D10" s="1116" t="s">
        <v>3</v>
      </c>
      <c r="E10" s="1117" t="s">
        <v>88</v>
      </c>
      <c r="F10" s="1118"/>
      <c r="I10" s="1118"/>
      <c r="J10" s="1115"/>
      <c r="K10" s="1115"/>
      <c r="L10" s="1115"/>
      <c r="M10" s="1115"/>
      <c r="N10" s="1115"/>
      <c r="O10" s="1115"/>
    </row>
    <row r="11" spans="1:16" ht="14.4">
      <c r="A11" s="1115" t="s">
        <v>10</v>
      </c>
      <c r="B11" s="1115"/>
      <c r="C11" s="1115"/>
      <c r="D11" s="1116" t="s">
        <v>3</v>
      </c>
      <c r="E11" s="1117" t="s">
        <v>11</v>
      </c>
      <c r="F11" s="1115"/>
      <c r="I11" s="1115"/>
      <c r="J11" s="1115"/>
      <c r="K11" s="1115"/>
      <c r="L11" s="1115"/>
      <c r="M11" s="1115"/>
      <c r="N11" s="1115"/>
      <c r="O11" s="1115"/>
    </row>
    <row r="12" spans="1:16" ht="14.4">
      <c r="A12" s="1115"/>
      <c r="B12" s="1115"/>
      <c r="C12" s="1115"/>
      <c r="D12" s="1115"/>
      <c r="E12" s="1115"/>
      <c r="F12" s="1115"/>
      <c r="G12" s="1115"/>
      <c r="H12" s="1115"/>
      <c r="I12" s="1115"/>
      <c r="J12" s="1115"/>
      <c r="K12" s="1115"/>
      <c r="L12" s="1115"/>
      <c r="M12" s="1115"/>
      <c r="N12" s="1115"/>
      <c r="O12" s="1115"/>
    </row>
    <row r="13" spans="1:16" ht="28.5" customHeight="1">
      <c r="A13" s="1066" t="s">
        <v>12</v>
      </c>
      <c r="B13" s="1066" t="s">
        <v>13</v>
      </c>
      <c r="C13" s="1115"/>
      <c r="D13" s="1115"/>
      <c r="E13" s="1067" t="s">
        <v>89</v>
      </c>
      <c r="F13" s="1067" t="s">
        <v>90</v>
      </c>
      <c r="G13" s="1067" t="s">
        <v>91</v>
      </c>
      <c r="J13" s="1115"/>
      <c r="K13" s="1115"/>
      <c r="L13" s="1115"/>
      <c r="M13" s="1115"/>
      <c r="N13" s="1061"/>
      <c r="O13" s="1061"/>
    </row>
    <row r="14" spans="1:16" ht="14.4">
      <c r="A14" s="1115"/>
      <c r="B14" s="1115" t="s">
        <v>16</v>
      </c>
      <c r="C14" s="1066"/>
      <c r="D14" s="1116" t="s">
        <v>3</v>
      </c>
      <c r="E14" s="1090">
        <v>24.6</v>
      </c>
      <c r="F14" s="1090">
        <v>23.4</v>
      </c>
      <c r="G14" s="1120">
        <f>AVERAGE(E14:F14)</f>
        <v>24</v>
      </c>
      <c r="H14" s="1118" t="s">
        <v>17</v>
      </c>
      <c r="J14" s="1115"/>
      <c r="K14" s="1115"/>
      <c r="L14" s="1115"/>
      <c r="M14" s="1115"/>
      <c r="N14" s="1061"/>
      <c r="O14" s="1061"/>
    </row>
    <row r="15" spans="1:16" ht="14.4">
      <c r="A15" s="1115"/>
      <c r="B15" s="1115" t="s">
        <v>92</v>
      </c>
      <c r="C15" s="1115"/>
      <c r="D15" s="1116" t="s">
        <v>3</v>
      </c>
      <c r="E15" s="1090">
        <v>55.9</v>
      </c>
      <c r="F15" s="1090">
        <v>50.2</v>
      </c>
      <c r="G15" s="1120">
        <f>AVERAGE(E15:F15)</f>
        <v>53.05</v>
      </c>
      <c r="H15" s="1118" t="s">
        <v>93</v>
      </c>
      <c r="J15" s="1115"/>
      <c r="K15" s="1115"/>
      <c r="L15" s="1115"/>
      <c r="M15" s="1115"/>
      <c r="N15" s="1061"/>
      <c r="O15" s="1061"/>
    </row>
    <row r="16" spans="1:16" ht="14.4">
      <c r="A16" s="1115"/>
      <c r="B16" s="1115" t="s">
        <v>20</v>
      </c>
      <c r="C16" s="1115"/>
      <c r="D16" s="1116" t="s">
        <v>3</v>
      </c>
      <c r="E16" s="1091">
        <v>220</v>
      </c>
      <c r="F16" s="1121"/>
      <c r="G16" s="1115" t="s">
        <v>21</v>
      </c>
      <c r="H16" s="1115"/>
      <c r="I16" s="1115"/>
      <c r="J16" s="1115"/>
      <c r="K16" s="1115"/>
      <c r="L16" s="1115"/>
      <c r="M16" s="1115"/>
      <c r="N16" s="1115"/>
      <c r="O16" s="1115"/>
    </row>
    <row r="17" spans="1:19" ht="14.4">
      <c r="A17" s="1115"/>
      <c r="B17" s="1115"/>
      <c r="C17" s="1115"/>
      <c r="D17" s="1115"/>
      <c r="E17" s="1115"/>
      <c r="F17" s="1122"/>
      <c r="G17" s="1123"/>
      <c r="H17" s="1123"/>
      <c r="I17" s="1124"/>
      <c r="J17" s="1124"/>
      <c r="K17" s="1124"/>
      <c r="L17" s="1115"/>
      <c r="M17" s="1115"/>
      <c r="N17" s="1115"/>
      <c r="O17" s="1115"/>
    </row>
    <row r="18" spans="1:19" ht="14.4">
      <c r="A18" s="1066" t="s">
        <v>22</v>
      </c>
      <c r="B18" s="1066" t="s">
        <v>94</v>
      </c>
      <c r="C18" s="1115"/>
      <c r="D18" s="1115"/>
      <c r="E18" s="1115"/>
      <c r="F18" s="1115"/>
      <c r="G18" s="1115"/>
      <c r="H18" s="1115"/>
      <c r="I18" s="1115"/>
      <c r="J18" s="1115"/>
      <c r="K18" s="1115"/>
      <c r="L18" s="1115"/>
      <c r="M18" s="1115"/>
      <c r="N18" s="1115"/>
      <c r="O18" s="1115"/>
    </row>
    <row r="19" spans="1:19" ht="14.4">
      <c r="A19" s="1115"/>
      <c r="B19" s="1115" t="s">
        <v>24</v>
      </c>
      <c r="C19" s="1066"/>
      <c r="D19" s="1068" t="s">
        <v>3</v>
      </c>
      <c r="E19" s="1115" t="s">
        <v>95</v>
      </c>
      <c r="F19" s="1116"/>
      <c r="G19" s="1115"/>
      <c r="H19" s="1115"/>
      <c r="I19" s="1115"/>
      <c r="J19" s="1115"/>
      <c r="K19" s="1115"/>
      <c r="L19" s="1115"/>
      <c r="M19" s="1115"/>
      <c r="N19" s="1115"/>
      <c r="O19" s="1115"/>
      <c r="Q19" s="1115" t="s">
        <v>95</v>
      </c>
    </row>
    <row r="20" spans="1:19" ht="14.4">
      <c r="A20" s="1115"/>
      <c r="B20" s="1115" t="s">
        <v>27</v>
      </c>
      <c r="C20" s="1115"/>
      <c r="D20" s="1116" t="s">
        <v>3</v>
      </c>
      <c r="E20" s="1115" t="s">
        <v>95</v>
      </c>
      <c r="F20" s="1116"/>
      <c r="G20" s="1115"/>
      <c r="H20" s="1115"/>
      <c r="I20" s="1115"/>
      <c r="J20" s="1115"/>
      <c r="K20" s="1115"/>
      <c r="L20" s="1115"/>
      <c r="M20" s="1115"/>
      <c r="N20" s="1115"/>
      <c r="O20" s="1115"/>
      <c r="Q20" s="1061" t="s">
        <v>401</v>
      </c>
    </row>
    <row r="21" spans="1:19" ht="3.75" customHeight="1">
      <c r="A21" s="1066"/>
      <c r="B21" s="1066"/>
      <c r="C21" s="1115"/>
      <c r="D21" s="1115"/>
      <c r="E21" s="1115"/>
      <c r="F21" s="1115"/>
      <c r="G21" s="1115"/>
      <c r="H21" s="1115"/>
      <c r="I21" s="1115"/>
      <c r="J21" s="1115"/>
      <c r="K21" s="1115"/>
      <c r="L21" s="1115"/>
      <c r="M21" s="1115"/>
      <c r="N21" s="1115"/>
      <c r="O21" s="1115"/>
    </row>
    <row r="22" spans="1:19" ht="14.4">
      <c r="A22" s="1066" t="s">
        <v>28</v>
      </c>
      <c r="B22" s="1066" t="s">
        <v>29</v>
      </c>
      <c r="C22" s="1115"/>
      <c r="D22" s="1115"/>
      <c r="E22" s="1115"/>
      <c r="F22" s="1115"/>
      <c r="G22" s="1115"/>
      <c r="H22" s="1115"/>
      <c r="I22" s="1115"/>
      <c r="J22" s="1125"/>
      <c r="K22" s="1125"/>
      <c r="L22" s="1125"/>
      <c r="M22" s="1125"/>
      <c r="N22" s="1125"/>
      <c r="O22" s="1115"/>
    </row>
    <row r="23" spans="1:19" ht="30" customHeight="1">
      <c r="A23" s="1101" t="s">
        <v>30</v>
      </c>
      <c r="B23" s="1559" t="s">
        <v>31</v>
      </c>
      <c r="C23" s="1559"/>
      <c r="D23" s="1559"/>
      <c r="E23" s="1559"/>
      <c r="F23" s="1559"/>
      <c r="G23" s="1559"/>
      <c r="H23" s="1559"/>
      <c r="I23" s="1559"/>
      <c r="J23" s="1559"/>
      <c r="K23" s="1561" t="s">
        <v>32</v>
      </c>
      <c r="L23" s="1562"/>
      <c r="M23" s="1559" t="s">
        <v>33</v>
      </c>
      <c r="N23" s="1559"/>
      <c r="O23" s="1115"/>
      <c r="Q23" s="1555" t="str">
        <f>Penyelia!S18</f>
        <v>NG</v>
      </c>
      <c r="R23" s="1555"/>
      <c r="S23" s="1556" t="s">
        <v>40</v>
      </c>
    </row>
    <row r="24" spans="1:19" ht="14.4">
      <c r="A24" s="1126">
        <v>1</v>
      </c>
      <c r="B24" s="1127" t="s">
        <v>257</v>
      </c>
      <c r="C24" s="1128"/>
      <c r="D24" s="1128"/>
      <c r="E24" s="1128"/>
      <c r="F24" s="1128"/>
      <c r="G24" s="1128"/>
      <c r="H24" s="1128"/>
      <c r="I24" s="1128"/>
      <c r="J24" s="1069"/>
      <c r="K24" s="1092" t="s">
        <v>405</v>
      </c>
      <c r="L24" s="1070" t="str">
        <f>IF(K24="OL","",IF(K24="-","","M Ω"))</f>
        <v/>
      </c>
      <c r="M24" s="1071" t="s">
        <v>470</v>
      </c>
      <c r="N24" s="1129" t="s">
        <v>37</v>
      </c>
      <c r="O24" s="1115"/>
      <c r="Q24" s="1555"/>
      <c r="R24" s="1555"/>
      <c r="S24" s="1556"/>
    </row>
    <row r="25" spans="1:19" ht="14.4">
      <c r="A25" s="1126">
        <v>2</v>
      </c>
      <c r="B25" s="1563" t="s">
        <v>260</v>
      </c>
      <c r="C25" s="1564"/>
      <c r="D25" s="1564"/>
      <c r="E25" s="1564"/>
      <c r="F25" s="1564"/>
      <c r="G25" s="1564"/>
      <c r="H25" s="1564"/>
      <c r="I25" s="1564"/>
      <c r="J25" s="1565"/>
      <c r="K25" s="1092">
        <v>0.1</v>
      </c>
      <c r="L25" s="1070" t="str">
        <f>IF(K25="OL","",IF(K25="-","","Ω"))</f>
        <v>Ω</v>
      </c>
      <c r="M25" s="1071" t="str">
        <f>Q39&amp;R39</f>
        <v>≤ 0.3</v>
      </c>
      <c r="N25" s="1129" t="s">
        <v>38</v>
      </c>
      <c r="O25" s="1115"/>
      <c r="Q25" s="1099" t="s">
        <v>410</v>
      </c>
      <c r="R25" s="1072" t="s">
        <v>411</v>
      </c>
      <c r="S25" s="1001">
        <v>3</v>
      </c>
    </row>
    <row r="26" spans="1:19" ht="14.4">
      <c r="A26" s="1126">
        <v>3</v>
      </c>
      <c r="B26" s="1563" t="s">
        <v>261</v>
      </c>
      <c r="C26" s="1564"/>
      <c r="D26" s="1564"/>
      <c r="E26" s="1564"/>
      <c r="F26" s="1564"/>
      <c r="G26" s="1564"/>
      <c r="H26" s="1564"/>
      <c r="I26" s="1564"/>
      <c r="J26" s="1565"/>
      <c r="K26" s="1093" t="s">
        <v>196</v>
      </c>
      <c r="L26" s="1070" t="str">
        <f>IF(K26="OL","",IF(K26="-","","µA"))</f>
        <v/>
      </c>
      <c r="M26" s="1071" t="str">
        <f>Q39&amp;S39</f>
        <v>≤ 500</v>
      </c>
      <c r="N26" s="1129" t="s">
        <v>40</v>
      </c>
      <c r="O26" s="1115"/>
    </row>
    <row r="27" spans="1:19" ht="14.4">
      <c r="A27" s="1126">
        <v>4</v>
      </c>
      <c r="B27" s="1127" t="s">
        <v>258</v>
      </c>
      <c r="C27" s="1128"/>
      <c r="D27" s="1128"/>
      <c r="E27" s="1128"/>
      <c r="F27" s="1128"/>
      <c r="G27" s="1128"/>
      <c r="H27" s="1128"/>
      <c r="I27" s="1128"/>
      <c r="J27" s="1069"/>
      <c r="K27" s="1093" t="s">
        <v>196</v>
      </c>
      <c r="L27" s="1070" t="str">
        <f>IF(K27="OL","",IF(K27="-","","µA"))</f>
        <v/>
      </c>
      <c r="M27" s="1071" t="s">
        <v>264</v>
      </c>
      <c r="N27" s="1129" t="s">
        <v>40</v>
      </c>
      <c r="O27" s="1115"/>
    </row>
    <row r="28" spans="1:19" ht="14.4">
      <c r="A28" s="1066"/>
      <c r="B28" s="1066"/>
      <c r="C28" s="1115"/>
      <c r="D28" s="1115"/>
      <c r="E28" s="1115"/>
      <c r="F28" s="1115"/>
      <c r="G28" s="1115"/>
      <c r="H28" s="1115"/>
      <c r="I28" s="1115"/>
      <c r="J28" s="1115"/>
      <c r="K28" s="1115"/>
      <c r="L28" s="1115"/>
      <c r="M28" s="1115"/>
      <c r="N28" s="1115"/>
      <c r="O28" s="1115"/>
    </row>
    <row r="29" spans="1:19" ht="14.4">
      <c r="A29" s="1066" t="s">
        <v>44</v>
      </c>
      <c r="B29" s="1560" t="s">
        <v>96</v>
      </c>
      <c r="C29" s="1560"/>
      <c r="D29" s="1560"/>
      <c r="E29" s="1560"/>
      <c r="F29" s="1560"/>
      <c r="G29" s="1560"/>
      <c r="H29" s="1560"/>
      <c r="I29" s="1560"/>
      <c r="J29" s="1560"/>
      <c r="K29" s="1560"/>
      <c r="L29" s="1560"/>
      <c r="M29" s="1115"/>
      <c r="N29" s="1115"/>
      <c r="O29" s="1115"/>
    </row>
    <row r="30" spans="1:19" ht="15" customHeight="1">
      <c r="A30" s="1570" t="s">
        <v>46</v>
      </c>
      <c r="B30" s="1570" t="s">
        <v>47</v>
      </c>
      <c r="C30" s="1550" t="s">
        <v>48</v>
      </c>
      <c r="D30" s="1572" t="s">
        <v>49</v>
      </c>
      <c r="E30" s="1573"/>
      <c r="F30" s="1573"/>
      <c r="G30" s="1573"/>
      <c r="H30" s="1573"/>
      <c r="I30" s="1574"/>
      <c r="J30" s="1550" t="s">
        <v>97</v>
      </c>
      <c r="K30" s="1584" t="s">
        <v>98</v>
      </c>
      <c r="L30" s="1557" t="s">
        <v>99</v>
      </c>
    </row>
    <row r="31" spans="1:19" ht="14.4">
      <c r="A31" s="1571"/>
      <c r="B31" s="1571"/>
      <c r="C31" s="1551"/>
      <c r="D31" s="1073" t="s">
        <v>51</v>
      </c>
      <c r="E31" s="1074" t="s">
        <v>52</v>
      </c>
      <c r="F31" s="1075" t="s">
        <v>53</v>
      </c>
      <c r="G31" s="1074" t="s">
        <v>54</v>
      </c>
      <c r="H31" s="1075" t="s">
        <v>21</v>
      </c>
      <c r="I31" s="1074" t="s">
        <v>55</v>
      </c>
      <c r="J31" s="1551"/>
      <c r="K31" s="1585"/>
      <c r="L31" s="1558"/>
    </row>
    <row r="32" spans="1:19" ht="15" customHeight="1">
      <c r="A32" s="1130">
        <v>1</v>
      </c>
      <c r="B32" s="1554" t="s">
        <v>56</v>
      </c>
      <c r="C32" s="963">
        <v>10</v>
      </c>
      <c r="D32" s="973">
        <v>5</v>
      </c>
      <c r="E32" s="973">
        <v>5</v>
      </c>
      <c r="F32" s="973">
        <v>5</v>
      </c>
      <c r="G32" s="973">
        <v>5</v>
      </c>
      <c r="H32" s="973">
        <v>5</v>
      </c>
      <c r="I32" s="973">
        <v>5</v>
      </c>
      <c r="J32" s="1131">
        <f>AVERAGE(Penyelia!S33:X33)</f>
        <v>10.00004000016</v>
      </c>
      <c r="K32" s="1131">
        <f>SCOPE!F190</f>
        <v>10.00005000016</v>
      </c>
      <c r="L32" s="1132">
        <f>IF(STDEV(D32:I32)=0,0.00001,STDEV(D32:I32))</f>
        <v>1.0000000000000001E-5</v>
      </c>
    </row>
    <row r="33" spans="1:19" ht="15" customHeight="1">
      <c r="A33" s="1130">
        <v>2</v>
      </c>
      <c r="B33" s="1554"/>
      <c r="C33" s="963">
        <v>20</v>
      </c>
      <c r="D33" s="974">
        <v>10</v>
      </c>
      <c r="E33" s="974">
        <v>10</v>
      </c>
      <c r="F33" s="974">
        <v>10</v>
      </c>
      <c r="G33" s="974">
        <v>10</v>
      </c>
      <c r="H33" s="974">
        <v>10</v>
      </c>
      <c r="I33" s="974">
        <v>10</v>
      </c>
      <c r="J33" s="1131">
        <f>AVERAGE(Penyelia!S34:X34)</f>
        <v>19.999913335426619</v>
      </c>
      <c r="K33" s="1131">
        <f>SCOPE!F191</f>
        <v>19.999923335426619</v>
      </c>
      <c r="L33" s="1132">
        <f t="shared" ref="L33:L37" si="0">IF(STDEV(D33:I33)=0,0.00001,STDEV(D33:I33))</f>
        <v>1.0000000000000001E-5</v>
      </c>
    </row>
    <row r="34" spans="1:19" ht="12.75" customHeight="1">
      <c r="A34" s="1130">
        <v>3</v>
      </c>
      <c r="B34" s="1554"/>
      <c r="C34" s="963">
        <v>30</v>
      </c>
      <c r="D34" s="974">
        <v>15</v>
      </c>
      <c r="E34" s="974">
        <v>15</v>
      </c>
      <c r="F34" s="974">
        <v>15</v>
      </c>
      <c r="G34" s="974">
        <v>15</v>
      </c>
      <c r="H34" s="974">
        <v>15</v>
      </c>
      <c r="I34" s="974">
        <v>15</v>
      </c>
      <c r="J34" s="1131">
        <f>AVERAGE(Penyelia!S35:X35)</f>
        <v>29.999870003139932</v>
      </c>
      <c r="K34" s="1131">
        <f>SCOPE!F192</f>
        <v>29.999880003139932</v>
      </c>
      <c r="L34" s="1132">
        <f t="shared" si="0"/>
        <v>1.0000000000000001E-5</v>
      </c>
    </row>
    <row r="35" spans="1:19" ht="14.4">
      <c r="A35" s="1130">
        <v>4</v>
      </c>
      <c r="B35" s="1554"/>
      <c r="C35" s="964">
        <v>40</v>
      </c>
      <c r="D35" s="974">
        <v>20</v>
      </c>
      <c r="E35" s="974">
        <v>20</v>
      </c>
      <c r="F35" s="974">
        <v>20</v>
      </c>
      <c r="G35" s="974">
        <v>20</v>
      </c>
      <c r="H35" s="974">
        <v>20</v>
      </c>
      <c r="I35" s="974">
        <v>20</v>
      </c>
      <c r="J35" s="1131">
        <f>AVERAGE(Penyelia!S36:X36)</f>
        <v>39.999826670853238</v>
      </c>
      <c r="K35" s="1131">
        <f>SCOPE!F193</f>
        <v>39.999836670853242</v>
      </c>
      <c r="L35" s="1132">
        <f t="shared" si="0"/>
        <v>1.0000000000000001E-5</v>
      </c>
      <c r="P35" s="1061">
        <v>0.2</v>
      </c>
      <c r="Q35" s="1133" t="s">
        <v>259</v>
      </c>
    </row>
    <row r="36" spans="1:19" ht="14.4">
      <c r="A36" s="1130">
        <v>5</v>
      </c>
      <c r="B36" s="1554"/>
      <c r="C36" s="964">
        <v>50</v>
      </c>
      <c r="D36" s="974">
        <v>25</v>
      </c>
      <c r="E36" s="974">
        <v>25</v>
      </c>
      <c r="F36" s="974">
        <v>25</v>
      </c>
      <c r="G36" s="974">
        <v>25</v>
      </c>
      <c r="H36" s="974">
        <v>25</v>
      </c>
      <c r="I36" s="974">
        <v>25</v>
      </c>
      <c r="J36" s="1131">
        <f>AVERAGE(Penyelia!S37:X37)</f>
        <v>49.999783338566552</v>
      </c>
      <c r="K36" s="1131">
        <f>SCOPE!F194</f>
        <v>49.999793338566555</v>
      </c>
      <c r="L36" s="1132">
        <f t="shared" si="0"/>
        <v>1.0000000000000001E-5</v>
      </c>
      <c r="P36" s="1061">
        <v>0.3</v>
      </c>
      <c r="Q36" s="1133" t="s">
        <v>260</v>
      </c>
    </row>
    <row r="37" spans="1:19" ht="19.5" customHeight="1">
      <c r="A37" s="1134">
        <v>6</v>
      </c>
      <c r="B37" s="1076" t="s">
        <v>58</v>
      </c>
      <c r="C37" s="963">
        <v>60</v>
      </c>
      <c r="D37" s="1100">
        <v>60</v>
      </c>
      <c r="E37" s="1100">
        <v>60</v>
      </c>
      <c r="F37" s="1100">
        <v>60</v>
      </c>
      <c r="G37" s="1100">
        <v>60</v>
      </c>
      <c r="H37" s="1100">
        <v>60</v>
      </c>
      <c r="I37" s="1100">
        <v>60</v>
      </c>
      <c r="J37" s="1132">
        <f>AVERAGE(D37:I37)</f>
        <v>60</v>
      </c>
      <c r="K37" s="1132">
        <f>J37+BUDGET!O207</f>
        <v>60</v>
      </c>
      <c r="L37" s="1132">
        <f t="shared" si="0"/>
        <v>1.0000000000000001E-5</v>
      </c>
      <c r="P37" s="1061">
        <v>500</v>
      </c>
      <c r="Q37" s="1133" t="s">
        <v>261</v>
      </c>
    </row>
    <row r="38" spans="1:19" ht="6.75" customHeight="1">
      <c r="A38" s="1135"/>
      <c r="B38" s="1136"/>
      <c r="C38" s="1137"/>
      <c r="D38" s="1137"/>
      <c r="E38" s="1137"/>
      <c r="F38" s="1137"/>
      <c r="G38" s="1137"/>
      <c r="H38" s="1137"/>
      <c r="I38" s="1137"/>
      <c r="J38" s="1137"/>
      <c r="K38" s="1137"/>
      <c r="L38" s="1138"/>
      <c r="M38" s="1139"/>
      <c r="N38" s="1139"/>
      <c r="O38" s="1138"/>
      <c r="P38" s="1061">
        <v>100</v>
      </c>
      <c r="Q38" s="1133" t="s">
        <v>262</v>
      </c>
    </row>
    <row r="39" spans="1:19" ht="14.25" customHeight="1">
      <c r="A39" s="1066" t="s">
        <v>59</v>
      </c>
      <c r="B39" s="1560" t="s">
        <v>100</v>
      </c>
      <c r="C39" s="1560"/>
      <c r="D39" s="1560"/>
      <c r="E39" s="1560"/>
      <c r="F39" s="1560"/>
      <c r="G39" s="1560"/>
      <c r="H39" s="1560"/>
      <c r="I39" s="1560"/>
      <c r="J39" s="1560"/>
      <c r="K39" s="1560"/>
      <c r="L39" s="1560"/>
      <c r="M39" s="1139"/>
      <c r="N39" s="1139"/>
      <c r="O39" s="1138"/>
      <c r="Q39" s="1061" t="s">
        <v>265</v>
      </c>
      <c r="R39" s="1061">
        <f>IF(B25=Q35,P35,P36)</f>
        <v>0.3</v>
      </c>
      <c r="S39" s="1061">
        <f>IF(B26=Q37,P37,P38)</f>
        <v>500</v>
      </c>
    </row>
    <row r="40" spans="1:19" ht="14.25" customHeight="1">
      <c r="A40" s="1570" t="s">
        <v>46</v>
      </c>
      <c r="B40" s="1570" t="s">
        <v>47</v>
      </c>
      <c r="C40" s="1550" t="s">
        <v>48</v>
      </c>
      <c r="D40" s="1572" t="s">
        <v>49</v>
      </c>
      <c r="E40" s="1573"/>
      <c r="F40" s="1573"/>
      <c r="G40" s="1573"/>
      <c r="H40" s="1573"/>
      <c r="I40" s="1574"/>
      <c r="J40" s="1550" t="s">
        <v>97</v>
      </c>
      <c r="K40" s="1584" t="s">
        <v>98</v>
      </c>
      <c r="L40" s="1557" t="s">
        <v>99</v>
      </c>
      <c r="M40" s="1139"/>
      <c r="N40" s="1139"/>
      <c r="O40" s="1138"/>
    </row>
    <row r="41" spans="1:19" ht="14.25" customHeight="1">
      <c r="A41" s="1571"/>
      <c r="B41" s="1571"/>
      <c r="C41" s="1551"/>
      <c r="D41" s="1073" t="s">
        <v>51</v>
      </c>
      <c r="E41" s="1074" t="s">
        <v>52</v>
      </c>
      <c r="F41" s="1075" t="s">
        <v>53</v>
      </c>
      <c r="G41" s="1074" t="s">
        <v>54</v>
      </c>
      <c r="H41" s="1075" t="s">
        <v>21</v>
      </c>
      <c r="I41" s="1074" t="s">
        <v>55</v>
      </c>
      <c r="J41" s="1551"/>
      <c r="K41" s="1585"/>
      <c r="L41" s="1558"/>
      <c r="M41" s="1139"/>
      <c r="N41" s="1139"/>
      <c r="O41" s="1138"/>
    </row>
    <row r="42" spans="1:19" ht="14.25" customHeight="1">
      <c r="A42" s="1130">
        <v>1</v>
      </c>
      <c r="B42" s="1554" t="s">
        <v>56</v>
      </c>
      <c r="C42" s="963">
        <v>10</v>
      </c>
      <c r="D42" s="978">
        <v>5</v>
      </c>
      <c r="E42" s="978">
        <v>5</v>
      </c>
      <c r="F42" s="978">
        <v>5</v>
      </c>
      <c r="G42" s="978">
        <v>5</v>
      </c>
      <c r="H42" s="978">
        <v>5</v>
      </c>
      <c r="I42" s="978">
        <v>5</v>
      </c>
      <c r="J42" s="1132">
        <f>AVERAGE(Penyelia!S44:X44)</f>
        <v>10.00004000016</v>
      </c>
      <c r="K42" s="1131">
        <f>SCOPE!F210</f>
        <v>10.00005000016</v>
      </c>
      <c r="L42" s="1132">
        <f>IF(STDEV(D42:I42)=0,0.00001,STDEV(D42:I42))</f>
        <v>1.0000000000000001E-5</v>
      </c>
      <c r="M42" s="1139"/>
      <c r="N42" s="1139"/>
      <c r="O42" s="1138"/>
    </row>
    <row r="43" spans="1:19" ht="14.25" customHeight="1">
      <c r="A43" s="1130">
        <v>2</v>
      </c>
      <c r="B43" s="1554"/>
      <c r="C43" s="963">
        <v>20</v>
      </c>
      <c r="D43" s="979">
        <v>10</v>
      </c>
      <c r="E43" s="979">
        <v>10</v>
      </c>
      <c r="F43" s="979">
        <v>10</v>
      </c>
      <c r="G43" s="979">
        <v>10</v>
      </c>
      <c r="H43" s="979">
        <v>10</v>
      </c>
      <c r="I43" s="979">
        <v>10</v>
      </c>
      <c r="J43" s="1132">
        <f>AVERAGE(Penyelia!S45:X45)</f>
        <v>20.000080000320001</v>
      </c>
      <c r="K43" s="1131">
        <f>SCOPE!F211</f>
        <v>20.00009000032</v>
      </c>
      <c r="L43" s="1132">
        <f t="shared" ref="L43:L47" si="1">IF(STDEV(D43:I43)=0,0.00001,STDEV(D43:I43))</f>
        <v>1.0000000000000001E-5</v>
      </c>
      <c r="M43" s="1139"/>
      <c r="N43" s="1139"/>
      <c r="O43" s="1138"/>
    </row>
    <row r="44" spans="1:19" ht="14.25" customHeight="1">
      <c r="A44" s="1130">
        <v>3</v>
      </c>
      <c r="B44" s="1554"/>
      <c r="C44" s="963">
        <v>30</v>
      </c>
      <c r="D44" s="979">
        <v>15</v>
      </c>
      <c r="E44" s="979">
        <v>15</v>
      </c>
      <c r="F44" s="979">
        <v>15</v>
      </c>
      <c r="G44" s="979">
        <v>15</v>
      </c>
      <c r="H44" s="979">
        <v>15</v>
      </c>
      <c r="I44" s="979">
        <v>15</v>
      </c>
      <c r="J44" s="1132">
        <f>AVERAGE(Penyelia!S46:X46)</f>
        <v>30.000120000479999</v>
      </c>
      <c r="K44" s="1131">
        <f>SCOPE!F212</f>
        <v>30.000130000479999</v>
      </c>
      <c r="L44" s="1132">
        <f>IF(STDEV(D44:I44)=0,0.00001,STDEV(D44:I44))</f>
        <v>1.0000000000000001E-5</v>
      </c>
      <c r="M44" s="1139"/>
      <c r="N44" s="1139"/>
      <c r="O44" s="1138"/>
    </row>
    <row r="45" spans="1:19" ht="14.25" customHeight="1">
      <c r="A45" s="1130">
        <v>4</v>
      </c>
      <c r="B45" s="1554"/>
      <c r="C45" s="964">
        <v>40</v>
      </c>
      <c r="D45" s="979">
        <v>20</v>
      </c>
      <c r="E45" s="979">
        <v>20</v>
      </c>
      <c r="F45" s="979">
        <v>20</v>
      </c>
      <c r="G45" s="979">
        <v>20</v>
      </c>
      <c r="H45" s="979">
        <v>20</v>
      </c>
      <c r="I45" s="979">
        <v>20</v>
      </c>
      <c r="J45" s="1132">
        <f>AVERAGE(Penyelia!S47:X47)</f>
        <v>40.000160000640001</v>
      </c>
      <c r="K45" s="1131">
        <f>SCOPE!F213</f>
        <v>40.000170000640004</v>
      </c>
      <c r="L45" s="1132">
        <f t="shared" si="1"/>
        <v>1.0000000000000001E-5</v>
      </c>
      <c r="M45" s="1139"/>
      <c r="N45" s="1139"/>
      <c r="O45" s="1138"/>
    </row>
    <row r="46" spans="1:19" ht="14.25" customHeight="1">
      <c r="A46" s="1130">
        <v>5</v>
      </c>
      <c r="B46" s="1554"/>
      <c r="C46" s="964">
        <v>50</v>
      </c>
      <c r="D46" s="979">
        <v>25</v>
      </c>
      <c r="E46" s="979">
        <v>25</v>
      </c>
      <c r="F46" s="979">
        <v>25</v>
      </c>
      <c r="G46" s="979">
        <v>25</v>
      </c>
      <c r="H46" s="979">
        <v>25</v>
      </c>
      <c r="I46" s="979">
        <v>25</v>
      </c>
      <c r="J46" s="1132">
        <f>AVERAGE(Penyelia!S48:X48)</f>
        <v>50.000200000800014</v>
      </c>
      <c r="K46" s="1131">
        <f>SCOPE!F214</f>
        <v>50.000210000800017</v>
      </c>
      <c r="L46" s="1132">
        <f t="shared" si="1"/>
        <v>1.0000000000000001E-5</v>
      </c>
      <c r="M46" s="1139"/>
      <c r="N46" s="1139"/>
      <c r="O46" s="1138"/>
    </row>
    <row r="47" spans="1:19" ht="20.25" customHeight="1">
      <c r="A47" s="1134">
        <v>6</v>
      </c>
      <c r="B47" s="1076" t="s">
        <v>58</v>
      </c>
      <c r="C47" s="963">
        <v>60</v>
      </c>
      <c r="D47" s="1100">
        <v>60</v>
      </c>
      <c r="E47" s="1100">
        <v>60</v>
      </c>
      <c r="F47" s="1100">
        <v>60</v>
      </c>
      <c r="G47" s="1100">
        <v>60</v>
      </c>
      <c r="H47" s="1100">
        <v>60</v>
      </c>
      <c r="I47" s="1100">
        <v>60</v>
      </c>
      <c r="J47" s="1132">
        <f>AVERAGE(D47:I47)</f>
        <v>60</v>
      </c>
      <c r="K47" s="1132">
        <f>SCOPE!F215</f>
        <v>60.000010000000003</v>
      </c>
      <c r="L47" s="1132">
        <f t="shared" si="1"/>
        <v>1.0000000000000001E-5</v>
      </c>
      <c r="M47" s="1139"/>
      <c r="N47" s="1139"/>
      <c r="O47" s="1138"/>
    </row>
    <row r="48" spans="1:19" ht="10.5" customHeight="1">
      <c r="A48" s="1140"/>
      <c r="B48" s="1077"/>
      <c r="C48" s="1135"/>
      <c r="D48" s="1141"/>
      <c r="E48" s="1141"/>
      <c r="F48" s="1141"/>
      <c r="G48" s="1141"/>
      <c r="H48" s="1141"/>
      <c r="I48" s="1141"/>
      <c r="J48" s="1138"/>
      <c r="K48" s="1138"/>
      <c r="L48" s="1138"/>
      <c r="M48" s="1139"/>
      <c r="N48" s="1139"/>
      <c r="O48" s="1138"/>
    </row>
    <row r="49" spans="1:15" ht="14.4">
      <c r="A49" s="1078" t="s">
        <v>61</v>
      </c>
      <c r="B49" s="1078" t="s">
        <v>62</v>
      </c>
      <c r="C49" s="1078"/>
      <c r="D49" s="1118"/>
      <c r="E49" s="1142"/>
      <c r="F49" s="1142"/>
      <c r="G49" s="1142"/>
      <c r="H49" s="1142"/>
      <c r="I49" s="1142"/>
      <c r="J49" s="1138"/>
      <c r="K49" s="1138"/>
      <c r="L49" s="1138"/>
      <c r="M49" s="1139"/>
      <c r="N49" s="1139"/>
      <c r="O49" s="1138"/>
    </row>
    <row r="50" spans="1:15" ht="20.25" customHeight="1">
      <c r="A50" s="1581" t="s">
        <v>46</v>
      </c>
      <c r="B50" s="1559" t="s">
        <v>47</v>
      </c>
      <c r="C50" s="1559" t="s">
        <v>48</v>
      </c>
      <c r="D50" s="1552" t="s">
        <v>101</v>
      </c>
      <c r="E50" s="1580"/>
      <c r="F50" s="1580"/>
      <c r="G50" s="1580"/>
      <c r="H50" s="1580"/>
      <c r="I50" s="1553"/>
      <c r="J50" s="1568" t="s">
        <v>102</v>
      </c>
      <c r="K50" s="1566" t="s">
        <v>103</v>
      </c>
      <c r="L50" s="1567" t="s">
        <v>99</v>
      </c>
      <c r="M50" s="1139"/>
      <c r="N50" s="1139"/>
      <c r="O50" s="1138"/>
    </row>
    <row r="51" spans="1:15" ht="20.25" customHeight="1">
      <c r="A51" s="1581"/>
      <c r="B51" s="1559"/>
      <c r="C51" s="1559"/>
      <c r="D51" s="1552" t="s">
        <v>51</v>
      </c>
      <c r="E51" s="1553"/>
      <c r="F51" s="1552" t="s">
        <v>52</v>
      </c>
      <c r="G51" s="1553"/>
      <c r="H51" s="1552" t="s">
        <v>53</v>
      </c>
      <c r="I51" s="1553"/>
      <c r="J51" s="1568"/>
      <c r="K51" s="1566"/>
      <c r="L51" s="1567"/>
      <c r="M51" s="1139"/>
      <c r="N51" s="1139"/>
      <c r="O51" s="1138"/>
    </row>
    <row r="52" spans="1:15" ht="34.5" customHeight="1">
      <c r="A52" s="1134">
        <v>1</v>
      </c>
      <c r="B52" s="1079" t="s">
        <v>63</v>
      </c>
      <c r="C52" s="963">
        <v>300</v>
      </c>
      <c r="D52" s="1569">
        <v>300</v>
      </c>
      <c r="E52" s="1569"/>
      <c r="F52" s="1569">
        <v>300</v>
      </c>
      <c r="G52" s="1569"/>
      <c r="H52" s="1569">
        <v>300</v>
      </c>
      <c r="I52" s="1569"/>
      <c r="J52" s="1132">
        <f>AVERAGE(D52:I52)</f>
        <v>300</v>
      </c>
      <c r="K52" s="1132">
        <f>'DB Stopwatch'!D227</f>
        <v>299.95356993687409</v>
      </c>
      <c r="L52" s="1132">
        <f t="shared" ref="L52" si="2">IF(STDEV(D52:I52)=0,0.00001,STDEV(D52:I52))</f>
        <v>1.0000000000000001E-5</v>
      </c>
      <c r="M52" s="1139"/>
      <c r="N52" s="1139"/>
      <c r="O52" s="1138"/>
    </row>
    <row r="53" spans="1:15" ht="14.25" customHeight="1">
      <c r="A53" s="1135"/>
      <c r="B53" s="1136"/>
      <c r="C53" s="1137"/>
      <c r="D53" s="1137"/>
      <c r="E53" s="1137"/>
      <c r="F53" s="1137"/>
      <c r="G53" s="1137"/>
      <c r="H53" s="1137"/>
      <c r="I53" s="1137"/>
      <c r="J53" s="1137"/>
      <c r="K53" s="1137"/>
      <c r="L53" s="1138"/>
      <c r="M53" s="1139"/>
      <c r="N53" s="1139"/>
      <c r="O53" s="1138"/>
    </row>
    <row r="54" spans="1:15" ht="14.25" customHeight="1">
      <c r="A54" s="1066" t="s">
        <v>65</v>
      </c>
      <c r="B54" s="1066" t="s">
        <v>104</v>
      </c>
      <c r="C54" s="1137"/>
      <c r="D54" s="1137"/>
      <c r="E54" s="1137"/>
      <c r="F54" s="1137"/>
      <c r="G54" s="1137"/>
      <c r="H54" s="1137"/>
      <c r="I54" s="1137"/>
      <c r="J54" s="1137"/>
      <c r="K54" s="1137"/>
      <c r="L54" s="1138"/>
      <c r="M54" s="1139"/>
      <c r="N54" s="1139"/>
      <c r="O54" s="1138"/>
    </row>
    <row r="55" spans="1:15" ht="14.25" customHeight="1">
      <c r="A55" s="1115"/>
      <c r="B55" s="1143" t="s">
        <v>396</v>
      </c>
      <c r="C55" s="1115"/>
      <c r="D55" s="1115"/>
      <c r="E55" s="1115"/>
      <c r="F55" s="1115"/>
      <c r="G55" s="1115"/>
      <c r="H55" s="1115"/>
      <c r="I55" s="1115"/>
      <c r="J55" s="1115"/>
      <c r="K55" s="1115"/>
      <c r="L55" s="1115"/>
      <c r="M55" s="1115"/>
      <c r="N55" s="1115"/>
      <c r="O55" s="1115"/>
    </row>
    <row r="56" spans="1:15" ht="14.25" customHeight="1">
      <c r="A56" s="1115"/>
      <c r="B56" s="1144" t="s">
        <v>397</v>
      </c>
      <c r="C56" s="1115"/>
      <c r="D56" s="1115"/>
      <c r="E56" s="1115"/>
      <c r="F56" s="1115"/>
      <c r="G56" s="1115"/>
      <c r="H56" s="1115"/>
      <c r="I56" s="1115"/>
      <c r="J56" s="1115"/>
      <c r="K56" s="1115"/>
      <c r="L56" s="1115"/>
      <c r="M56" s="1115"/>
      <c r="N56" s="1115"/>
      <c r="O56" s="1115"/>
    </row>
    <row r="57" spans="1:15" ht="14.25" customHeight="1">
      <c r="A57" s="1115"/>
      <c r="B57" s="1144" t="str">
        <f>SCOPE!Y174</f>
        <v>Hasil kalibrasi Intensitas Therapy dan Frekuensi tertelusur ke Satuan Internasional melalui PT. KALIMAN (LK-032-IDN)</v>
      </c>
      <c r="C57" s="1115"/>
      <c r="D57" s="1115"/>
      <c r="E57" s="1115"/>
      <c r="F57" s="1115"/>
      <c r="G57" s="1115"/>
      <c r="H57" s="1115"/>
      <c r="I57" s="1115"/>
      <c r="J57" s="1115"/>
      <c r="K57" s="1115"/>
      <c r="L57" s="1115"/>
      <c r="M57" s="1115"/>
      <c r="N57" s="1115"/>
      <c r="O57" s="1115"/>
    </row>
    <row r="58" spans="1:15" ht="14.25" customHeight="1">
      <c r="A58" s="1115"/>
      <c r="B58" s="1145" t="str">
        <f>'DB Stopwatch'!O248</f>
        <v>Hasil kalibrasi Durasi Therapy tertelusur ke Satuan Internasional ( SI ) melalui PT KALIMAN</v>
      </c>
      <c r="C58" s="1115"/>
      <c r="D58" s="1115"/>
      <c r="E58" s="1115"/>
      <c r="F58" s="1115"/>
      <c r="G58" s="1115"/>
      <c r="H58" s="1115"/>
      <c r="I58" s="1115"/>
      <c r="J58" s="1115"/>
      <c r="K58" s="1115"/>
      <c r="L58" s="1115"/>
      <c r="M58" s="1115"/>
      <c r="N58" s="1115"/>
      <c r="O58" s="1115"/>
    </row>
    <row r="59" spans="1:15" ht="14.25" customHeight="1">
      <c r="A59" s="1115"/>
      <c r="B59" s="1144" t="s">
        <v>399</v>
      </c>
      <c r="C59" s="1115"/>
      <c r="D59" s="1115"/>
      <c r="E59" s="1115"/>
      <c r="F59" s="1115"/>
      <c r="G59" s="1115"/>
      <c r="H59" s="1115"/>
      <c r="I59" s="1115"/>
      <c r="J59" s="1115"/>
      <c r="K59" s="1115"/>
      <c r="L59" s="1115"/>
      <c r="M59" s="1115"/>
      <c r="N59" s="1115"/>
      <c r="O59" s="1115"/>
    </row>
    <row r="60" spans="1:15" ht="14.25" customHeight="1">
      <c r="A60" s="1115"/>
      <c r="B60" s="1151" t="str">
        <f>Penyelia!Y14</f>
        <v>Tidak terdapat grounding di ruangan</v>
      </c>
      <c r="C60" s="1115"/>
      <c r="D60" s="1115"/>
      <c r="E60" s="1115"/>
      <c r="F60" s="1115"/>
      <c r="G60" s="1115"/>
      <c r="H60" s="1115"/>
      <c r="I60" s="1115"/>
      <c r="J60" s="1115"/>
      <c r="K60" s="1115"/>
      <c r="L60" s="1115"/>
      <c r="M60" s="1115"/>
      <c r="N60" s="1115"/>
      <c r="O60" s="1115"/>
    </row>
    <row r="61" spans="1:15" ht="14.25" customHeight="1">
      <c r="A61" s="1115"/>
      <c r="B61" s="1144"/>
      <c r="C61" s="1115"/>
      <c r="D61" s="1115"/>
      <c r="E61" s="1115"/>
      <c r="F61" s="1115"/>
      <c r="G61" s="1115"/>
      <c r="H61" s="1115"/>
      <c r="I61" s="1115"/>
      <c r="J61" s="1115"/>
      <c r="K61" s="1115"/>
      <c r="L61" s="1115"/>
      <c r="M61" s="1115"/>
      <c r="N61" s="1115"/>
      <c r="O61" s="1115"/>
    </row>
    <row r="62" spans="1:15" ht="14.4">
      <c r="A62" s="1066" t="s">
        <v>69</v>
      </c>
      <c r="B62" s="1066" t="s">
        <v>70</v>
      </c>
      <c r="C62" s="1066"/>
      <c r="D62" s="1115"/>
      <c r="E62" s="1115"/>
      <c r="F62" s="1115"/>
      <c r="G62" s="1115"/>
      <c r="H62" s="1115"/>
      <c r="I62" s="1115"/>
      <c r="J62" s="1115"/>
      <c r="K62" s="1115"/>
      <c r="L62" s="1115"/>
      <c r="M62" s="1115"/>
      <c r="N62" s="1115"/>
      <c r="O62" s="1115"/>
    </row>
    <row r="63" spans="1:15" ht="14.25" customHeight="1">
      <c r="A63" s="1115"/>
      <c r="B63" s="1576" t="str">
        <f>B98</f>
        <v>Precision resistance Box, Merek : Time Electronics, Model : 1067, SN : 1968F15</v>
      </c>
      <c r="C63" s="1576"/>
      <c r="D63" s="1576"/>
      <c r="E63" s="1576"/>
      <c r="F63" s="1576"/>
      <c r="G63" s="1576"/>
      <c r="H63" s="1576"/>
      <c r="I63" s="1576"/>
      <c r="J63" s="1576"/>
      <c r="K63" s="1576"/>
      <c r="L63" s="1576"/>
      <c r="M63" s="1576"/>
      <c r="N63" s="1115"/>
      <c r="O63" s="1115"/>
    </row>
    <row r="64" spans="1:15" ht="14.25" customHeight="1">
      <c r="A64" s="1115"/>
      <c r="B64" s="1576" t="s">
        <v>249</v>
      </c>
      <c r="C64" s="1576"/>
      <c r="D64" s="1576"/>
      <c r="E64" s="1576"/>
      <c r="F64" s="1576"/>
      <c r="G64" s="1576"/>
      <c r="H64" s="1576"/>
      <c r="I64" s="1576"/>
      <c r="J64" s="1576"/>
      <c r="K64" s="1576"/>
      <c r="L64" s="1576"/>
      <c r="M64" s="1576"/>
      <c r="N64" s="1115"/>
      <c r="O64" s="1115"/>
    </row>
    <row r="65" spans="1:17" ht="14.4">
      <c r="A65" s="1115"/>
      <c r="B65" s="1576" t="s">
        <v>325</v>
      </c>
      <c r="C65" s="1576"/>
      <c r="D65" s="1576"/>
      <c r="E65" s="1576"/>
      <c r="F65" s="1576"/>
      <c r="G65" s="1576"/>
      <c r="H65" s="1576"/>
      <c r="I65" s="1576"/>
      <c r="J65" s="1576"/>
      <c r="K65" s="1576"/>
      <c r="L65" s="1576"/>
      <c r="M65" s="1576"/>
      <c r="N65" s="1115"/>
      <c r="O65" s="1115"/>
    </row>
    <row r="66" spans="1:17" ht="14.4">
      <c r="A66" s="1115"/>
      <c r="B66" s="1577" t="s">
        <v>313</v>
      </c>
      <c r="C66" s="1577"/>
      <c r="D66" s="1577"/>
      <c r="E66" s="1577"/>
      <c r="F66" s="1577"/>
      <c r="G66" s="1577"/>
      <c r="H66" s="1577"/>
      <c r="I66" s="1577"/>
      <c r="J66" s="1577"/>
      <c r="K66" s="1577"/>
      <c r="L66" s="1577"/>
      <c r="M66" s="1577"/>
      <c r="N66" s="1115"/>
      <c r="O66" s="1115"/>
    </row>
    <row r="67" spans="1:17" ht="14.4">
      <c r="A67" s="1115"/>
      <c r="B67" s="1576" t="s">
        <v>380</v>
      </c>
      <c r="C67" s="1576"/>
      <c r="D67" s="1576"/>
      <c r="E67" s="1576"/>
      <c r="F67" s="1576"/>
      <c r="G67" s="1576"/>
      <c r="H67" s="1576"/>
      <c r="I67" s="1576"/>
      <c r="J67" s="1576"/>
      <c r="K67" s="1576"/>
      <c r="L67" s="1576"/>
      <c r="M67" s="1576"/>
      <c r="N67" s="1115"/>
      <c r="O67" s="1115"/>
    </row>
    <row r="68" spans="1:17" ht="14.4">
      <c r="A68" s="1115"/>
      <c r="B68" s="1146"/>
      <c r="C68" s="1146"/>
      <c r="D68" s="1146"/>
      <c r="E68" s="1146"/>
      <c r="F68" s="1146"/>
      <c r="G68" s="1146"/>
      <c r="H68" s="1146"/>
      <c r="I68" s="1146"/>
      <c r="J68" s="1146"/>
      <c r="K68" s="1146"/>
      <c r="L68" s="1115"/>
      <c r="M68" s="1115"/>
      <c r="N68" s="1115"/>
      <c r="O68" s="1115"/>
    </row>
    <row r="69" spans="1:17" ht="14.4">
      <c r="A69" s="1066" t="s">
        <v>78</v>
      </c>
      <c r="B69" s="1078" t="s">
        <v>107</v>
      </c>
      <c r="C69" s="1115"/>
      <c r="D69" s="1115"/>
      <c r="E69" s="1115"/>
      <c r="F69" s="1115"/>
      <c r="G69" s="1115"/>
      <c r="H69" s="1115"/>
      <c r="I69" s="1115"/>
      <c r="J69" s="1115"/>
      <c r="K69" s="1115"/>
      <c r="L69" s="1115"/>
      <c r="M69" s="1115"/>
      <c r="N69" s="1115"/>
      <c r="O69" s="1115"/>
    </row>
    <row r="70" spans="1:17" ht="14.4">
      <c r="A70" s="1115"/>
      <c r="B70" s="1115" t="str">
        <f>LOOKUP(A2,P80:P81,Q80:Q81)</f>
        <v>Alat yang dikalibrasi dalam batas toleransi dan dinyatakan LAIK PAKAI</v>
      </c>
      <c r="C70" s="1115"/>
      <c r="D70" s="1115"/>
      <c r="E70" s="1115"/>
      <c r="F70" s="1061"/>
      <c r="G70" s="1061"/>
      <c r="H70" s="1061"/>
      <c r="I70" s="1061"/>
      <c r="J70" s="1061"/>
      <c r="K70" s="1061"/>
      <c r="L70" s="1061"/>
      <c r="M70" s="1061"/>
      <c r="N70" s="1061"/>
      <c r="O70" s="1061"/>
    </row>
    <row r="71" spans="1:17" ht="14.4">
      <c r="A71" s="1115"/>
      <c r="B71" s="1115"/>
      <c r="C71" s="1115" t="s">
        <v>108</v>
      </c>
      <c r="D71" s="1115"/>
      <c r="E71" s="1115"/>
      <c r="F71" s="1115"/>
      <c r="G71" s="1115"/>
      <c r="H71" s="1115"/>
      <c r="I71" s="1115"/>
      <c r="J71" s="1115"/>
      <c r="K71" s="1115"/>
      <c r="L71" s="1115"/>
      <c r="M71" s="1115"/>
      <c r="N71" s="1115"/>
      <c r="O71" s="1115"/>
    </row>
    <row r="72" spans="1:17" ht="14.4">
      <c r="A72" s="1066" t="s">
        <v>109</v>
      </c>
      <c r="B72" s="1066" t="s">
        <v>79</v>
      </c>
      <c r="C72" s="1115"/>
      <c r="D72" s="1115"/>
      <c r="E72" s="1115"/>
      <c r="F72" s="1115"/>
      <c r="G72" s="1115"/>
      <c r="H72" s="1115"/>
      <c r="I72" s="1115"/>
      <c r="J72" s="1115"/>
      <c r="K72" s="1115"/>
      <c r="L72" s="1115"/>
      <c r="M72" s="1115"/>
      <c r="N72" s="1115"/>
      <c r="O72" s="1115"/>
    </row>
    <row r="73" spans="1:17" ht="14.4">
      <c r="A73" s="1115"/>
      <c r="B73" s="1578" t="s">
        <v>422</v>
      </c>
      <c r="C73" s="1578"/>
      <c r="D73" s="1578"/>
      <c r="E73" s="1578"/>
      <c r="F73" s="1115"/>
      <c r="G73" s="1115"/>
      <c r="H73" s="1115"/>
      <c r="I73" s="1115"/>
      <c r="J73" s="1115"/>
      <c r="K73" s="1115"/>
      <c r="L73" s="1115"/>
      <c r="M73" s="1115"/>
      <c r="N73" s="1115"/>
      <c r="O73" s="1115"/>
    </row>
    <row r="74" spans="1:17" ht="12.75" customHeight="1">
      <c r="A74" s="1115"/>
      <c r="B74" s="1115"/>
      <c r="C74" s="1115"/>
      <c r="D74" s="1115"/>
      <c r="E74" s="1115"/>
      <c r="F74" s="1115"/>
      <c r="G74" s="1115"/>
      <c r="H74" s="1115"/>
      <c r="I74" s="1115"/>
      <c r="J74" s="1115"/>
      <c r="K74" s="1115"/>
      <c r="L74" s="1115"/>
      <c r="M74" s="1115"/>
      <c r="N74" s="1115"/>
      <c r="O74" s="1115"/>
    </row>
    <row r="75" spans="1:17" ht="12.75" customHeight="1">
      <c r="A75" s="1078" t="s">
        <v>111</v>
      </c>
      <c r="B75" s="1078" t="s">
        <v>112</v>
      </c>
      <c r="C75" s="1117"/>
      <c r="D75" s="1117"/>
      <c r="E75" s="1115"/>
      <c r="F75" s="1115"/>
      <c r="G75" s="1115"/>
      <c r="H75" s="1115"/>
      <c r="I75" s="1115"/>
      <c r="J75" s="1115"/>
      <c r="K75" s="1115"/>
      <c r="L75" s="1115"/>
      <c r="M75" s="1115"/>
      <c r="N75" s="1115"/>
      <c r="O75" s="1115"/>
    </row>
    <row r="76" spans="1:17" ht="14.4">
      <c r="A76" s="1117"/>
      <c r="B76" s="1147" t="s">
        <v>113</v>
      </c>
      <c r="C76" s="1117"/>
      <c r="D76" s="1117"/>
      <c r="E76" s="1115"/>
      <c r="F76" s="1115"/>
      <c r="G76" s="1115"/>
      <c r="H76" s="1115"/>
      <c r="I76" s="1115"/>
      <c r="J76" s="1115"/>
      <c r="K76" s="1115"/>
      <c r="L76" s="1115"/>
      <c r="M76" s="1115"/>
      <c r="N76" s="1115"/>
      <c r="O76" s="1115"/>
    </row>
    <row r="77" spans="1:17" ht="14.4">
      <c r="A77" s="1115"/>
      <c r="B77" s="1115"/>
      <c r="C77" s="1115"/>
      <c r="D77" s="1115"/>
      <c r="E77" s="1115"/>
      <c r="F77" s="1115"/>
      <c r="G77" s="1115"/>
      <c r="H77" s="1115"/>
      <c r="I77" s="1115"/>
      <c r="J77" s="1115"/>
      <c r="K77" s="1115"/>
      <c r="L77" s="1115"/>
      <c r="M77" s="1115"/>
      <c r="N77" s="1115"/>
      <c r="O77" s="1115"/>
    </row>
    <row r="79" spans="1:17" ht="13.5" customHeight="1"/>
    <row r="80" spans="1:17" ht="15.6">
      <c r="L80" s="1080"/>
      <c r="M80" s="1081"/>
      <c r="P80" s="1082" t="s">
        <v>82</v>
      </c>
      <c r="Q80" s="1148" t="s">
        <v>114</v>
      </c>
    </row>
    <row r="81" spans="1:21" ht="15.6">
      <c r="L81" s="1083"/>
      <c r="M81" s="1081"/>
      <c r="P81" s="1084" t="s">
        <v>115</v>
      </c>
      <c r="Q81" s="1149" t="s">
        <v>116</v>
      </c>
    </row>
    <row r="83" spans="1:21" ht="14.4">
      <c r="P83" s="1118"/>
      <c r="U83" s="1085" t="s">
        <v>117</v>
      </c>
    </row>
    <row r="84" spans="1:21" ht="14.4">
      <c r="P84" s="1118"/>
      <c r="U84" s="1085" t="s">
        <v>420</v>
      </c>
    </row>
    <row r="85" spans="1:21" ht="14.4">
      <c r="P85" s="1118"/>
      <c r="U85" s="1085" t="s">
        <v>118</v>
      </c>
    </row>
    <row r="86" spans="1:21" ht="14.4">
      <c r="P86" s="1118"/>
      <c r="U86" s="1085" t="s">
        <v>119</v>
      </c>
    </row>
    <row r="87" spans="1:21" ht="14.4">
      <c r="P87" s="1118"/>
      <c r="U87" s="1085" t="s">
        <v>421</v>
      </c>
    </row>
    <row r="88" spans="1:21" ht="14.4">
      <c r="P88" s="1118"/>
      <c r="U88" s="1085" t="s">
        <v>120</v>
      </c>
    </row>
    <row r="89" spans="1:21" ht="14.4">
      <c r="P89" s="1118"/>
      <c r="U89" s="1085" t="s">
        <v>110</v>
      </c>
    </row>
    <row r="90" spans="1:21" ht="12.75" customHeight="1">
      <c r="P90" s="1118"/>
      <c r="U90" s="1085" t="s">
        <v>422</v>
      </c>
    </row>
    <row r="91" spans="1:21" ht="12.75" customHeight="1">
      <c r="P91" s="1118"/>
      <c r="U91" s="1085" t="s">
        <v>121</v>
      </c>
    </row>
    <row r="92" spans="1:21" ht="12.75" customHeight="1">
      <c r="U92" s="1085" t="s">
        <v>423</v>
      </c>
    </row>
    <row r="93" spans="1:21" ht="12.75" customHeight="1">
      <c r="A93" s="1063">
        <v>9</v>
      </c>
      <c r="U93" s="1085" t="s">
        <v>424</v>
      </c>
    </row>
    <row r="94" spans="1:21" ht="12.75" customHeight="1">
      <c r="U94" s="1085" t="s">
        <v>425</v>
      </c>
    </row>
    <row r="95" spans="1:21" ht="11.4">
      <c r="A95" s="1579"/>
      <c r="B95" s="1579"/>
      <c r="C95" s="1579"/>
      <c r="D95" s="1579"/>
      <c r="E95" s="1579"/>
      <c r="F95" s="1579"/>
      <c r="G95" s="1579"/>
      <c r="H95" s="1579"/>
      <c r="I95" s="1579"/>
      <c r="J95" s="1579"/>
      <c r="K95" s="1579"/>
      <c r="L95" s="1579"/>
      <c r="M95" s="1579"/>
      <c r="N95" s="1579"/>
      <c r="O95" s="1579"/>
      <c r="U95" s="1085" t="s">
        <v>426</v>
      </c>
    </row>
    <row r="96" spans="1:21" ht="11.25" customHeight="1">
      <c r="A96" s="1575"/>
      <c r="B96" s="1575"/>
      <c r="C96" s="1575"/>
      <c r="D96" s="1575"/>
      <c r="E96" s="1575"/>
      <c r="F96" s="1575"/>
      <c r="G96" s="1575"/>
      <c r="H96" s="1575"/>
      <c r="I96" s="1575"/>
      <c r="J96" s="1575"/>
      <c r="K96" s="1575"/>
      <c r="L96" s="1575"/>
      <c r="M96" s="1575"/>
      <c r="N96" s="1575"/>
      <c r="O96" s="1575"/>
      <c r="U96" s="1085" t="s">
        <v>427</v>
      </c>
    </row>
    <row r="97" spans="1:26" ht="12" hidden="1" customHeight="1">
      <c r="A97" s="1575" t="s">
        <v>122</v>
      </c>
      <c r="B97" s="1575"/>
      <c r="C97" s="1575"/>
      <c r="D97" s="1575"/>
      <c r="E97" s="1575"/>
      <c r="F97" s="1575"/>
      <c r="G97" s="1575"/>
      <c r="H97" s="1575"/>
      <c r="I97" s="1575"/>
      <c r="J97" s="1575"/>
      <c r="K97" s="1575"/>
      <c r="L97" s="1575"/>
      <c r="M97" s="1575"/>
      <c r="N97" s="1575"/>
      <c r="O97" s="1575"/>
      <c r="T97" s="1086"/>
      <c r="U97" s="1085" t="s">
        <v>428</v>
      </c>
    </row>
    <row r="98" spans="1:26" ht="14.4">
      <c r="B98" s="1117" t="s">
        <v>467</v>
      </c>
      <c r="O98" s="1066" t="s">
        <v>96</v>
      </c>
      <c r="T98" s="1087"/>
      <c r="U98" s="1085" t="s">
        <v>429</v>
      </c>
    </row>
    <row r="99" spans="1:26" ht="14.4">
      <c r="B99" s="1117"/>
      <c r="O99" s="1066" t="s">
        <v>100</v>
      </c>
      <c r="T99" s="1087"/>
      <c r="U99" s="1085" t="s">
        <v>430</v>
      </c>
    </row>
    <row r="100" spans="1:26" s="1086" customFormat="1" ht="15" customHeight="1">
      <c r="A100" s="1063"/>
      <c r="B100" s="1149"/>
      <c r="C100" s="1088"/>
      <c r="D100" s="1088"/>
      <c r="E100" s="1088"/>
      <c r="F100" s="1088"/>
      <c r="G100" s="1088"/>
      <c r="H100" s="1088"/>
      <c r="I100" s="1088"/>
      <c r="J100" s="1088"/>
      <c r="K100" s="1088"/>
      <c r="L100" s="1088"/>
      <c r="M100" s="1063"/>
      <c r="N100" s="1063"/>
      <c r="O100" s="1066" t="s">
        <v>123</v>
      </c>
      <c r="U100" s="1085" t="s">
        <v>431</v>
      </c>
    </row>
    <row r="101" spans="1:26" s="1086" customFormat="1" ht="14.4">
      <c r="A101" s="1063"/>
      <c r="B101" s="1149"/>
      <c r="C101" s="1088"/>
      <c r="D101" s="1088"/>
      <c r="E101" s="1088"/>
      <c r="F101" s="1088"/>
      <c r="G101" s="1088"/>
      <c r="H101" s="1088"/>
      <c r="I101" s="1088"/>
      <c r="J101" s="1088"/>
      <c r="K101" s="1088"/>
      <c r="L101" s="1088"/>
      <c r="M101" s="1063"/>
      <c r="N101" s="1063"/>
      <c r="O101" s="1066" t="s">
        <v>124</v>
      </c>
      <c r="Q101" s="1089"/>
      <c r="R101" s="1087"/>
      <c r="S101" s="1087"/>
      <c r="T101" s="1061"/>
      <c r="U101" s="1085" t="s">
        <v>432</v>
      </c>
      <c r="V101" s="1087"/>
      <c r="W101" s="1061"/>
      <c r="X101" s="1061"/>
      <c r="Y101" s="1061"/>
      <c r="Z101" s="1061"/>
    </row>
    <row r="102" spans="1:26" s="1086" customFormat="1" ht="14.4">
      <c r="A102" s="1063"/>
      <c r="B102" s="1149"/>
      <c r="C102" s="1088"/>
      <c r="D102" s="1088"/>
      <c r="E102" s="1088"/>
      <c r="F102" s="1088"/>
      <c r="G102" s="1088"/>
      <c r="H102" s="1088"/>
      <c r="I102" s="1088"/>
      <c r="J102" s="1088"/>
      <c r="K102" s="1088"/>
      <c r="L102" s="1088"/>
      <c r="M102" s="1063"/>
      <c r="N102" s="1063"/>
      <c r="O102" s="1066" t="s">
        <v>125</v>
      </c>
      <c r="Q102" s="1087"/>
      <c r="R102" s="1087"/>
      <c r="S102" s="1087"/>
      <c r="T102" s="1061"/>
      <c r="U102" s="1085" t="s">
        <v>433</v>
      </c>
      <c r="V102" s="1087"/>
      <c r="W102" s="1061"/>
      <c r="X102" s="1061"/>
      <c r="Y102" s="1061"/>
      <c r="Z102" s="1061"/>
    </row>
    <row r="103" spans="1:26" ht="14.4">
      <c r="B103" s="1149"/>
      <c r="Q103" s="1086"/>
      <c r="R103" s="1086"/>
      <c r="S103" s="1086"/>
      <c r="U103" s="1085" t="s">
        <v>434</v>
      </c>
      <c r="V103" s="1086"/>
    </row>
    <row r="104" spans="1:26" ht="14.4">
      <c r="B104" s="1149"/>
    </row>
    <row r="105" spans="1:26" ht="14.4">
      <c r="B105" s="1149"/>
    </row>
    <row r="106" spans="1:26">
      <c r="B106" s="1061"/>
    </row>
    <row r="107" spans="1:26">
      <c r="B107" s="1061"/>
    </row>
    <row r="108" spans="1:26">
      <c r="B108" s="1061"/>
    </row>
    <row r="110" spans="1:26" ht="14.4">
      <c r="B110" s="1115" t="s">
        <v>266</v>
      </c>
    </row>
    <row r="111" spans="1:26" ht="14.4">
      <c r="B111" s="1115" t="s">
        <v>267</v>
      </c>
    </row>
    <row r="112" spans="1:26" ht="14.4">
      <c r="B112" s="1115" t="s">
        <v>268</v>
      </c>
    </row>
    <row r="114" spans="2:2" ht="14.4">
      <c r="B114" s="1150" t="s">
        <v>105</v>
      </c>
    </row>
    <row r="115" spans="2:2" ht="14.4">
      <c r="B115" s="1150" t="s">
        <v>126</v>
      </c>
    </row>
    <row r="116" spans="2:2" ht="14.4">
      <c r="B116" s="1150" t="s">
        <v>127</v>
      </c>
    </row>
    <row r="118" spans="2:2" ht="14.4">
      <c r="B118" s="1117" t="s">
        <v>128</v>
      </c>
    </row>
    <row r="119" spans="2:2" ht="14.4">
      <c r="B119" s="1117" t="s">
        <v>106</v>
      </c>
    </row>
    <row r="120" spans="2:2" ht="14.4">
      <c r="B120" s="1117" t="s">
        <v>129</v>
      </c>
    </row>
    <row r="121" spans="2:2" ht="14.4">
      <c r="B121" s="1117" t="s">
        <v>130</v>
      </c>
    </row>
    <row r="122" spans="2:2" ht="14.4">
      <c r="B122" s="1117" t="s">
        <v>131</v>
      </c>
    </row>
    <row r="123" spans="2:2" ht="14.4">
      <c r="B123" s="1117" t="s">
        <v>132</v>
      </c>
    </row>
    <row r="124" spans="2:2" ht="14.4">
      <c r="B124" s="1118" t="s">
        <v>133</v>
      </c>
    </row>
    <row r="125" spans="2:2" ht="14.4">
      <c r="B125" s="1118" t="s">
        <v>134</v>
      </c>
    </row>
    <row r="126" spans="2:2" ht="14.4">
      <c r="B126" s="1118" t="s">
        <v>135</v>
      </c>
    </row>
  </sheetData>
  <mergeCells count="49">
    <mergeCell ref="A1:O1"/>
    <mergeCell ref="A2:H2"/>
    <mergeCell ref="K40:K41"/>
    <mergeCell ref="A30:A31"/>
    <mergeCell ref="B30:B31"/>
    <mergeCell ref="D30:I30"/>
    <mergeCell ref="K30:K31"/>
    <mergeCell ref="B39:L39"/>
    <mergeCell ref="B32:B36"/>
    <mergeCell ref="C30:C31"/>
    <mergeCell ref="J30:J31"/>
    <mergeCell ref="L40:L41"/>
    <mergeCell ref="A97:O97"/>
    <mergeCell ref="B63:M63"/>
    <mergeCell ref="B64:M64"/>
    <mergeCell ref="B65:M65"/>
    <mergeCell ref="B66:M66"/>
    <mergeCell ref="B67:M67"/>
    <mergeCell ref="B73:E73"/>
    <mergeCell ref="A95:O95"/>
    <mergeCell ref="A96:O96"/>
    <mergeCell ref="D52:E52"/>
    <mergeCell ref="F52:G52"/>
    <mergeCell ref="H52:I52"/>
    <mergeCell ref="B50:B51"/>
    <mergeCell ref="A40:A41"/>
    <mergeCell ref="B40:B41"/>
    <mergeCell ref="D40:I40"/>
    <mergeCell ref="C40:C41"/>
    <mergeCell ref="D50:I50"/>
    <mergeCell ref="D51:E51"/>
    <mergeCell ref="F51:G51"/>
    <mergeCell ref="A50:A51"/>
    <mergeCell ref="J40:J41"/>
    <mergeCell ref="H51:I51"/>
    <mergeCell ref="B42:B46"/>
    <mergeCell ref="Q23:R24"/>
    <mergeCell ref="S23:S24"/>
    <mergeCell ref="L30:L31"/>
    <mergeCell ref="C50:C51"/>
    <mergeCell ref="M23:N23"/>
    <mergeCell ref="B23:J23"/>
    <mergeCell ref="B29:L29"/>
    <mergeCell ref="K23:L23"/>
    <mergeCell ref="B25:J25"/>
    <mergeCell ref="B26:J26"/>
    <mergeCell ref="K50:K51"/>
    <mergeCell ref="L50:L51"/>
    <mergeCell ref="J50:J51"/>
  </mergeCells>
  <dataValidations count="7">
    <dataValidation type="list" allowBlank="1" showInputMessage="1" showErrorMessage="1" sqref="B39:L39 B29:L29" xr:uid="{00000000-0002-0000-0100-000002000000}">
      <formula1>$O$98:$O$102</formula1>
    </dataValidation>
    <dataValidation type="list" allowBlank="1" showInputMessage="1" showErrorMessage="1" sqref="B68:K68" xr:uid="{00000000-0002-0000-0100-000003000000}">
      <formula1>$B$118:$B$123</formula1>
    </dataValidation>
    <dataValidation allowBlank="1" showInputMessage="1" sqref="A2 I2:O2" xr:uid="{00000000-0002-0000-0100-000004000000}"/>
    <dataValidation type="list" allowBlank="1" showInputMessage="1" showErrorMessage="1" sqref="B73:E73" xr:uid="{00000000-0002-0000-0100-000008000000}">
      <formula1>$U$83:$U$103</formula1>
    </dataValidation>
    <dataValidation type="list" allowBlank="1" showInputMessage="1" showErrorMessage="1" sqref="E19:E20" xr:uid="{9B354E15-8861-416A-818B-6745029971F6}">
      <formula1>$Q$19:$Q$20</formula1>
    </dataValidation>
    <dataValidation type="list" allowBlank="1" showInputMessage="1" showErrorMessage="1" sqref="B25" xr:uid="{9A74D3E6-03B0-4B09-9331-1AF0B1512EBB}">
      <formula1>$Q$35:$Q$36</formula1>
    </dataValidation>
    <dataValidation type="list" allowBlank="1" showInputMessage="1" showErrorMessage="1" sqref="B26" xr:uid="{ECFD63AA-FFB4-45DE-9C20-0D5FE09C4389}">
      <formula1>$Q$37:$Q$38</formula1>
    </dataValidation>
  </dataValidations>
  <printOptions horizontalCentered="1"/>
  <pageMargins left="0.11811023622047245" right="0.11811023622047245" top="0.35433070866141736" bottom="0.35433070866141736" header="0" footer="0.74803149606299213"/>
  <pageSetup paperSize="9" scale="64" orientation="portrait" horizontalDpi="4294967294" verticalDpi="4294967294" r:id="rId1"/>
  <headerFooter>
    <oddHeader>&amp;R&amp;"Times New Roman,Regular"&amp;9KL.ID - 12 / REV : 0</oddHead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1000000}">
          <x14:formula1>
            <xm:f>ESA!$A$167:$A$178</xm:f>
          </x14:formula1>
          <xm:sqref>B64:M64</xm:sqref>
        </x14:dataValidation>
        <x14:dataValidation type="list" allowBlank="1" showInputMessage="1" showErrorMessage="1" xr:uid="{EBC15C78-7F69-4F0C-97C1-308F447C4DBA}">
          <x14:formula1>
            <xm:f>'DB Stopwatch'!$A$231:$A$247</xm:f>
          </x14:formula1>
          <xm:sqref>B66:M66</xm:sqref>
        </x14:dataValidation>
        <x14:dataValidation type="list" allowBlank="1" showInputMessage="1" showErrorMessage="1" xr:uid="{07DB78E5-5068-4D52-95FE-80D6F22CD3BB}">
          <x14:formula1>
            <xm:f>SCOPE!$L$162:$L$173</xm:f>
          </x14:formula1>
          <xm:sqref>B65:M65</xm:sqref>
        </x14:dataValidation>
        <x14:dataValidation type="list" allowBlank="1" showInputMessage="1" showErrorMessage="1" xr:uid="{BEEEE0CE-D7F6-45B2-8CF5-971CE8FF8B8F}">
          <x14:formula1>
            <xm:f>'DB Thermohygro '!$A$357:$A$374</xm:f>
          </x14:formula1>
          <xm:sqref>B67:M67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W219"/>
  <sheetViews>
    <sheetView view="pageBreakPreview" zoomScale="41" zoomScaleNormal="40" zoomScaleSheetLayoutView="41" workbookViewId="0">
      <selection activeCell="X175" sqref="X175"/>
    </sheetView>
  </sheetViews>
  <sheetFormatPr defaultRowHeight="13.2"/>
  <cols>
    <col min="1" max="1" width="24.5546875" customWidth="1"/>
    <col min="4" max="5" width="9.77734375" bestFit="1" customWidth="1"/>
    <col min="6" max="6" width="12" customWidth="1"/>
    <col min="7" max="7" width="12.77734375" customWidth="1"/>
    <col min="8" max="8" width="14.21875" customWidth="1"/>
    <col min="9" max="9" width="7.44140625" bestFit="1" customWidth="1"/>
    <col min="10" max="10" width="9.77734375" customWidth="1"/>
    <col min="11" max="11" width="11" bestFit="1" customWidth="1"/>
    <col min="12" max="12" width="3.21875" customWidth="1"/>
    <col min="13" max="13" width="23.77734375" customWidth="1"/>
    <col min="14" max="14" width="7.44140625" customWidth="1"/>
    <col min="15" max="15" width="10" customWidth="1"/>
    <col min="16" max="16" width="8.44140625" customWidth="1"/>
    <col min="17" max="17" width="10.77734375" customWidth="1"/>
    <col min="18" max="18" width="10.44140625" customWidth="1"/>
    <col min="19" max="19" width="9.5546875" customWidth="1"/>
    <col min="20" max="20" width="9.77734375" customWidth="1"/>
    <col min="21" max="21" width="8.77734375" customWidth="1"/>
    <col min="22" max="23" width="11.21875" customWidth="1"/>
    <col min="24" max="24" width="9.77734375" customWidth="1"/>
    <col min="25" max="25" width="7.44140625" customWidth="1"/>
  </cols>
  <sheetData>
    <row r="1" spans="1:37" ht="13.8" thickBot="1">
      <c r="W1" s="105" t="s">
        <v>136</v>
      </c>
      <c r="AK1" s="97"/>
    </row>
    <row r="2" spans="1:37" ht="15.6">
      <c r="A2" s="1628" t="s">
        <v>137</v>
      </c>
      <c r="B2" s="1629"/>
      <c r="C2" s="1629"/>
      <c r="D2" s="1629"/>
      <c r="E2" s="1629"/>
      <c r="F2" s="1629"/>
      <c r="G2" s="1629"/>
      <c r="H2" s="1629"/>
      <c r="I2" s="1629"/>
      <c r="J2" s="1629"/>
      <c r="K2" s="1629"/>
      <c r="L2" s="1629"/>
      <c r="M2" s="1629"/>
      <c r="N2" s="1629"/>
      <c r="O2" s="1629"/>
      <c r="P2" s="1629"/>
      <c r="Q2" s="1629"/>
      <c r="R2" s="1629"/>
      <c r="S2" s="1629"/>
      <c r="T2" s="1629"/>
      <c r="U2" s="1629"/>
      <c r="V2" s="1629"/>
      <c r="W2" s="1630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</row>
    <row r="3" spans="1:37" ht="15.6">
      <c r="A3" s="163"/>
      <c r="B3" s="164"/>
      <c r="C3" s="164"/>
      <c r="D3" s="164"/>
      <c r="E3" s="1642" t="str">
        <f>IF(ID!$B$29=ID!$O$98,"Channel 1",IF(ID!$B$29=ID!$O$99,"Channel 2",IF(ID!$B$29=ID!$O$100,"Channel 3",IF(ID!$B$29=ID!$O$101,"Channel 4",IF(ID!$B$29=ID!$O$102,"Channel 5",FALSE)))))</f>
        <v>Channel 1</v>
      </c>
      <c r="F3" s="1642"/>
      <c r="G3" s="164"/>
      <c r="H3" s="164"/>
      <c r="I3" s="164"/>
      <c r="J3" s="164"/>
      <c r="K3" t="s">
        <v>138</v>
      </c>
      <c r="L3" s="266" t="s">
        <v>139</v>
      </c>
      <c r="M3" s="267">
        <f>(500+P178)*1000</f>
        <v>499998</v>
      </c>
      <c r="N3" s="164"/>
      <c r="O3" s="164"/>
      <c r="P3" s="164"/>
      <c r="Q3" s="1642" t="str">
        <f>IF(ID!$B$39=ID!$O$98,"Channel 1",IF(ID!$B$39=ID!$O$99,"Channel 2",IF(ID!$B$39=ID!$O$100,"Channel 3",IF(ID!$B$39=ID!$O$101,"Channel 4",IF(ID!$B$39=ID!$O$102,"Channel 5",FALSE)))))</f>
        <v>Channel 2</v>
      </c>
      <c r="R3" s="1642"/>
      <c r="S3" s="164"/>
      <c r="T3" s="164"/>
      <c r="U3" s="164"/>
      <c r="V3" s="164"/>
      <c r="W3" s="164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</row>
    <row r="4" spans="1:37">
      <c r="A4" s="10" t="s">
        <v>56</v>
      </c>
      <c r="B4" s="95">
        <f>ID!C32</f>
        <v>10</v>
      </c>
      <c r="C4" t="s">
        <v>140</v>
      </c>
      <c r="D4" s="266" t="s">
        <v>139</v>
      </c>
      <c r="E4" s="265">
        <f>AVERAGE(ID!D32:I32)*1000</f>
        <v>5000</v>
      </c>
      <c r="M4" t="s">
        <v>56</v>
      </c>
      <c r="N4" s="95">
        <f>ID!C42</f>
        <v>10</v>
      </c>
      <c r="O4" t="s">
        <v>140</v>
      </c>
      <c r="P4" t="s">
        <v>139</v>
      </c>
      <c r="Q4">
        <f>AVERAGE(ID!D42:I42)*1000</f>
        <v>5000</v>
      </c>
    </row>
    <row r="5" spans="1:37" ht="15.6">
      <c r="A5" s="71" t="s">
        <v>141</v>
      </c>
      <c r="B5" s="68" t="s">
        <v>142</v>
      </c>
      <c r="C5" s="69" t="s">
        <v>143</v>
      </c>
      <c r="D5" s="68" t="s">
        <v>144</v>
      </c>
      <c r="E5" s="70" t="s">
        <v>145</v>
      </c>
      <c r="F5" s="68" t="s">
        <v>146</v>
      </c>
      <c r="G5" s="69" t="s">
        <v>147</v>
      </c>
      <c r="H5" s="68" t="s">
        <v>148</v>
      </c>
      <c r="I5" s="69" t="s">
        <v>149</v>
      </c>
      <c r="J5" s="68" t="s">
        <v>150</v>
      </c>
      <c r="K5" s="84" t="s">
        <v>151</v>
      </c>
      <c r="L5" s="21"/>
      <c r="M5" s="71" t="s">
        <v>141</v>
      </c>
      <c r="N5" s="68" t="s">
        <v>142</v>
      </c>
      <c r="O5" s="69" t="s">
        <v>143</v>
      </c>
      <c r="P5" s="68" t="s">
        <v>144</v>
      </c>
      <c r="Q5" s="70" t="s">
        <v>145</v>
      </c>
      <c r="R5" s="68" t="s">
        <v>146</v>
      </c>
      <c r="S5" s="69" t="s">
        <v>147</v>
      </c>
      <c r="T5" s="68" t="s">
        <v>148</v>
      </c>
      <c r="U5" s="69" t="s">
        <v>149</v>
      </c>
      <c r="V5" s="68" t="s">
        <v>150</v>
      </c>
      <c r="W5" s="84" t="s">
        <v>151</v>
      </c>
      <c r="X5" s="21"/>
      <c r="AA5" s="94"/>
      <c r="AF5" s="86"/>
    </row>
    <row r="6" spans="1:37">
      <c r="A6" s="20" t="s">
        <v>152</v>
      </c>
      <c r="B6" s="49" t="s">
        <v>140</v>
      </c>
      <c r="C6" s="19" t="s">
        <v>153</v>
      </c>
      <c r="D6" s="65">
        <f>ID!L32*1000</f>
        <v>0.01</v>
      </c>
      <c r="E6" s="62">
        <f>SQRT(6)</f>
        <v>2.4494897427831779</v>
      </c>
      <c r="F6" s="49">
        <v>5</v>
      </c>
      <c r="G6" s="47">
        <f t="shared" ref="G6:G11" si="0">D6/E6</f>
        <v>4.0824829046386306E-3</v>
      </c>
      <c r="H6" s="64">
        <f>1/$M$3</f>
        <v>2.0000080000320002E-6</v>
      </c>
      <c r="I6" s="47">
        <f t="shared" ref="I6:I11" si="1">G6*H6</f>
        <v>8.1649984692711387E-9</v>
      </c>
      <c r="J6" s="44">
        <f t="shared" ref="J6:J11" si="2">I6^2</f>
        <v>6.6667200003200044E-17</v>
      </c>
      <c r="K6" s="63">
        <f t="shared" ref="K6:K11" si="3">I6^4/F6</f>
        <v>8.8890311125333527E-34</v>
      </c>
      <c r="L6" s="43"/>
      <c r="M6" s="20" t="s">
        <v>152</v>
      </c>
      <c r="N6" s="49" t="s">
        <v>140</v>
      </c>
      <c r="O6" s="19" t="s">
        <v>153</v>
      </c>
      <c r="P6" s="65">
        <f>ID!L42*1000</f>
        <v>0.01</v>
      </c>
      <c r="Q6" s="62">
        <f>SQRT(6)</f>
        <v>2.4494897427831779</v>
      </c>
      <c r="R6" s="49">
        <v>5</v>
      </c>
      <c r="S6" s="47">
        <f t="shared" ref="S6:S11" si="4">P6/Q6</f>
        <v>4.0824829046386306E-3</v>
      </c>
      <c r="T6" s="64">
        <f>1/$M$3</f>
        <v>2.0000080000320002E-6</v>
      </c>
      <c r="U6" s="47">
        <f t="shared" ref="U6:U11" si="5">S6*T6</f>
        <v>8.1649984692711387E-9</v>
      </c>
      <c r="V6" s="44">
        <f t="shared" ref="V6:V11" si="6">U6^2</f>
        <v>6.6667200003200044E-17</v>
      </c>
      <c r="W6" s="63">
        <f t="shared" ref="W6:W11" si="7">U6^4/R6</f>
        <v>8.8890311125333527E-34</v>
      </c>
      <c r="X6" s="43"/>
      <c r="AF6" s="81"/>
    </row>
    <row r="7" spans="1:37">
      <c r="A7" s="61" t="s">
        <v>154</v>
      </c>
      <c r="B7" s="49" t="s">
        <v>155</v>
      </c>
      <c r="C7" s="57" t="s">
        <v>156</v>
      </c>
      <c r="D7" s="49">
        <f>0.5*0.1</f>
        <v>0.05</v>
      </c>
      <c r="E7" s="60">
        <f>SQRT(3)</f>
        <v>1.7320508075688772</v>
      </c>
      <c r="F7" s="54">
        <v>50</v>
      </c>
      <c r="G7" s="53">
        <f t="shared" si="0"/>
        <v>2.8867513459481291E-2</v>
      </c>
      <c r="H7" s="49">
        <v>1</v>
      </c>
      <c r="I7" s="53">
        <f t="shared" si="1"/>
        <v>2.8867513459481291E-2</v>
      </c>
      <c r="J7" s="48">
        <f t="shared" si="2"/>
        <v>8.333333333333335E-4</v>
      </c>
      <c r="K7" s="59">
        <f t="shared" si="3"/>
        <v>1.3888888888888894E-8</v>
      </c>
      <c r="L7" s="43"/>
      <c r="M7" s="61" t="s">
        <v>154</v>
      </c>
      <c r="N7" s="49" t="s">
        <v>155</v>
      </c>
      <c r="O7" s="57" t="s">
        <v>156</v>
      </c>
      <c r="P7" s="49">
        <f>0.5*0.1</f>
        <v>0.05</v>
      </c>
      <c r="Q7" s="60">
        <f>SQRT(3)</f>
        <v>1.7320508075688772</v>
      </c>
      <c r="R7" s="54">
        <v>50</v>
      </c>
      <c r="S7" s="53">
        <f t="shared" si="4"/>
        <v>2.8867513459481291E-2</v>
      </c>
      <c r="T7" s="49">
        <v>1</v>
      </c>
      <c r="U7" s="53">
        <f t="shared" si="5"/>
        <v>2.8867513459481291E-2</v>
      </c>
      <c r="V7" s="48">
        <f t="shared" si="6"/>
        <v>8.333333333333335E-4</v>
      </c>
      <c r="W7" s="59">
        <f t="shared" si="7"/>
        <v>1.3888888888888894E-8</v>
      </c>
      <c r="X7" s="43"/>
      <c r="AF7" s="82"/>
    </row>
    <row r="8" spans="1:37" ht="13.8">
      <c r="A8" s="58" t="s">
        <v>157</v>
      </c>
      <c r="B8" s="102" t="s">
        <v>138</v>
      </c>
      <c r="C8" s="57" t="s">
        <v>153</v>
      </c>
      <c r="D8" s="56">
        <f>$R$178*1000</f>
        <v>12</v>
      </c>
      <c r="E8" s="55">
        <v>2</v>
      </c>
      <c r="F8" s="54">
        <v>50</v>
      </c>
      <c r="G8" s="53">
        <f t="shared" si="0"/>
        <v>6</v>
      </c>
      <c r="H8" s="49">
        <f>E4/($M$3^2)</f>
        <v>2.0000160000960004E-8</v>
      </c>
      <c r="I8" s="53">
        <f t="shared" si="1"/>
        <v>1.2000096000576004E-7</v>
      </c>
      <c r="J8" s="48">
        <f t="shared" si="2"/>
        <v>1.440023040230402E-14</v>
      </c>
      <c r="K8" s="48">
        <f t="shared" si="3"/>
        <v>4.1473327127888202E-30</v>
      </c>
      <c r="L8" s="43"/>
      <c r="M8" s="58" t="s">
        <v>157</v>
      </c>
      <c r="N8" s="102" t="s">
        <v>138</v>
      </c>
      <c r="O8" s="57" t="s">
        <v>153</v>
      </c>
      <c r="P8" s="56">
        <f>$R$178*1000</f>
        <v>12</v>
      </c>
      <c r="Q8" s="55">
        <v>2</v>
      </c>
      <c r="R8" s="54">
        <v>50</v>
      </c>
      <c r="S8" s="53">
        <f t="shared" si="4"/>
        <v>6</v>
      </c>
      <c r="T8" s="49">
        <f>Q4/($M$3^2)</f>
        <v>2.0000160000960004E-8</v>
      </c>
      <c r="U8" s="53">
        <f t="shared" si="5"/>
        <v>1.2000096000576004E-7</v>
      </c>
      <c r="V8" s="48">
        <f t="shared" si="6"/>
        <v>1.440023040230402E-14</v>
      </c>
      <c r="W8" s="48">
        <f t="shared" si="7"/>
        <v>4.1473327127888202E-30</v>
      </c>
      <c r="X8" s="43"/>
      <c r="AF8" s="82"/>
    </row>
    <row r="9" spans="1:37" ht="13.8">
      <c r="A9" s="133" t="s">
        <v>158</v>
      </c>
      <c r="B9" s="102" t="s">
        <v>138</v>
      </c>
      <c r="C9" s="134" t="s">
        <v>156</v>
      </c>
      <c r="D9" s="975">
        <f>$Q$178*1000</f>
        <v>3</v>
      </c>
      <c r="E9" s="135">
        <f>SQRT(3)</f>
        <v>1.7320508075688772</v>
      </c>
      <c r="F9" s="54">
        <v>50</v>
      </c>
      <c r="G9" s="136">
        <f t="shared" si="0"/>
        <v>1.7320508075688774</v>
      </c>
      <c r="H9" s="54">
        <f>E4/($M$3^2)</f>
        <v>2.0000160000960004E-8</v>
      </c>
      <c r="I9" s="136">
        <f t="shared" si="1"/>
        <v>3.4641293281169533E-8</v>
      </c>
      <c r="J9" s="137">
        <f t="shared" si="2"/>
        <v>1.2000192001920013E-15</v>
      </c>
      <c r="K9" s="138">
        <f t="shared" si="3"/>
        <v>2.8800921616589009E-32</v>
      </c>
      <c r="L9" s="43"/>
      <c r="M9" s="133" t="s">
        <v>158</v>
      </c>
      <c r="N9" s="102" t="s">
        <v>138</v>
      </c>
      <c r="O9" s="134" t="s">
        <v>156</v>
      </c>
      <c r="P9" s="975">
        <f>$Q$178*1000</f>
        <v>3</v>
      </c>
      <c r="Q9" s="135">
        <f>SQRT(3)</f>
        <v>1.7320508075688772</v>
      </c>
      <c r="R9" s="54">
        <v>50</v>
      </c>
      <c r="S9" s="136">
        <f t="shared" si="4"/>
        <v>1.7320508075688774</v>
      </c>
      <c r="T9" s="54">
        <f>Q4/($M$3^2)</f>
        <v>2.0000160000960004E-8</v>
      </c>
      <c r="U9" s="136">
        <f t="shared" si="5"/>
        <v>3.4641293281169533E-8</v>
      </c>
      <c r="V9" s="137">
        <f t="shared" si="6"/>
        <v>1.2000192001920013E-15</v>
      </c>
      <c r="W9" s="138">
        <f t="shared" si="7"/>
        <v>2.8800921616589009E-32</v>
      </c>
      <c r="X9" s="43"/>
      <c r="AF9" s="82"/>
    </row>
    <row r="10" spans="1:37" ht="15.6">
      <c r="A10" s="58" t="s">
        <v>159</v>
      </c>
      <c r="B10" s="102" t="s">
        <v>140</v>
      </c>
      <c r="C10" s="57" t="s">
        <v>153</v>
      </c>
      <c r="D10" s="977">
        <f>SCOPE!P181*1000</f>
        <v>29.000145000463988</v>
      </c>
      <c r="E10" s="55">
        <v>2</v>
      </c>
      <c r="F10" s="54">
        <v>50</v>
      </c>
      <c r="G10" s="53">
        <f t="shared" si="0"/>
        <v>14.500072500231994</v>
      </c>
      <c r="H10" s="49">
        <f>1/$M$3</f>
        <v>2.0000080000320002E-6</v>
      </c>
      <c r="I10" s="53">
        <f t="shared" si="1"/>
        <v>2.9000261001507994E-5</v>
      </c>
      <c r="J10" s="48">
        <f t="shared" si="2"/>
        <v>8.4101513815558547E-10</v>
      </c>
      <c r="K10" s="48">
        <f t="shared" si="3"/>
        <v>1.4146129252137169E-20</v>
      </c>
      <c r="L10" s="43"/>
      <c r="M10" s="58" t="s">
        <v>159</v>
      </c>
      <c r="N10" s="102" t="s">
        <v>140</v>
      </c>
      <c r="O10" s="57" t="s">
        <v>153</v>
      </c>
      <c r="P10" s="977">
        <f>SCOPE!P202*1000</f>
        <v>29.000145000463988</v>
      </c>
      <c r="Q10" s="55">
        <v>2</v>
      </c>
      <c r="R10" s="54">
        <v>50</v>
      </c>
      <c r="S10" s="53">
        <f t="shared" si="4"/>
        <v>14.500072500231994</v>
      </c>
      <c r="T10" s="49">
        <f>1/$M$3</f>
        <v>2.0000080000320002E-6</v>
      </c>
      <c r="U10" s="53">
        <f t="shared" si="5"/>
        <v>2.9000261001507994E-5</v>
      </c>
      <c r="V10" s="48">
        <f t="shared" si="6"/>
        <v>8.4101513815558547E-10</v>
      </c>
      <c r="W10" s="48">
        <f t="shared" si="7"/>
        <v>1.4146129252137169E-20</v>
      </c>
      <c r="X10" s="43"/>
      <c r="AF10" s="86"/>
    </row>
    <row r="11" spans="1:37" ht="15.6">
      <c r="A11" s="133" t="s">
        <v>160</v>
      </c>
      <c r="B11" s="102" t="s">
        <v>140</v>
      </c>
      <c r="C11" s="134" t="s">
        <v>156</v>
      </c>
      <c r="D11" s="135">
        <f>SCOPE!O181*1000</f>
        <v>0.01</v>
      </c>
      <c r="E11" s="135">
        <f>SQRT(3)</f>
        <v>1.7320508075688772</v>
      </c>
      <c r="F11" s="54">
        <v>50</v>
      </c>
      <c r="G11" s="136">
        <f t="shared" si="0"/>
        <v>5.773502691896258E-3</v>
      </c>
      <c r="H11" s="54">
        <f>1/$M$3</f>
        <v>2.0000080000320002E-6</v>
      </c>
      <c r="I11" s="136">
        <f t="shared" si="1"/>
        <v>1.1547051571998804E-8</v>
      </c>
      <c r="J11" s="137">
        <f t="shared" si="2"/>
        <v>1.3333440000640004E-16</v>
      </c>
      <c r="K11" s="138">
        <f t="shared" si="3"/>
        <v>3.5556124450133382E-34</v>
      </c>
      <c r="L11" s="43"/>
      <c r="M11" s="133" t="s">
        <v>160</v>
      </c>
      <c r="N11" s="102" t="s">
        <v>140</v>
      </c>
      <c r="O11" s="134" t="s">
        <v>156</v>
      </c>
      <c r="P11" s="135">
        <f>SCOPE!O202*1000</f>
        <v>0.01</v>
      </c>
      <c r="Q11" s="135">
        <f>SQRT(3)</f>
        <v>1.7320508075688772</v>
      </c>
      <c r="R11" s="54">
        <v>50</v>
      </c>
      <c r="S11" s="136">
        <f t="shared" si="4"/>
        <v>5.773502691896258E-3</v>
      </c>
      <c r="T11" s="54">
        <f>1/$M$3</f>
        <v>2.0000080000320002E-6</v>
      </c>
      <c r="U11" s="136">
        <f t="shared" si="5"/>
        <v>1.1547051571998804E-8</v>
      </c>
      <c r="V11" s="137">
        <f t="shared" si="6"/>
        <v>1.3333440000640004E-16</v>
      </c>
      <c r="W11" s="138">
        <f t="shared" si="7"/>
        <v>3.5556124450133382E-34</v>
      </c>
      <c r="X11" s="43"/>
      <c r="AF11" s="86"/>
    </row>
    <row r="12" spans="1:37" ht="14.4">
      <c r="A12" s="16" t="s">
        <v>161</v>
      </c>
      <c r="B12" s="17"/>
      <c r="C12" s="17"/>
      <c r="D12" s="17"/>
      <c r="E12" s="46"/>
      <c r="F12" s="17"/>
      <c r="G12" s="17"/>
      <c r="H12" s="17"/>
      <c r="I12" s="17"/>
      <c r="J12" s="45">
        <f>SUM(J6:J11)</f>
        <v>8.3333417436427196E-4</v>
      </c>
      <c r="K12" s="44">
        <f>SUM(K6:K10)</f>
        <v>1.388888888890304E-8</v>
      </c>
      <c r="L12" s="43"/>
      <c r="M12" s="16" t="s">
        <v>161</v>
      </c>
      <c r="N12" s="17"/>
      <c r="O12" s="17"/>
      <c r="P12" s="17"/>
      <c r="Q12" s="46"/>
      <c r="R12" s="17"/>
      <c r="S12" s="17"/>
      <c r="T12" s="17"/>
      <c r="U12" s="17"/>
      <c r="V12" s="45">
        <f>SUM(V6:V11)</f>
        <v>8.3333417436427196E-4</v>
      </c>
      <c r="W12" s="44">
        <f>SUM(W6:W10)</f>
        <v>1.388888888890304E-8</v>
      </c>
      <c r="X12" s="43"/>
      <c r="AF12" s="82"/>
    </row>
    <row r="13" spans="1:37" ht="16.2">
      <c r="A13" s="36" t="s">
        <v>162</v>
      </c>
      <c r="B13" s="33"/>
      <c r="C13" s="33"/>
      <c r="D13" s="33"/>
      <c r="E13" s="35"/>
      <c r="F13" s="33"/>
      <c r="G13" s="42" t="s">
        <v>163</v>
      </c>
      <c r="H13" s="33"/>
      <c r="I13" s="33"/>
      <c r="J13" s="41">
        <f>SQRT(J12)</f>
        <v>2.8867528026560778E-2</v>
      </c>
      <c r="K13" s="31"/>
      <c r="L13" s="30"/>
      <c r="M13" s="36" t="s">
        <v>162</v>
      </c>
      <c r="N13" s="33"/>
      <c r="O13" s="33"/>
      <c r="P13" s="33"/>
      <c r="Q13" s="35"/>
      <c r="R13" s="33"/>
      <c r="S13" s="42" t="s">
        <v>163</v>
      </c>
      <c r="T13" s="33"/>
      <c r="U13" s="33"/>
      <c r="V13" s="41">
        <f>SQRT(V12)</f>
        <v>2.8867528026560778E-2</v>
      </c>
      <c r="W13" s="31"/>
      <c r="X13" s="30"/>
      <c r="AF13" s="81"/>
    </row>
    <row r="14" spans="1:37" ht="18">
      <c r="A14" s="16" t="s">
        <v>164</v>
      </c>
      <c r="B14" s="23"/>
      <c r="C14" s="23"/>
      <c r="D14" s="23"/>
      <c r="E14" s="40"/>
      <c r="F14" s="23"/>
      <c r="G14" s="39" t="s">
        <v>165</v>
      </c>
      <c r="H14" s="23"/>
      <c r="I14" s="23"/>
      <c r="J14" s="38">
        <f>J13^4/(K12)</f>
        <v>50.000100923712623</v>
      </c>
      <c r="K14" s="37"/>
      <c r="L14" s="30"/>
      <c r="M14" s="16" t="s">
        <v>164</v>
      </c>
      <c r="N14" s="23"/>
      <c r="O14" s="23"/>
      <c r="P14" s="23"/>
      <c r="Q14" s="40"/>
      <c r="R14" s="23"/>
      <c r="S14" s="39" t="s">
        <v>165</v>
      </c>
      <c r="T14" s="23"/>
      <c r="U14" s="23"/>
      <c r="V14" s="38">
        <f>V13^4/(W12)</f>
        <v>50.000100923712623</v>
      </c>
      <c r="W14" s="37"/>
      <c r="X14" s="30"/>
      <c r="AF14" s="86"/>
    </row>
    <row r="15" spans="1:37" ht="15.6">
      <c r="A15" s="36" t="s">
        <v>166</v>
      </c>
      <c r="B15" s="33"/>
      <c r="C15" s="33"/>
      <c r="D15" s="33"/>
      <c r="E15" s="35"/>
      <c r="F15" s="33"/>
      <c r="G15" s="34" t="s">
        <v>167</v>
      </c>
      <c r="H15" s="33"/>
      <c r="I15" s="33"/>
      <c r="J15" s="32">
        <f>1.95996+(2.37356/J14)+(2.818745/J14^2)+(2.546662/J14^3)+(1.761829/J14^4)+(0.245458/J14^5)+(1.000764/J14^6)</f>
        <v>2.0085792535416624</v>
      </c>
      <c r="K15" s="31"/>
      <c r="L15" s="30"/>
      <c r="M15" s="36" t="s">
        <v>166</v>
      </c>
      <c r="N15" s="33"/>
      <c r="O15" s="33"/>
      <c r="P15" s="33"/>
      <c r="Q15" s="35"/>
      <c r="R15" s="33"/>
      <c r="S15" s="34" t="s">
        <v>167</v>
      </c>
      <c r="T15" s="33"/>
      <c r="U15" s="33"/>
      <c r="V15" s="32">
        <f>1.95996+(2.37356/V14)+(2.818745/V14^2)+(2.546662/V14^3)+(1.761829/V14^4)+(0.245458/V14^5)+(1.000764/V14^6)</f>
        <v>2.0085792535416624</v>
      </c>
      <c r="W15" s="31"/>
      <c r="X15" s="30"/>
      <c r="AF15" s="81"/>
    </row>
    <row r="16" spans="1:37" ht="14.4">
      <c r="A16" s="29" t="s">
        <v>168</v>
      </c>
      <c r="B16" s="26"/>
      <c r="C16" s="26"/>
      <c r="D16" s="26"/>
      <c r="E16" s="28"/>
      <c r="F16" s="26"/>
      <c r="G16" s="27" t="s">
        <v>169</v>
      </c>
      <c r="H16" s="26"/>
      <c r="I16" s="26"/>
      <c r="J16" s="25">
        <f>J13*J15</f>
        <v>5.7982717895182466E-2</v>
      </c>
      <c r="K16" s="24" t="s">
        <v>155</v>
      </c>
      <c r="L16" s="22"/>
      <c r="M16" s="29" t="s">
        <v>168</v>
      </c>
      <c r="N16" s="26"/>
      <c r="O16" s="26"/>
      <c r="P16" s="26"/>
      <c r="Q16" s="28"/>
      <c r="R16" s="26"/>
      <c r="S16" s="27" t="s">
        <v>169</v>
      </c>
      <c r="T16" s="26"/>
      <c r="U16" s="26"/>
      <c r="V16" s="25">
        <f>V13*V15</f>
        <v>5.7982717895182466E-2</v>
      </c>
      <c r="W16" s="24" t="s">
        <v>155</v>
      </c>
      <c r="X16" s="22"/>
      <c r="AF16" s="82"/>
    </row>
    <row r="17" spans="1:37" ht="15.6">
      <c r="A17" s="10" t="s">
        <v>56</v>
      </c>
      <c r="B17" s="73">
        <f>ID!C33</f>
        <v>20</v>
      </c>
      <c r="C17" t="s">
        <v>140</v>
      </c>
      <c r="D17" s="266" t="s">
        <v>139</v>
      </c>
      <c r="E17" s="265">
        <f>AVERAGE(ID!D33:I33)*1000</f>
        <v>10000</v>
      </c>
      <c r="J17" s="969">
        <f>(J16/B4)*100</f>
        <v>0.57982717895182467</v>
      </c>
      <c r="K17" s="968" t="s">
        <v>19</v>
      </c>
      <c r="M17" t="s">
        <v>56</v>
      </c>
      <c r="N17" s="73">
        <f>ID!C43</f>
        <v>20</v>
      </c>
      <c r="O17" t="s">
        <v>140</v>
      </c>
      <c r="P17" t="s">
        <v>139</v>
      </c>
      <c r="Q17">
        <f>AVERAGE(ID!D43:I43)*1000</f>
        <v>10000</v>
      </c>
      <c r="V17" s="969">
        <f>(V16/N4)*100</f>
        <v>0.57982717895182467</v>
      </c>
      <c r="W17" s="968" t="s">
        <v>19</v>
      </c>
      <c r="AF17" s="86"/>
    </row>
    <row r="18" spans="1:37" ht="14.4">
      <c r="A18" s="71" t="s">
        <v>141</v>
      </c>
      <c r="B18" s="68" t="s">
        <v>142</v>
      </c>
      <c r="C18" s="69" t="s">
        <v>143</v>
      </c>
      <c r="D18" s="68" t="s">
        <v>144</v>
      </c>
      <c r="E18" s="70" t="s">
        <v>145</v>
      </c>
      <c r="F18" s="68" t="s">
        <v>146</v>
      </c>
      <c r="G18" s="69" t="s">
        <v>147</v>
      </c>
      <c r="H18" s="68" t="s">
        <v>148</v>
      </c>
      <c r="I18" s="69" t="s">
        <v>149</v>
      </c>
      <c r="J18" s="68" t="s">
        <v>150</v>
      </c>
      <c r="K18" s="84" t="s">
        <v>151</v>
      </c>
      <c r="L18" s="21"/>
      <c r="M18" s="71" t="s">
        <v>141</v>
      </c>
      <c r="N18" s="68" t="s">
        <v>142</v>
      </c>
      <c r="O18" s="69" t="s">
        <v>143</v>
      </c>
      <c r="P18" s="68" t="s">
        <v>144</v>
      </c>
      <c r="Q18" s="70" t="s">
        <v>145</v>
      </c>
      <c r="R18" s="68" t="s">
        <v>146</v>
      </c>
      <c r="S18" s="69" t="s">
        <v>147</v>
      </c>
      <c r="T18" s="68" t="s">
        <v>148</v>
      </c>
      <c r="U18" s="69" t="s">
        <v>149</v>
      </c>
      <c r="V18" s="68" t="s">
        <v>150</v>
      </c>
      <c r="W18" s="84" t="s">
        <v>151</v>
      </c>
      <c r="X18" s="21"/>
      <c r="AF18" s="81"/>
    </row>
    <row r="19" spans="1:37">
      <c r="A19" s="20" t="s">
        <v>152</v>
      </c>
      <c r="B19" s="49" t="s">
        <v>140</v>
      </c>
      <c r="C19" s="19" t="s">
        <v>153</v>
      </c>
      <c r="D19" s="65">
        <f>ID!L33*1000</f>
        <v>0.01</v>
      </c>
      <c r="E19" s="62">
        <f>SQRT(6)</f>
        <v>2.4494897427831779</v>
      </c>
      <c r="F19" s="49">
        <v>5</v>
      </c>
      <c r="G19" s="47">
        <f t="shared" ref="G19:G24" si="8">D19/E19</f>
        <v>4.0824829046386306E-3</v>
      </c>
      <c r="H19" s="64">
        <f>1/$M$3</f>
        <v>2.0000080000320002E-6</v>
      </c>
      <c r="I19" s="47">
        <f t="shared" ref="I19:I24" si="9">G19*H19</f>
        <v>8.1649984692711387E-9</v>
      </c>
      <c r="J19" s="44">
        <f t="shared" ref="J19:J24" si="10">I19^2</f>
        <v>6.6667200003200044E-17</v>
      </c>
      <c r="K19" s="63">
        <f t="shared" ref="K19:K24" si="11">I19^4/F19</f>
        <v>8.8890311125333527E-34</v>
      </c>
      <c r="L19" s="43"/>
      <c r="M19" s="20" t="s">
        <v>152</v>
      </c>
      <c r="N19" s="49" t="s">
        <v>140</v>
      </c>
      <c r="O19" s="19" t="s">
        <v>153</v>
      </c>
      <c r="P19" s="65">
        <f>ID!L43*1000</f>
        <v>0.01</v>
      </c>
      <c r="Q19" s="62">
        <f>SQRT(6)</f>
        <v>2.4494897427831779</v>
      </c>
      <c r="R19" s="49">
        <v>5</v>
      </c>
      <c r="S19" s="47">
        <f t="shared" ref="S19:S24" si="12">P19/Q19</f>
        <v>4.0824829046386306E-3</v>
      </c>
      <c r="T19" s="64">
        <f>1/$M$3</f>
        <v>2.0000080000320002E-6</v>
      </c>
      <c r="U19" s="47">
        <f t="shared" ref="U19:U24" si="13">S19*T19</f>
        <v>8.1649984692711387E-9</v>
      </c>
      <c r="V19" s="44">
        <f t="shared" ref="V19:V24" si="14">U19^2</f>
        <v>6.6667200003200044E-17</v>
      </c>
      <c r="W19" s="63">
        <f t="shared" ref="W19:W24" si="15">U19^4/R19</f>
        <v>8.8890311125333527E-34</v>
      </c>
      <c r="X19" s="43"/>
      <c r="AF19" s="82"/>
    </row>
    <row r="20" spans="1:37">
      <c r="A20" s="61" t="s">
        <v>154</v>
      </c>
      <c r="B20" s="49" t="s">
        <v>155</v>
      </c>
      <c r="C20" s="57" t="s">
        <v>156</v>
      </c>
      <c r="D20" s="49">
        <f>0.5*0.1</f>
        <v>0.05</v>
      </c>
      <c r="E20" s="60">
        <f>SQRT(3)</f>
        <v>1.7320508075688772</v>
      </c>
      <c r="F20" s="54">
        <v>50</v>
      </c>
      <c r="G20" s="53">
        <f t="shared" si="8"/>
        <v>2.8867513459481291E-2</v>
      </c>
      <c r="H20" s="49">
        <v>1</v>
      </c>
      <c r="I20" s="53">
        <f t="shared" si="9"/>
        <v>2.8867513459481291E-2</v>
      </c>
      <c r="J20" s="48">
        <f t="shared" si="10"/>
        <v>8.333333333333335E-4</v>
      </c>
      <c r="K20" s="59">
        <f t="shared" si="11"/>
        <v>1.3888888888888894E-8</v>
      </c>
      <c r="L20" s="43"/>
      <c r="M20" s="61" t="s">
        <v>154</v>
      </c>
      <c r="N20" s="49" t="s">
        <v>155</v>
      </c>
      <c r="O20" s="57" t="s">
        <v>156</v>
      </c>
      <c r="P20" s="49">
        <f>0.5*0.1</f>
        <v>0.05</v>
      </c>
      <c r="Q20" s="60">
        <f>SQRT(3)</f>
        <v>1.7320508075688772</v>
      </c>
      <c r="R20" s="54">
        <v>50</v>
      </c>
      <c r="S20" s="53">
        <f t="shared" si="12"/>
        <v>2.8867513459481291E-2</v>
      </c>
      <c r="T20" s="49">
        <v>1</v>
      </c>
      <c r="U20" s="53">
        <f t="shared" si="13"/>
        <v>2.8867513459481291E-2</v>
      </c>
      <c r="V20" s="48">
        <f t="shared" si="14"/>
        <v>8.333333333333335E-4</v>
      </c>
      <c r="W20" s="59">
        <f t="shared" si="15"/>
        <v>1.3888888888888894E-8</v>
      </c>
      <c r="X20" s="43"/>
      <c r="AF20" s="81"/>
    </row>
    <row r="21" spans="1:37" ht="13.8">
      <c r="A21" s="58" t="s">
        <v>157</v>
      </c>
      <c r="B21" s="102" t="s">
        <v>138</v>
      </c>
      <c r="C21" s="57" t="s">
        <v>153</v>
      </c>
      <c r="D21" s="56">
        <f>$R$178*1000</f>
        <v>12</v>
      </c>
      <c r="E21" s="55">
        <v>2</v>
      </c>
      <c r="F21" s="54">
        <v>50</v>
      </c>
      <c r="G21" s="53">
        <f t="shared" si="8"/>
        <v>6</v>
      </c>
      <c r="H21" s="49">
        <f>E17/($M$3^2)</f>
        <v>4.0000320001920009E-8</v>
      </c>
      <c r="I21" s="53">
        <f t="shared" si="9"/>
        <v>2.4000192001152008E-7</v>
      </c>
      <c r="J21" s="48">
        <f t="shared" si="10"/>
        <v>5.7600921609216079E-14</v>
      </c>
      <c r="K21" s="48">
        <f t="shared" si="11"/>
        <v>6.6357323404621123E-29</v>
      </c>
      <c r="L21" s="43"/>
      <c r="M21" s="58" t="s">
        <v>157</v>
      </c>
      <c r="N21" s="102" t="s">
        <v>138</v>
      </c>
      <c r="O21" s="57" t="s">
        <v>153</v>
      </c>
      <c r="P21" s="56">
        <f>$R$178*1000</f>
        <v>12</v>
      </c>
      <c r="Q21" s="55">
        <v>2</v>
      </c>
      <c r="R21" s="54">
        <v>50</v>
      </c>
      <c r="S21" s="53">
        <f t="shared" si="12"/>
        <v>6</v>
      </c>
      <c r="T21" s="49">
        <f>Q17/($M$3^2)</f>
        <v>4.0000320001920009E-8</v>
      </c>
      <c r="U21" s="53">
        <f t="shared" si="13"/>
        <v>2.4000192001152008E-7</v>
      </c>
      <c r="V21" s="48">
        <f t="shared" si="14"/>
        <v>5.7600921609216079E-14</v>
      </c>
      <c r="W21" s="48">
        <f t="shared" si="15"/>
        <v>6.6357323404621123E-29</v>
      </c>
      <c r="X21" s="43"/>
      <c r="AF21" s="81"/>
    </row>
    <row r="22" spans="1:37" ht="13.8">
      <c r="A22" s="133" t="s">
        <v>158</v>
      </c>
      <c r="B22" s="102" t="s">
        <v>138</v>
      </c>
      <c r="C22" s="134" t="s">
        <v>156</v>
      </c>
      <c r="D22" s="975">
        <f>$Q$178*1000</f>
        <v>3</v>
      </c>
      <c r="E22" s="135">
        <f>SQRT(3)</f>
        <v>1.7320508075688772</v>
      </c>
      <c r="F22" s="54">
        <v>50</v>
      </c>
      <c r="G22" s="136">
        <f t="shared" si="8"/>
        <v>1.7320508075688774</v>
      </c>
      <c r="H22" s="54">
        <f>E17/($M$3^2)</f>
        <v>4.0000320001920009E-8</v>
      </c>
      <c r="I22" s="136">
        <f t="shared" si="9"/>
        <v>6.9282586562339065E-8</v>
      </c>
      <c r="J22" s="137">
        <f t="shared" si="10"/>
        <v>4.8000768007680053E-15</v>
      </c>
      <c r="K22" s="138">
        <f t="shared" si="11"/>
        <v>4.6081474586542414E-31</v>
      </c>
      <c r="L22" s="43"/>
      <c r="M22" s="133" t="s">
        <v>158</v>
      </c>
      <c r="N22" s="102" t="s">
        <v>138</v>
      </c>
      <c r="O22" s="134" t="s">
        <v>156</v>
      </c>
      <c r="P22" s="975">
        <f>$Q$178*1000</f>
        <v>3</v>
      </c>
      <c r="Q22" s="135">
        <f>SQRT(3)</f>
        <v>1.7320508075688772</v>
      </c>
      <c r="R22" s="54">
        <v>50</v>
      </c>
      <c r="S22" s="136">
        <f t="shared" si="12"/>
        <v>1.7320508075688774</v>
      </c>
      <c r="T22" s="54">
        <f>Q17/($M$3^2)</f>
        <v>4.0000320001920009E-8</v>
      </c>
      <c r="U22" s="136">
        <f t="shared" si="13"/>
        <v>6.9282586562339065E-8</v>
      </c>
      <c r="V22" s="137">
        <f t="shared" si="14"/>
        <v>4.8000768007680053E-15</v>
      </c>
      <c r="W22" s="138">
        <f t="shared" si="15"/>
        <v>4.6081474586542414E-31</v>
      </c>
      <c r="X22" s="43"/>
      <c r="AF22" s="81"/>
    </row>
    <row r="23" spans="1:37" ht="13.8">
      <c r="A23" s="58" t="s">
        <v>159</v>
      </c>
      <c r="B23" s="102" t="s">
        <v>140</v>
      </c>
      <c r="C23" s="57" t="s">
        <v>153</v>
      </c>
      <c r="D23" s="977">
        <f>SCOPE!P182*1000</f>
        <v>57.999777672737189</v>
      </c>
      <c r="E23" s="55">
        <v>2</v>
      </c>
      <c r="F23" s="54">
        <v>50</v>
      </c>
      <c r="G23" s="53">
        <f t="shared" si="8"/>
        <v>28.999888836368594</v>
      </c>
      <c r="H23" s="49">
        <f>1/$M$3</f>
        <v>2.0000080000320002E-6</v>
      </c>
      <c r="I23" s="53">
        <f t="shared" si="9"/>
        <v>5.8000009672775879E-5</v>
      </c>
      <c r="J23" s="48">
        <f t="shared" si="10"/>
        <v>3.3640011220420955E-9</v>
      </c>
      <c r="K23" s="48">
        <f t="shared" si="11"/>
        <v>2.2633007098200955E-19</v>
      </c>
      <c r="L23" s="43"/>
      <c r="M23" s="58" t="s">
        <v>159</v>
      </c>
      <c r="N23" s="102" t="s">
        <v>140</v>
      </c>
      <c r="O23" s="57" t="s">
        <v>153</v>
      </c>
      <c r="P23" s="977">
        <f>SCOPE!P203*1000</f>
        <v>58.000261000927992</v>
      </c>
      <c r="Q23" s="55">
        <v>2</v>
      </c>
      <c r="R23" s="54">
        <v>50</v>
      </c>
      <c r="S23" s="53">
        <f t="shared" si="12"/>
        <v>29.000130500463996</v>
      </c>
      <c r="T23" s="49">
        <f>1/$M$3</f>
        <v>2.0000080000320002E-6</v>
      </c>
      <c r="U23" s="53">
        <f t="shared" si="13"/>
        <v>5.8000493002900006E-5</v>
      </c>
      <c r="V23" s="48">
        <f t="shared" si="14"/>
        <v>3.3640571885794527E-9</v>
      </c>
      <c r="W23" s="48">
        <f t="shared" si="15"/>
        <v>2.2633761536066182E-19</v>
      </c>
      <c r="X23" s="43"/>
      <c r="AF23" s="81"/>
    </row>
    <row r="24" spans="1:37" ht="13.8">
      <c r="A24" s="133" t="s">
        <v>160</v>
      </c>
      <c r="B24" s="102" t="s">
        <v>140</v>
      </c>
      <c r="C24" s="134" t="s">
        <v>156</v>
      </c>
      <c r="D24" s="135">
        <f>SCOPE!O182*1000</f>
        <v>0.01</v>
      </c>
      <c r="E24" s="135">
        <f>SQRT(3)</f>
        <v>1.7320508075688772</v>
      </c>
      <c r="F24" s="54">
        <v>50</v>
      </c>
      <c r="G24" s="136">
        <f t="shared" si="8"/>
        <v>5.773502691896258E-3</v>
      </c>
      <c r="H24" s="54">
        <f>1/$M$3</f>
        <v>2.0000080000320002E-6</v>
      </c>
      <c r="I24" s="136">
        <f t="shared" si="9"/>
        <v>1.1547051571998804E-8</v>
      </c>
      <c r="J24" s="137">
        <f t="shared" si="10"/>
        <v>1.3333440000640004E-16</v>
      </c>
      <c r="K24" s="138">
        <f t="shared" si="11"/>
        <v>3.5556124450133382E-34</v>
      </c>
      <c r="L24" s="43"/>
      <c r="M24" s="133" t="s">
        <v>160</v>
      </c>
      <c r="N24" s="102" t="s">
        <v>140</v>
      </c>
      <c r="O24" s="134" t="s">
        <v>156</v>
      </c>
      <c r="P24" s="135">
        <f>SCOPE!O203*1000</f>
        <v>0.01</v>
      </c>
      <c r="Q24" s="135">
        <f>SQRT(3)</f>
        <v>1.7320508075688772</v>
      </c>
      <c r="R24" s="54">
        <v>50</v>
      </c>
      <c r="S24" s="136">
        <f t="shared" si="12"/>
        <v>5.773502691896258E-3</v>
      </c>
      <c r="T24" s="54">
        <f>1/$M$3</f>
        <v>2.0000080000320002E-6</v>
      </c>
      <c r="U24" s="136">
        <f t="shared" si="13"/>
        <v>1.1547051571998804E-8</v>
      </c>
      <c r="V24" s="137">
        <f t="shared" si="14"/>
        <v>1.3333440000640004E-16</v>
      </c>
      <c r="W24" s="138">
        <f t="shared" si="15"/>
        <v>3.5556124450133382E-34</v>
      </c>
      <c r="X24" s="43"/>
      <c r="AF24" s="81"/>
    </row>
    <row r="25" spans="1:37" ht="14.4">
      <c r="A25" s="16" t="s">
        <v>161</v>
      </c>
      <c r="B25" s="17"/>
      <c r="C25" s="17"/>
      <c r="D25" s="17"/>
      <c r="E25" s="46"/>
      <c r="F25" s="17"/>
      <c r="G25" s="17"/>
      <c r="H25" s="17"/>
      <c r="I25" s="17"/>
      <c r="J25" s="45">
        <f>SUM(J19:J21)</f>
        <v>8.3333333339100112E-4</v>
      </c>
      <c r="K25" s="44">
        <f>SUM(K19:K21)</f>
        <v>1.3888888888888894E-8</v>
      </c>
      <c r="L25" s="43"/>
      <c r="M25" s="16" t="s">
        <v>161</v>
      </c>
      <c r="N25" s="17"/>
      <c r="O25" s="17"/>
      <c r="P25" s="17"/>
      <c r="Q25" s="46"/>
      <c r="R25" s="17"/>
      <c r="S25" s="17"/>
      <c r="T25" s="17"/>
      <c r="U25" s="17"/>
      <c r="V25" s="45">
        <f>SUM(V19:V21)</f>
        <v>8.3333333339100112E-4</v>
      </c>
      <c r="W25" s="44">
        <f>SUM(W19:W21)</f>
        <v>1.3888888888888894E-8</v>
      </c>
      <c r="X25" s="43"/>
      <c r="AF25" s="81"/>
    </row>
    <row r="26" spans="1:37" ht="16.2">
      <c r="A26" s="36" t="s">
        <v>162</v>
      </c>
      <c r="B26" s="33"/>
      <c r="C26" s="33"/>
      <c r="D26" s="33"/>
      <c r="E26" s="35"/>
      <c r="F26" s="33"/>
      <c r="G26" s="42" t="s">
        <v>163</v>
      </c>
      <c r="H26" s="33"/>
      <c r="I26" s="33"/>
      <c r="J26" s="41">
        <f>SQRT(J25)</f>
        <v>2.8867513460480124E-2</v>
      </c>
      <c r="K26" s="31"/>
      <c r="L26" s="30"/>
      <c r="M26" s="36" t="s">
        <v>162</v>
      </c>
      <c r="N26" s="33"/>
      <c r="O26" s="33"/>
      <c r="P26" s="33"/>
      <c r="Q26" s="35"/>
      <c r="R26" s="33"/>
      <c r="S26" s="42" t="s">
        <v>163</v>
      </c>
      <c r="T26" s="33"/>
      <c r="U26" s="33"/>
      <c r="V26" s="41">
        <f>SQRT(V25)</f>
        <v>2.8867513460480124E-2</v>
      </c>
      <c r="W26" s="31"/>
      <c r="X26" s="30"/>
      <c r="AF26" s="86"/>
    </row>
    <row r="27" spans="1:37" ht="18">
      <c r="A27" s="16" t="s">
        <v>164</v>
      </c>
      <c r="B27" s="23"/>
      <c r="C27" s="23"/>
      <c r="D27" s="23"/>
      <c r="E27" s="40"/>
      <c r="F27" s="23"/>
      <c r="G27" s="39" t="s">
        <v>165</v>
      </c>
      <c r="H27" s="23"/>
      <c r="I27" s="23"/>
      <c r="J27" s="38">
        <f>J26^4/(K25)</f>
        <v>50.000000006920118</v>
      </c>
      <c r="K27" s="37"/>
      <c r="L27" s="30"/>
      <c r="M27" s="16" t="s">
        <v>164</v>
      </c>
      <c r="N27" s="23"/>
      <c r="O27" s="23"/>
      <c r="P27" s="23"/>
      <c r="Q27" s="40"/>
      <c r="R27" s="23"/>
      <c r="S27" s="39" t="s">
        <v>165</v>
      </c>
      <c r="T27" s="23"/>
      <c r="U27" s="23"/>
      <c r="V27" s="38">
        <f>V26^4/(W25)</f>
        <v>50.000000006920118</v>
      </c>
      <c r="W27" s="37"/>
      <c r="X27" s="30"/>
      <c r="AF27" s="81"/>
      <c r="AK27" s="81"/>
    </row>
    <row r="28" spans="1:37" ht="15.6">
      <c r="A28" s="36" t="s">
        <v>166</v>
      </c>
      <c r="B28" s="33"/>
      <c r="C28" s="33"/>
      <c r="D28" s="33"/>
      <c r="E28" s="35"/>
      <c r="F28" s="33"/>
      <c r="G28" s="34" t="s">
        <v>167</v>
      </c>
      <c r="H28" s="33"/>
      <c r="I28" s="33"/>
      <c r="J28" s="32">
        <f>1.95996+(2.37356/J27)+(2.818745/J27^2)+(2.546662/J27^3)+(1.761829/J27^4)+(0.245458/J27^5)+(1.000764/J27^6)</f>
        <v>2.0085793540312635</v>
      </c>
      <c r="K28" s="31"/>
      <c r="L28" s="30"/>
      <c r="M28" s="36" t="s">
        <v>166</v>
      </c>
      <c r="N28" s="33"/>
      <c r="O28" s="33"/>
      <c r="P28" s="33"/>
      <c r="Q28" s="35"/>
      <c r="R28" s="33"/>
      <c r="S28" s="34" t="s">
        <v>167</v>
      </c>
      <c r="T28" s="33"/>
      <c r="U28" s="33"/>
      <c r="V28" s="32">
        <f>1.95996+(2.37356/V27)+(2.818745/V27^2)+(2.546662/V27^3)+(1.761829/V27^4)+(0.245458/V27^5)+(1.000764/V27^6)</f>
        <v>2.0085793540312635</v>
      </c>
      <c r="W28" s="31"/>
      <c r="X28" s="30"/>
      <c r="AF28" s="82"/>
      <c r="AK28" s="82"/>
    </row>
    <row r="29" spans="1:37" ht="14.4">
      <c r="A29" s="29" t="s">
        <v>168</v>
      </c>
      <c r="B29" s="26"/>
      <c r="C29" s="26"/>
      <c r="D29" s="26"/>
      <c r="E29" s="28"/>
      <c r="F29" s="26"/>
      <c r="G29" s="27" t="s">
        <v>169</v>
      </c>
      <c r="H29" s="26"/>
      <c r="I29" s="26"/>
      <c r="J29" s="25">
        <f>J26*J28</f>
        <v>5.7982691538939972E-2</v>
      </c>
      <c r="K29" s="24" t="s">
        <v>155</v>
      </c>
      <c r="L29" s="22"/>
      <c r="M29" s="29" t="s">
        <v>168</v>
      </c>
      <c r="N29" s="26"/>
      <c r="O29" s="26"/>
      <c r="P29" s="26"/>
      <c r="Q29" s="28"/>
      <c r="R29" s="26"/>
      <c r="S29" s="27" t="s">
        <v>169</v>
      </c>
      <c r="T29" s="26"/>
      <c r="U29" s="26"/>
      <c r="V29" s="25">
        <f>V26*V28</f>
        <v>5.7982691538939972E-2</v>
      </c>
      <c r="W29" s="24" t="s">
        <v>155</v>
      </c>
      <c r="X29" s="22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</row>
    <row r="30" spans="1:37">
      <c r="A30" s="10" t="s">
        <v>56</v>
      </c>
      <c r="B30" s="73">
        <f>ID!C34</f>
        <v>30</v>
      </c>
      <c r="C30" t="s">
        <v>140</v>
      </c>
      <c r="D30" s="266" t="s">
        <v>139</v>
      </c>
      <c r="E30" s="265">
        <f>AVERAGE(ID!D34:I34)*1000</f>
        <v>15000</v>
      </c>
      <c r="J30" s="970">
        <f>(J29/B17)*100</f>
        <v>0.28991345769469989</v>
      </c>
      <c r="K30" s="968" t="s">
        <v>19</v>
      </c>
      <c r="M30" t="s">
        <v>56</v>
      </c>
      <c r="N30" s="73">
        <f>ID!C44</f>
        <v>30</v>
      </c>
      <c r="O30" t="s">
        <v>140</v>
      </c>
      <c r="P30" t="s">
        <v>139</v>
      </c>
      <c r="Q30">
        <f>AVERAGE(ID!D44:I44)*1000</f>
        <v>15000</v>
      </c>
      <c r="V30" s="970">
        <f>(V29/N17)*100</f>
        <v>0.28991345769469989</v>
      </c>
      <c r="W30" s="968" t="s">
        <v>19</v>
      </c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</row>
    <row r="31" spans="1:37" ht="14.4">
      <c r="A31" s="71" t="s">
        <v>141</v>
      </c>
      <c r="B31" s="68" t="s">
        <v>142</v>
      </c>
      <c r="C31" s="69" t="s">
        <v>143</v>
      </c>
      <c r="D31" s="68" t="s">
        <v>144</v>
      </c>
      <c r="E31" s="70" t="s">
        <v>145</v>
      </c>
      <c r="F31" s="68" t="s">
        <v>146</v>
      </c>
      <c r="G31" s="69" t="s">
        <v>147</v>
      </c>
      <c r="H31" s="68" t="s">
        <v>148</v>
      </c>
      <c r="I31" s="69" t="s">
        <v>149</v>
      </c>
      <c r="J31" s="68" t="s">
        <v>150</v>
      </c>
      <c r="K31" s="84" t="s">
        <v>151</v>
      </c>
      <c r="L31" s="21"/>
      <c r="M31" s="71" t="s">
        <v>141</v>
      </c>
      <c r="N31" s="68" t="s">
        <v>142</v>
      </c>
      <c r="O31" s="69" t="s">
        <v>143</v>
      </c>
      <c r="P31" s="68" t="s">
        <v>144</v>
      </c>
      <c r="Q31" s="70" t="s">
        <v>145</v>
      </c>
      <c r="R31" s="68" t="s">
        <v>146</v>
      </c>
      <c r="S31" s="69" t="s">
        <v>147</v>
      </c>
      <c r="T31" s="68" t="s">
        <v>148</v>
      </c>
      <c r="U31" s="69" t="s">
        <v>149</v>
      </c>
      <c r="V31" s="68" t="s">
        <v>150</v>
      </c>
      <c r="W31" s="84" t="s">
        <v>151</v>
      </c>
      <c r="X31" s="21"/>
      <c r="AF31" s="82"/>
      <c r="AK31" s="82"/>
    </row>
    <row r="32" spans="1:37">
      <c r="A32" s="20" t="s">
        <v>152</v>
      </c>
      <c r="B32" s="49" t="s">
        <v>140</v>
      </c>
      <c r="C32" s="19" t="s">
        <v>153</v>
      </c>
      <c r="D32" s="65">
        <f>ID!L34*1000</f>
        <v>0.01</v>
      </c>
      <c r="E32" s="62">
        <f>SQRT(6)</f>
        <v>2.4494897427831779</v>
      </c>
      <c r="F32" s="49">
        <v>5</v>
      </c>
      <c r="G32" s="47">
        <f t="shared" ref="G32:G37" si="16">D32/E32</f>
        <v>4.0824829046386306E-3</v>
      </c>
      <c r="H32" s="64">
        <f>1/$M$3</f>
        <v>2.0000080000320002E-6</v>
      </c>
      <c r="I32" s="47">
        <f t="shared" ref="I32:I37" si="17">G32*H32</f>
        <v>8.1649984692711387E-9</v>
      </c>
      <c r="J32" s="44">
        <f t="shared" ref="J32:J37" si="18">I32^2</f>
        <v>6.6667200003200044E-17</v>
      </c>
      <c r="K32" s="63">
        <f t="shared" ref="K32:K37" si="19">I32^4/F32</f>
        <v>8.8890311125333527E-34</v>
      </c>
      <c r="L32" s="43"/>
      <c r="M32" s="20" t="s">
        <v>152</v>
      </c>
      <c r="N32" s="49" t="s">
        <v>140</v>
      </c>
      <c r="O32" s="19" t="s">
        <v>153</v>
      </c>
      <c r="P32" s="65">
        <f>ID!L44*1000</f>
        <v>0.01</v>
      </c>
      <c r="Q32" s="62">
        <f>SQRT(6)</f>
        <v>2.4494897427831779</v>
      </c>
      <c r="R32" s="49">
        <v>5</v>
      </c>
      <c r="S32" s="47">
        <f t="shared" ref="S32:S37" si="20">P32/Q32</f>
        <v>4.0824829046386306E-3</v>
      </c>
      <c r="T32" s="64">
        <f>1/$M$3</f>
        <v>2.0000080000320002E-6</v>
      </c>
      <c r="U32" s="47">
        <f t="shared" ref="U32:U37" si="21">S32*T32</f>
        <v>8.1649984692711387E-9</v>
      </c>
      <c r="V32" s="44">
        <f t="shared" ref="V32:V37" si="22">U32^2</f>
        <v>6.6667200003200044E-17</v>
      </c>
      <c r="W32" s="63">
        <f t="shared" ref="W32:W37" si="23">U32^4/R32</f>
        <v>8.8890311125333527E-34</v>
      </c>
      <c r="X32" s="43"/>
      <c r="AF32" s="81"/>
      <c r="AK32" s="81"/>
    </row>
    <row r="33" spans="1:37" ht="16.5" customHeight="1">
      <c r="A33" s="61" t="s">
        <v>154</v>
      </c>
      <c r="B33" s="49" t="s">
        <v>155</v>
      </c>
      <c r="C33" s="57" t="s">
        <v>156</v>
      </c>
      <c r="D33" s="49">
        <f>0.5*0.1</f>
        <v>0.05</v>
      </c>
      <c r="E33" s="60">
        <f>SQRT(3)</f>
        <v>1.7320508075688772</v>
      </c>
      <c r="F33" s="54">
        <v>50</v>
      </c>
      <c r="G33" s="53">
        <f t="shared" si="16"/>
        <v>2.8867513459481291E-2</v>
      </c>
      <c r="H33" s="49">
        <v>1</v>
      </c>
      <c r="I33" s="53">
        <f t="shared" si="17"/>
        <v>2.8867513459481291E-2</v>
      </c>
      <c r="J33" s="48">
        <f t="shared" si="18"/>
        <v>8.333333333333335E-4</v>
      </c>
      <c r="K33" s="59">
        <f t="shared" si="19"/>
        <v>1.3888888888888894E-8</v>
      </c>
      <c r="L33" s="43"/>
      <c r="M33" s="61" t="s">
        <v>154</v>
      </c>
      <c r="N33" s="49" t="s">
        <v>155</v>
      </c>
      <c r="O33" s="57" t="s">
        <v>156</v>
      </c>
      <c r="P33" s="49">
        <f>0.5*0.1</f>
        <v>0.05</v>
      </c>
      <c r="Q33" s="60">
        <f>SQRT(3)</f>
        <v>1.7320508075688772</v>
      </c>
      <c r="R33" s="54">
        <v>50</v>
      </c>
      <c r="S33" s="53">
        <f t="shared" si="20"/>
        <v>2.8867513459481291E-2</v>
      </c>
      <c r="T33" s="49">
        <v>1</v>
      </c>
      <c r="U33" s="53">
        <f t="shared" si="21"/>
        <v>2.8867513459481291E-2</v>
      </c>
      <c r="V33" s="48">
        <f t="shared" si="22"/>
        <v>8.333333333333335E-4</v>
      </c>
      <c r="W33" s="59">
        <f t="shared" si="23"/>
        <v>1.3888888888888894E-8</v>
      </c>
      <c r="X33" s="43"/>
      <c r="AF33" s="83"/>
      <c r="AK33" s="83"/>
    </row>
    <row r="34" spans="1:37" ht="13.8">
      <c r="A34" s="58" t="s">
        <v>157</v>
      </c>
      <c r="B34" s="102" t="s">
        <v>138</v>
      </c>
      <c r="C34" s="57" t="s">
        <v>153</v>
      </c>
      <c r="D34" s="56">
        <f>$R$178*1000</f>
        <v>12</v>
      </c>
      <c r="E34" s="55">
        <v>2</v>
      </c>
      <c r="F34" s="54">
        <v>50</v>
      </c>
      <c r="G34" s="53">
        <f t="shared" si="16"/>
        <v>6</v>
      </c>
      <c r="H34" s="49">
        <f>E30/($M$3^2)</f>
        <v>6.000048000288002E-8</v>
      </c>
      <c r="I34" s="53">
        <f t="shared" si="17"/>
        <v>3.6000288001728012E-7</v>
      </c>
      <c r="J34" s="48">
        <f t="shared" si="18"/>
        <v>1.2960207362073619E-13</v>
      </c>
      <c r="K34" s="48">
        <f t="shared" si="19"/>
        <v>3.359339497358945E-28</v>
      </c>
      <c r="L34" s="45"/>
      <c r="M34" s="58" t="s">
        <v>157</v>
      </c>
      <c r="N34" s="102" t="s">
        <v>138</v>
      </c>
      <c r="O34" s="57" t="s">
        <v>153</v>
      </c>
      <c r="P34" s="56">
        <f>$R$178*1000</f>
        <v>12</v>
      </c>
      <c r="Q34" s="55">
        <v>2</v>
      </c>
      <c r="R34" s="54">
        <v>50</v>
      </c>
      <c r="S34" s="53">
        <f t="shared" si="20"/>
        <v>6</v>
      </c>
      <c r="T34" s="49">
        <f>Q30/($M$3^2)</f>
        <v>6.000048000288002E-8</v>
      </c>
      <c r="U34" s="53">
        <f t="shared" si="21"/>
        <v>3.6000288001728012E-7</v>
      </c>
      <c r="V34" s="48">
        <f t="shared" si="22"/>
        <v>1.2960207362073619E-13</v>
      </c>
      <c r="W34" s="48">
        <f t="shared" si="23"/>
        <v>3.359339497358945E-28</v>
      </c>
      <c r="X34" s="43"/>
      <c r="AF34" s="82"/>
      <c r="AK34" s="82"/>
    </row>
    <row r="35" spans="1:37" ht="13.8">
      <c r="A35" s="133" t="s">
        <v>158</v>
      </c>
      <c r="B35" s="102" t="s">
        <v>138</v>
      </c>
      <c r="C35" s="134" t="s">
        <v>156</v>
      </c>
      <c r="D35" s="975">
        <f>$Q$178*1000</f>
        <v>3</v>
      </c>
      <c r="E35" s="135">
        <f>SQRT(3)</f>
        <v>1.7320508075688772</v>
      </c>
      <c r="F35" s="54">
        <v>50</v>
      </c>
      <c r="G35" s="136">
        <f t="shared" si="16"/>
        <v>1.7320508075688774</v>
      </c>
      <c r="H35" s="54">
        <f>E30/($M$3^2)</f>
        <v>6.000048000288002E-8</v>
      </c>
      <c r="I35" s="136">
        <f t="shared" si="17"/>
        <v>1.0392387984350862E-7</v>
      </c>
      <c r="J35" s="137">
        <f t="shared" si="18"/>
        <v>1.0800172801728018E-14</v>
      </c>
      <c r="K35" s="138">
        <f t="shared" si="19"/>
        <v>2.3328746509437124E-30</v>
      </c>
      <c r="L35" s="43"/>
      <c r="M35" s="133" t="s">
        <v>158</v>
      </c>
      <c r="N35" s="102" t="s">
        <v>138</v>
      </c>
      <c r="O35" s="134" t="s">
        <v>156</v>
      </c>
      <c r="P35" s="975">
        <f>$Q$178*1000</f>
        <v>3</v>
      </c>
      <c r="Q35" s="135">
        <f>SQRT(3)</f>
        <v>1.7320508075688772</v>
      </c>
      <c r="R35" s="54">
        <v>50</v>
      </c>
      <c r="S35" s="136">
        <f t="shared" si="20"/>
        <v>1.7320508075688774</v>
      </c>
      <c r="T35" s="54">
        <f>Q30/($M$3^2)</f>
        <v>6.000048000288002E-8</v>
      </c>
      <c r="U35" s="136">
        <f t="shared" si="21"/>
        <v>1.0392387984350862E-7</v>
      </c>
      <c r="V35" s="137">
        <f t="shared" si="22"/>
        <v>1.0800172801728018E-14</v>
      </c>
      <c r="W35" s="138">
        <f t="shared" si="23"/>
        <v>2.3328746509437124E-30</v>
      </c>
      <c r="X35" s="43"/>
      <c r="AF35" s="82"/>
      <c r="AK35" s="82"/>
    </row>
    <row r="36" spans="1:37" ht="13.8">
      <c r="A36" s="58" t="s">
        <v>159</v>
      </c>
      <c r="B36" s="102" t="s">
        <v>140</v>
      </c>
      <c r="C36" s="57" t="s">
        <v>153</v>
      </c>
      <c r="D36" s="977">
        <f>SCOPE!P183*1000</f>
        <v>86.999652009105802</v>
      </c>
      <c r="E36" s="55">
        <v>2</v>
      </c>
      <c r="F36" s="54">
        <v>50</v>
      </c>
      <c r="G36" s="53">
        <f t="shared" si="16"/>
        <v>43.499826004552901</v>
      </c>
      <c r="H36" s="49">
        <f>1/$M$3</f>
        <v>2.0000080000320002E-6</v>
      </c>
      <c r="I36" s="53">
        <f t="shared" si="17"/>
        <v>8.7000000009105835E-5</v>
      </c>
      <c r="J36" s="48">
        <f t="shared" si="18"/>
        <v>7.5690000015844146E-9</v>
      </c>
      <c r="K36" s="48">
        <f t="shared" si="19"/>
        <v>1.1457952204796972E-18</v>
      </c>
      <c r="L36" s="43"/>
      <c r="M36" s="58" t="s">
        <v>159</v>
      </c>
      <c r="N36" s="102" t="s">
        <v>140</v>
      </c>
      <c r="O36" s="57" t="s">
        <v>153</v>
      </c>
      <c r="P36" s="977">
        <f>SCOPE!P204*1000</f>
        <v>87.000377001391982</v>
      </c>
      <c r="Q36" s="55">
        <v>2</v>
      </c>
      <c r="R36" s="54">
        <v>50</v>
      </c>
      <c r="S36" s="53">
        <f t="shared" si="20"/>
        <v>43.500188500695991</v>
      </c>
      <c r="T36" s="49">
        <f>1/$M$3</f>
        <v>2.0000080000320002E-6</v>
      </c>
      <c r="U36" s="53">
        <f t="shared" si="21"/>
        <v>8.7000725004292008E-5</v>
      </c>
      <c r="V36" s="48">
        <f t="shared" si="22"/>
        <v>7.5691261512724399E-9</v>
      </c>
      <c r="W36" s="48">
        <f t="shared" si="23"/>
        <v>1.1458334138775269E-18</v>
      </c>
      <c r="X36" s="43"/>
      <c r="AF36" s="82"/>
      <c r="AK36" s="82"/>
    </row>
    <row r="37" spans="1:37" ht="13.8">
      <c r="A37" s="133" t="s">
        <v>160</v>
      </c>
      <c r="B37" s="102" t="s">
        <v>140</v>
      </c>
      <c r="C37" s="134" t="s">
        <v>156</v>
      </c>
      <c r="D37" s="135">
        <f>SCOPE!O183*1000</f>
        <v>0.01</v>
      </c>
      <c r="E37" s="135">
        <f>SQRT(3)</f>
        <v>1.7320508075688772</v>
      </c>
      <c r="F37" s="54">
        <v>50</v>
      </c>
      <c r="G37" s="136">
        <f t="shared" si="16"/>
        <v>5.773502691896258E-3</v>
      </c>
      <c r="H37" s="54">
        <f>1/$M$3</f>
        <v>2.0000080000320002E-6</v>
      </c>
      <c r="I37" s="136">
        <f t="shared" si="17"/>
        <v>1.1547051571998804E-8</v>
      </c>
      <c r="J37" s="137">
        <f t="shared" si="18"/>
        <v>1.3333440000640004E-16</v>
      </c>
      <c r="K37" s="138">
        <f t="shared" si="19"/>
        <v>3.5556124450133382E-34</v>
      </c>
      <c r="L37" s="43"/>
      <c r="M37" s="133" t="s">
        <v>160</v>
      </c>
      <c r="N37" s="102" t="s">
        <v>140</v>
      </c>
      <c r="O37" s="134" t="s">
        <v>156</v>
      </c>
      <c r="P37" s="135">
        <f>SCOPE!O204*1000</f>
        <v>0.01</v>
      </c>
      <c r="Q37" s="135">
        <f>SQRT(3)</f>
        <v>1.7320508075688772</v>
      </c>
      <c r="R37" s="54">
        <v>50</v>
      </c>
      <c r="S37" s="136">
        <f t="shared" si="20"/>
        <v>5.773502691896258E-3</v>
      </c>
      <c r="T37" s="54">
        <f>1/$M$3</f>
        <v>2.0000080000320002E-6</v>
      </c>
      <c r="U37" s="136">
        <f t="shared" si="21"/>
        <v>1.1547051571998804E-8</v>
      </c>
      <c r="V37" s="137">
        <f t="shared" si="22"/>
        <v>1.3333440000640004E-16</v>
      </c>
      <c r="W37" s="138">
        <f t="shared" si="23"/>
        <v>3.5556124450133382E-34</v>
      </c>
      <c r="X37" s="43"/>
      <c r="AF37" s="82"/>
      <c r="AK37" s="82"/>
    </row>
    <row r="38" spans="1:37" ht="14.4">
      <c r="A38" s="16" t="s">
        <v>161</v>
      </c>
      <c r="B38" s="17"/>
      <c r="C38" s="17"/>
      <c r="D38" s="17"/>
      <c r="E38" s="46"/>
      <c r="F38" s="17"/>
      <c r="G38" s="17"/>
      <c r="H38" s="17"/>
      <c r="I38" s="17"/>
      <c r="J38" s="45">
        <f>SUM(J32:J34)</f>
        <v>8.3333333346300223E-4</v>
      </c>
      <c r="K38" s="44">
        <f>SUM(K32:K34)</f>
        <v>1.3888888888888894E-8</v>
      </c>
      <c r="L38" s="43"/>
      <c r="M38" s="16" t="s">
        <v>161</v>
      </c>
      <c r="N38" s="17"/>
      <c r="O38" s="17"/>
      <c r="P38" s="17"/>
      <c r="Q38" s="46"/>
      <c r="R38" s="17"/>
      <c r="S38" s="17"/>
      <c r="T38" s="17"/>
      <c r="U38" s="17"/>
      <c r="V38" s="45">
        <f>SUM(V32:V34)</f>
        <v>8.3333333346300223E-4</v>
      </c>
      <c r="W38" s="44">
        <f>SUM(W32:W34)</f>
        <v>1.3888888888888894E-8</v>
      </c>
      <c r="X38" s="43"/>
    </row>
    <row r="39" spans="1:37" ht="16.2">
      <c r="A39" s="36" t="s">
        <v>162</v>
      </c>
      <c r="B39" s="33"/>
      <c r="C39" s="33"/>
      <c r="D39" s="33"/>
      <c r="E39" s="35"/>
      <c r="F39" s="33"/>
      <c r="G39" s="42" t="s">
        <v>163</v>
      </c>
      <c r="H39" s="33"/>
      <c r="I39" s="33"/>
      <c r="J39" s="41">
        <f>SQRT(J38)</f>
        <v>2.886751346172722E-2</v>
      </c>
      <c r="K39" s="31"/>
      <c r="L39" s="30"/>
      <c r="M39" s="36" t="s">
        <v>162</v>
      </c>
      <c r="N39" s="33"/>
      <c r="O39" s="33"/>
      <c r="P39" s="33"/>
      <c r="Q39" s="35"/>
      <c r="R39" s="33"/>
      <c r="S39" s="42" t="s">
        <v>163</v>
      </c>
      <c r="T39" s="33"/>
      <c r="U39" s="33"/>
      <c r="V39" s="41">
        <f>SQRT(V38)</f>
        <v>2.886751346172722E-2</v>
      </c>
      <c r="W39" s="31"/>
      <c r="X39" s="30"/>
    </row>
    <row r="40" spans="1:37" ht="18">
      <c r="A40" s="16" t="s">
        <v>164</v>
      </c>
      <c r="B40" s="23"/>
      <c r="C40" s="23"/>
      <c r="D40" s="23"/>
      <c r="E40" s="40"/>
      <c r="F40" s="23"/>
      <c r="G40" s="39" t="s">
        <v>165</v>
      </c>
      <c r="H40" s="23"/>
      <c r="I40" s="23"/>
      <c r="J40" s="38">
        <f>J39^4/(K38)</f>
        <v>50.000000015560254</v>
      </c>
      <c r="K40" s="37"/>
      <c r="L40" s="30"/>
      <c r="M40" s="16" t="s">
        <v>164</v>
      </c>
      <c r="N40" s="23"/>
      <c r="O40" s="23"/>
      <c r="P40" s="23"/>
      <c r="Q40" s="40"/>
      <c r="R40" s="23"/>
      <c r="S40" s="39" t="s">
        <v>165</v>
      </c>
      <c r="T40" s="23"/>
      <c r="U40" s="23"/>
      <c r="V40" s="38">
        <f>V39^4/(W38)</f>
        <v>50.000000015560254</v>
      </c>
      <c r="W40" s="37"/>
      <c r="X40" s="30"/>
      <c r="AF40" s="79"/>
    </row>
    <row r="41" spans="1:37" ht="15.6">
      <c r="A41" s="36" t="s">
        <v>166</v>
      </c>
      <c r="B41" s="33"/>
      <c r="C41" s="33"/>
      <c r="D41" s="33"/>
      <c r="E41" s="35"/>
      <c r="F41" s="33"/>
      <c r="G41" s="34" t="s">
        <v>167</v>
      </c>
      <c r="H41" s="33"/>
      <c r="I41" s="33"/>
      <c r="J41" s="32">
        <f>1.95996+(2.37356/J40)+(2.818745/J40^2)+(2.546662/J40^3)+(1.761829/J40^4)+(0.245458/J40^5)+(1.000764/J40^6)</f>
        <v>2.0085793540226593</v>
      </c>
      <c r="K41" s="31"/>
      <c r="L41" s="30"/>
      <c r="M41" s="36" t="s">
        <v>166</v>
      </c>
      <c r="N41" s="33"/>
      <c r="O41" s="33"/>
      <c r="P41" s="33"/>
      <c r="Q41" s="35"/>
      <c r="R41" s="33"/>
      <c r="S41" s="34" t="s">
        <v>167</v>
      </c>
      <c r="T41" s="33"/>
      <c r="U41" s="33"/>
      <c r="V41" s="32">
        <f>1.95996+(2.37356/V40)+(2.818745/V40^2)+(2.546662/V40^3)+(1.761829/V40^4)+(0.245458/V40^5)+(1.000764/V40^6)</f>
        <v>2.0085793540226593</v>
      </c>
      <c r="W41" s="31"/>
      <c r="X41" s="30"/>
      <c r="AF41" s="75"/>
    </row>
    <row r="42" spans="1:37" ht="15" customHeight="1">
      <c r="A42" s="29" t="s">
        <v>168</v>
      </c>
      <c r="B42" s="26"/>
      <c r="C42" s="26"/>
      <c r="D42" s="26"/>
      <c r="E42" s="28"/>
      <c r="F42" s="26"/>
      <c r="G42" s="27" t="s">
        <v>169</v>
      </c>
      <c r="H42" s="26"/>
      <c r="I42" s="26"/>
      <c r="J42" s="25">
        <f>J39*J41</f>
        <v>5.7982691541196479E-2</v>
      </c>
      <c r="K42" s="78" t="s">
        <v>155</v>
      </c>
      <c r="L42" s="22"/>
      <c r="M42" s="29" t="s">
        <v>168</v>
      </c>
      <c r="N42" s="26"/>
      <c r="O42" s="26"/>
      <c r="P42" s="26"/>
      <c r="Q42" s="28"/>
      <c r="R42" s="26"/>
      <c r="S42" s="27" t="s">
        <v>169</v>
      </c>
      <c r="T42" s="26"/>
      <c r="U42" s="26"/>
      <c r="V42" s="25">
        <f>V39*V41</f>
        <v>5.7982691541196479E-2</v>
      </c>
      <c r="W42" s="78" t="s">
        <v>155</v>
      </c>
      <c r="X42" s="22"/>
      <c r="AF42" s="77"/>
      <c r="AG42" s="76"/>
      <c r="AH42" s="76"/>
      <c r="AI42" s="75"/>
      <c r="AJ42" s="74"/>
    </row>
    <row r="43" spans="1:37">
      <c r="A43" s="10" t="s">
        <v>56</v>
      </c>
      <c r="B43" s="73">
        <f>ID!C35</f>
        <v>40</v>
      </c>
      <c r="C43" t="s">
        <v>140</v>
      </c>
      <c r="D43" s="266" t="s">
        <v>139</v>
      </c>
      <c r="E43" s="265">
        <f>AVERAGE(ID!D35:I35)*1000</f>
        <v>20000</v>
      </c>
      <c r="J43" s="970">
        <f>(J42/B30)*100</f>
        <v>0.19327563847065493</v>
      </c>
      <c r="K43" s="968" t="s">
        <v>19</v>
      </c>
      <c r="M43" t="s">
        <v>56</v>
      </c>
      <c r="N43" s="103">
        <f>ID!C45</f>
        <v>40</v>
      </c>
      <c r="O43" t="s">
        <v>140</v>
      </c>
      <c r="P43" t="s">
        <v>139</v>
      </c>
      <c r="Q43">
        <f>AVERAGE(ID!D45:I45)*1000</f>
        <v>20000</v>
      </c>
      <c r="V43" s="970">
        <f>(V42/N30)*100</f>
        <v>0.19327563847065493</v>
      </c>
      <c r="W43" s="968" t="s">
        <v>19</v>
      </c>
      <c r="AF43" s="72"/>
      <c r="AG43" s="51"/>
      <c r="AH43" s="51"/>
      <c r="AI43" s="50"/>
      <c r="AJ43" s="12"/>
    </row>
    <row r="44" spans="1:37" ht="14.4">
      <c r="A44" s="71" t="s">
        <v>141</v>
      </c>
      <c r="B44" s="68" t="s">
        <v>142</v>
      </c>
      <c r="C44" s="69" t="s">
        <v>143</v>
      </c>
      <c r="D44" s="68" t="s">
        <v>144</v>
      </c>
      <c r="E44" s="70" t="s">
        <v>145</v>
      </c>
      <c r="F44" s="68" t="s">
        <v>146</v>
      </c>
      <c r="G44" s="69" t="s">
        <v>147</v>
      </c>
      <c r="H44" s="68" t="s">
        <v>148</v>
      </c>
      <c r="I44" s="69" t="s">
        <v>149</v>
      </c>
      <c r="J44" s="68" t="s">
        <v>150</v>
      </c>
      <c r="K44" s="67" t="s">
        <v>151</v>
      </c>
      <c r="L44" s="21"/>
      <c r="M44" s="71" t="s">
        <v>141</v>
      </c>
      <c r="N44" s="68" t="s">
        <v>142</v>
      </c>
      <c r="O44" s="69" t="s">
        <v>143</v>
      </c>
      <c r="P44" s="68" t="s">
        <v>144</v>
      </c>
      <c r="Q44" s="70" t="s">
        <v>145</v>
      </c>
      <c r="R44" s="68" t="s">
        <v>146</v>
      </c>
      <c r="S44" s="69" t="s">
        <v>147</v>
      </c>
      <c r="T44" s="68" t="s">
        <v>148</v>
      </c>
      <c r="U44" s="69" t="s">
        <v>149</v>
      </c>
      <c r="V44" s="68" t="s">
        <v>150</v>
      </c>
      <c r="W44" s="67" t="s">
        <v>151</v>
      </c>
      <c r="X44" s="21"/>
      <c r="AF44" s="52"/>
      <c r="AG44" s="51"/>
      <c r="AH44" s="51"/>
      <c r="AI44" s="50"/>
      <c r="AJ44" s="12"/>
    </row>
    <row r="45" spans="1:37">
      <c r="A45" s="20" t="s">
        <v>152</v>
      </c>
      <c r="B45" s="49" t="s">
        <v>140</v>
      </c>
      <c r="C45" s="19" t="s">
        <v>153</v>
      </c>
      <c r="D45" s="65">
        <f>ID!L35*1000</f>
        <v>0.01</v>
      </c>
      <c r="E45" s="62">
        <f>SQRT(6)</f>
        <v>2.4494897427831779</v>
      </c>
      <c r="F45" s="49">
        <v>5</v>
      </c>
      <c r="G45" s="47">
        <f t="shared" ref="G45:G50" si="24">D45/E45</f>
        <v>4.0824829046386306E-3</v>
      </c>
      <c r="H45" s="64">
        <f>1/$M$3</f>
        <v>2.0000080000320002E-6</v>
      </c>
      <c r="I45" s="47">
        <f t="shared" ref="I45:I50" si="25">G45*H45</f>
        <v>8.1649984692711387E-9</v>
      </c>
      <c r="J45" s="44">
        <f t="shared" ref="J45:J50" si="26">I45^2</f>
        <v>6.6667200003200044E-17</v>
      </c>
      <c r="K45" s="63">
        <f t="shared" ref="K45:K50" si="27">I45^4/F45</f>
        <v>8.8890311125333527E-34</v>
      </c>
      <c r="L45" s="43"/>
      <c r="M45" s="20" t="s">
        <v>152</v>
      </c>
      <c r="N45" s="49" t="s">
        <v>140</v>
      </c>
      <c r="O45" s="19" t="s">
        <v>153</v>
      </c>
      <c r="P45" s="65">
        <f>ID!L45*1000</f>
        <v>0.01</v>
      </c>
      <c r="Q45" s="62">
        <f>SQRT(6)</f>
        <v>2.4494897427831779</v>
      </c>
      <c r="R45" s="49">
        <v>5</v>
      </c>
      <c r="S45" s="47">
        <f t="shared" ref="S45:S50" si="28">P45/Q45</f>
        <v>4.0824829046386306E-3</v>
      </c>
      <c r="T45" s="64">
        <f>1/$M$3</f>
        <v>2.0000080000320002E-6</v>
      </c>
      <c r="U45" s="47">
        <f t="shared" ref="U45:U50" si="29">S45*T45</f>
        <v>8.1649984692711387E-9</v>
      </c>
      <c r="V45" s="44">
        <f t="shared" ref="V45:V50" si="30">U45^2</f>
        <v>6.6667200003200044E-17</v>
      </c>
      <c r="W45" s="63">
        <f t="shared" ref="W45:W50" si="31">U45^4/R45</f>
        <v>8.8890311125333527E-34</v>
      </c>
      <c r="X45" s="43"/>
      <c r="AF45" s="52"/>
      <c r="AG45" s="51"/>
      <c r="AH45" s="51"/>
      <c r="AI45" s="50"/>
      <c r="AJ45" s="12"/>
    </row>
    <row r="46" spans="1:37">
      <c r="A46" s="61" t="s">
        <v>154</v>
      </c>
      <c r="B46" s="49" t="s">
        <v>155</v>
      </c>
      <c r="C46" s="57" t="s">
        <v>156</v>
      </c>
      <c r="D46" s="49">
        <f>0.5*0.1</f>
        <v>0.05</v>
      </c>
      <c r="E46" s="60">
        <f>SQRT(3)</f>
        <v>1.7320508075688772</v>
      </c>
      <c r="F46" s="54">
        <v>50</v>
      </c>
      <c r="G46" s="53">
        <f t="shared" si="24"/>
        <v>2.8867513459481291E-2</v>
      </c>
      <c r="H46" s="49">
        <v>1</v>
      </c>
      <c r="I46" s="53">
        <f t="shared" si="25"/>
        <v>2.8867513459481291E-2</v>
      </c>
      <c r="J46" s="48">
        <f t="shared" si="26"/>
        <v>8.333333333333335E-4</v>
      </c>
      <c r="K46" s="59">
        <f t="shared" si="27"/>
        <v>1.3888888888888894E-8</v>
      </c>
      <c r="L46" s="43"/>
      <c r="M46" s="61" t="s">
        <v>154</v>
      </c>
      <c r="N46" s="49" t="s">
        <v>155</v>
      </c>
      <c r="O46" s="57" t="s">
        <v>156</v>
      </c>
      <c r="P46" s="49">
        <f>0.5*0.1</f>
        <v>0.05</v>
      </c>
      <c r="Q46" s="60">
        <f>SQRT(3)</f>
        <v>1.7320508075688772</v>
      </c>
      <c r="R46" s="54">
        <v>50</v>
      </c>
      <c r="S46" s="53">
        <f t="shared" si="28"/>
        <v>2.8867513459481291E-2</v>
      </c>
      <c r="T46" s="49">
        <v>1</v>
      </c>
      <c r="U46" s="53">
        <f t="shared" si="29"/>
        <v>2.8867513459481291E-2</v>
      </c>
      <c r="V46" s="48">
        <f t="shared" si="30"/>
        <v>8.333333333333335E-4</v>
      </c>
      <c r="W46" s="59">
        <f t="shared" si="31"/>
        <v>1.3888888888888894E-8</v>
      </c>
      <c r="X46" s="43"/>
      <c r="AF46" s="52"/>
      <c r="AG46" s="51"/>
      <c r="AH46" s="51"/>
      <c r="AI46" s="50"/>
      <c r="AJ46" s="12"/>
    </row>
    <row r="47" spans="1:37" ht="13.8">
      <c r="A47" s="58" t="s">
        <v>157</v>
      </c>
      <c r="B47" s="102" t="s">
        <v>138</v>
      </c>
      <c r="C47" s="57" t="s">
        <v>153</v>
      </c>
      <c r="D47" s="56">
        <f>$R$178*1000</f>
        <v>12</v>
      </c>
      <c r="E47" s="55">
        <v>2</v>
      </c>
      <c r="F47" s="54">
        <v>50</v>
      </c>
      <c r="G47" s="53">
        <f t="shared" si="24"/>
        <v>6</v>
      </c>
      <c r="H47" s="49">
        <f>E43/($M$3^2)</f>
        <v>8.0000640003840018E-8</v>
      </c>
      <c r="I47" s="53">
        <f t="shared" si="25"/>
        <v>4.8000384002304016E-7</v>
      </c>
      <c r="J47" s="48">
        <f t="shared" si="26"/>
        <v>2.3040368643686432E-13</v>
      </c>
      <c r="K47" s="48">
        <f t="shared" si="27"/>
        <v>1.061717174473938E-27</v>
      </c>
      <c r="L47" s="43"/>
      <c r="M47" s="58" t="s">
        <v>157</v>
      </c>
      <c r="N47" s="102" t="s">
        <v>138</v>
      </c>
      <c r="O47" s="57" t="s">
        <v>153</v>
      </c>
      <c r="P47" s="56">
        <f>$R$178*1000</f>
        <v>12</v>
      </c>
      <c r="Q47" s="55">
        <v>2</v>
      </c>
      <c r="R47" s="54">
        <v>50</v>
      </c>
      <c r="S47" s="53">
        <f t="shared" si="28"/>
        <v>6</v>
      </c>
      <c r="T47" s="49">
        <f>Q43/($M$3^2)</f>
        <v>8.0000640003840018E-8</v>
      </c>
      <c r="U47" s="53">
        <f t="shared" si="29"/>
        <v>4.8000384002304016E-7</v>
      </c>
      <c r="V47" s="48">
        <f t="shared" si="30"/>
        <v>2.3040368643686432E-13</v>
      </c>
      <c r="W47" s="48">
        <f t="shared" si="31"/>
        <v>1.061717174473938E-27</v>
      </c>
      <c r="X47" s="43"/>
      <c r="AF47" s="52"/>
      <c r="AG47" s="51"/>
      <c r="AH47" s="51"/>
      <c r="AI47" s="50"/>
      <c r="AJ47" s="12"/>
    </row>
    <row r="48" spans="1:37" ht="13.8">
      <c r="A48" s="133" t="s">
        <v>158</v>
      </c>
      <c r="B48" s="102" t="s">
        <v>138</v>
      </c>
      <c r="C48" s="134" t="s">
        <v>156</v>
      </c>
      <c r="D48" s="975">
        <f>$Q$178*1000</f>
        <v>3</v>
      </c>
      <c r="E48" s="135">
        <f>SQRT(3)</f>
        <v>1.7320508075688772</v>
      </c>
      <c r="F48" s="54">
        <v>50</v>
      </c>
      <c r="G48" s="136">
        <f t="shared" si="24"/>
        <v>1.7320508075688774</v>
      </c>
      <c r="H48" s="54">
        <f>E43/($M$3^2)</f>
        <v>8.0000640003840018E-8</v>
      </c>
      <c r="I48" s="136">
        <f t="shared" si="25"/>
        <v>1.3856517312467813E-7</v>
      </c>
      <c r="J48" s="137">
        <f t="shared" si="26"/>
        <v>1.9200307203072021E-14</v>
      </c>
      <c r="K48" s="138">
        <f t="shared" si="27"/>
        <v>7.3730359338467863E-30</v>
      </c>
      <c r="L48" s="43"/>
      <c r="M48" s="133" t="s">
        <v>158</v>
      </c>
      <c r="N48" s="102" t="s">
        <v>138</v>
      </c>
      <c r="O48" s="134" t="s">
        <v>156</v>
      </c>
      <c r="P48" s="975">
        <f>$Q$178*1000</f>
        <v>3</v>
      </c>
      <c r="Q48" s="135">
        <f>SQRT(3)</f>
        <v>1.7320508075688772</v>
      </c>
      <c r="R48" s="54">
        <v>50</v>
      </c>
      <c r="S48" s="136">
        <f t="shared" si="28"/>
        <v>1.7320508075688774</v>
      </c>
      <c r="T48" s="54">
        <f>Q43/($M$3^2)</f>
        <v>8.0000640003840018E-8</v>
      </c>
      <c r="U48" s="136">
        <f t="shared" si="29"/>
        <v>1.3856517312467813E-7</v>
      </c>
      <c r="V48" s="137">
        <f t="shared" si="30"/>
        <v>1.9200307203072021E-14</v>
      </c>
      <c r="W48" s="138">
        <f t="shared" si="31"/>
        <v>7.3730359338467863E-30</v>
      </c>
      <c r="X48" s="43"/>
      <c r="AF48" s="52"/>
      <c r="AG48" s="51"/>
      <c r="AH48" s="51"/>
      <c r="AI48" s="50"/>
      <c r="AJ48" s="12"/>
    </row>
    <row r="49" spans="1:36" ht="13.8">
      <c r="A49" s="58" t="s">
        <v>159</v>
      </c>
      <c r="B49" s="102" t="s">
        <v>140</v>
      </c>
      <c r="C49" s="57" t="s">
        <v>153</v>
      </c>
      <c r="D49" s="977">
        <f>SCOPE!P184*1000</f>
        <v>115.99952634547439</v>
      </c>
      <c r="E49" s="55">
        <v>2</v>
      </c>
      <c r="F49" s="54">
        <v>50</v>
      </c>
      <c r="G49" s="53">
        <f t="shared" si="24"/>
        <v>57.999763172737197</v>
      </c>
      <c r="H49" s="49">
        <f>1/$M$3</f>
        <v>2.0000080000320002E-6</v>
      </c>
      <c r="I49" s="53">
        <f t="shared" si="25"/>
        <v>1.1599999034543578E-4</v>
      </c>
      <c r="J49" s="48">
        <f t="shared" si="26"/>
        <v>1.3455997760141195E-8</v>
      </c>
      <c r="K49" s="48">
        <f t="shared" si="27"/>
        <v>3.6212775144184964E-18</v>
      </c>
      <c r="L49" s="43"/>
      <c r="M49" s="58" t="s">
        <v>159</v>
      </c>
      <c r="N49" s="102" t="s">
        <v>140</v>
      </c>
      <c r="O49" s="57" t="s">
        <v>153</v>
      </c>
      <c r="P49" s="977">
        <f>SCOPE!P205*1000</f>
        <v>116.00049300185601</v>
      </c>
      <c r="Q49" s="55">
        <v>2</v>
      </c>
      <c r="R49" s="54">
        <v>50</v>
      </c>
      <c r="S49" s="53">
        <f t="shared" si="28"/>
        <v>58.000246500928007</v>
      </c>
      <c r="T49" s="49">
        <f>1/$M$3</f>
        <v>2.0000080000320002E-6</v>
      </c>
      <c r="U49" s="53">
        <f t="shared" si="29"/>
        <v>1.1600095700568404E-4</v>
      </c>
      <c r="V49" s="48">
        <f t="shared" si="30"/>
        <v>1.3456222026234557E-8</v>
      </c>
      <c r="W49" s="48">
        <f t="shared" si="31"/>
        <v>3.6213982243864009E-18</v>
      </c>
      <c r="X49" s="43"/>
      <c r="AF49" s="52"/>
      <c r="AG49" s="51"/>
      <c r="AH49" s="51"/>
      <c r="AI49" s="50"/>
      <c r="AJ49" s="12"/>
    </row>
    <row r="50" spans="1:36" ht="13.8">
      <c r="A50" s="133" t="s">
        <v>160</v>
      </c>
      <c r="B50" s="102" t="s">
        <v>140</v>
      </c>
      <c r="C50" s="134" t="s">
        <v>156</v>
      </c>
      <c r="D50" s="135">
        <f>SCOPE!O184*1000</f>
        <v>0.01</v>
      </c>
      <c r="E50" s="135">
        <f>SQRT(3)</f>
        <v>1.7320508075688772</v>
      </c>
      <c r="F50" s="54">
        <v>50</v>
      </c>
      <c r="G50" s="136">
        <f t="shared" si="24"/>
        <v>5.773502691896258E-3</v>
      </c>
      <c r="H50" s="54">
        <f>1/$M$3</f>
        <v>2.0000080000320002E-6</v>
      </c>
      <c r="I50" s="136">
        <f t="shared" si="25"/>
        <v>1.1547051571998804E-8</v>
      </c>
      <c r="J50" s="137">
        <f t="shared" si="26"/>
        <v>1.3333440000640004E-16</v>
      </c>
      <c r="K50" s="138">
        <f t="shared" si="27"/>
        <v>3.5556124450133382E-34</v>
      </c>
      <c r="L50" s="43"/>
      <c r="M50" s="133" t="s">
        <v>160</v>
      </c>
      <c r="N50" s="102" t="s">
        <v>140</v>
      </c>
      <c r="O50" s="134" t="s">
        <v>156</v>
      </c>
      <c r="P50" s="135">
        <f>SCOPE!O205*1000</f>
        <v>0.01</v>
      </c>
      <c r="Q50" s="135">
        <f>SQRT(3)</f>
        <v>1.7320508075688772</v>
      </c>
      <c r="R50" s="54">
        <v>50</v>
      </c>
      <c r="S50" s="136">
        <f t="shared" si="28"/>
        <v>5.773502691896258E-3</v>
      </c>
      <c r="T50" s="54">
        <f>1/$M$3</f>
        <v>2.0000080000320002E-6</v>
      </c>
      <c r="U50" s="136">
        <f t="shared" si="29"/>
        <v>1.1547051571998804E-8</v>
      </c>
      <c r="V50" s="137">
        <f t="shared" si="30"/>
        <v>1.3333440000640004E-16</v>
      </c>
      <c r="W50" s="138">
        <f t="shared" si="31"/>
        <v>3.5556124450133382E-34</v>
      </c>
      <c r="X50" s="43"/>
      <c r="AF50" s="52"/>
      <c r="AG50" s="51"/>
      <c r="AH50" s="51"/>
      <c r="AI50" s="50"/>
      <c r="AJ50" s="12"/>
    </row>
    <row r="51" spans="1:36" ht="14.4">
      <c r="A51" s="16" t="s">
        <v>161</v>
      </c>
      <c r="B51" s="17"/>
      <c r="C51" s="17"/>
      <c r="D51" s="17"/>
      <c r="E51" s="46"/>
      <c r="F51" s="17"/>
      <c r="G51" s="17"/>
      <c r="H51" s="17"/>
      <c r="I51" s="17"/>
      <c r="J51" s="45">
        <f>SUM(J45:J47)</f>
        <v>8.3333333356380387E-4</v>
      </c>
      <c r="K51" s="44">
        <f>SUM(K45:K47)</f>
        <v>1.3888888888888894E-8</v>
      </c>
      <c r="L51" s="45"/>
      <c r="M51" s="16" t="s">
        <v>161</v>
      </c>
      <c r="N51" s="17"/>
      <c r="O51" s="17"/>
      <c r="P51" s="17"/>
      <c r="Q51" s="46"/>
      <c r="R51" s="17"/>
      <c r="S51" s="17"/>
      <c r="T51" s="17"/>
      <c r="U51" s="17"/>
      <c r="V51" s="45">
        <f>SUM(V45:V47)</f>
        <v>8.3333333356380387E-4</v>
      </c>
      <c r="W51" s="44">
        <f>SUM(W45:W47)</f>
        <v>1.3888888888888894E-8</v>
      </c>
      <c r="X51" s="43"/>
    </row>
    <row r="52" spans="1:36" ht="16.2">
      <c r="A52" s="36" t="s">
        <v>162</v>
      </c>
      <c r="B52" s="33"/>
      <c r="C52" s="33"/>
      <c r="D52" s="33"/>
      <c r="E52" s="35"/>
      <c r="F52" s="33"/>
      <c r="G52" s="42" t="s">
        <v>163</v>
      </c>
      <c r="H52" s="33"/>
      <c r="I52" s="33"/>
      <c r="J52" s="41">
        <f>SQRT(J51)</f>
        <v>2.8867513463473157E-2</v>
      </c>
      <c r="K52" s="31"/>
      <c r="L52" s="30"/>
      <c r="M52" s="36" t="s">
        <v>162</v>
      </c>
      <c r="N52" s="33"/>
      <c r="O52" s="33"/>
      <c r="P52" s="33"/>
      <c r="Q52" s="35"/>
      <c r="R52" s="33"/>
      <c r="S52" s="42" t="s">
        <v>163</v>
      </c>
      <c r="T52" s="33"/>
      <c r="U52" s="33"/>
      <c r="V52" s="41">
        <f>SQRT(V51)</f>
        <v>2.8867513463473157E-2</v>
      </c>
      <c r="W52" s="31"/>
      <c r="X52" s="30"/>
    </row>
    <row r="53" spans="1:36" ht="18">
      <c r="A53" s="16" t="s">
        <v>164</v>
      </c>
      <c r="B53" s="23"/>
      <c r="C53" s="23"/>
      <c r="D53" s="23"/>
      <c r="E53" s="40"/>
      <c r="F53" s="23"/>
      <c r="G53" s="39" t="s">
        <v>165</v>
      </c>
      <c r="H53" s="23"/>
      <c r="I53" s="23"/>
      <c r="J53" s="38">
        <f>J52^4/(K51)</f>
        <v>50.000000027656462</v>
      </c>
      <c r="K53" s="37"/>
      <c r="L53" s="30"/>
      <c r="M53" s="16" t="s">
        <v>164</v>
      </c>
      <c r="N53" s="23"/>
      <c r="O53" s="23"/>
      <c r="P53" s="23"/>
      <c r="Q53" s="40"/>
      <c r="R53" s="23"/>
      <c r="S53" s="39" t="s">
        <v>165</v>
      </c>
      <c r="T53" s="23"/>
      <c r="U53" s="23"/>
      <c r="V53" s="38">
        <f>V52^4/(W51)</f>
        <v>50.000000027656462</v>
      </c>
      <c r="W53" s="37"/>
      <c r="X53" s="30"/>
    </row>
    <row r="54" spans="1:36" ht="15.6">
      <c r="A54" s="36" t="s">
        <v>166</v>
      </c>
      <c r="B54" s="33"/>
      <c r="C54" s="33"/>
      <c r="D54" s="33"/>
      <c r="E54" s="35"/>
      <c r="F54" s="33"/>
      <c r="G54" s="34" t="s">
        <v>167</v>
      </c>
      <c r="H54" s="33"/>
      <c r="I54" s="33"/>
      <c r="J54" s="32">
        <f>1.95996+(2.37356/J53)+(2.818745/J53^2)+(2.546662/J53^3)+(1.761829/J53^4)+(0.245458/J53^5)+(1.000764/J53^6)</f>
        <v>2.0085793540106152</v>
      </c>
      <c r="K54" s="31"/>
      <c r="L54" s="30"/>
      <c r="M54" s="36" t="s">
        <v>166</v>
      </c>
      <c r="N54" s="33"/>
      <c r="O54" s="33"/>
      <c r="P54" s="33"/>
      <c r="Q54" s="35"/>
      <c r="R54" s="33"/>
      <c r="S54" s="34" t="s">
        <v>167</v>
      </c>
      <c r="T54" s="33"/>
      <c r="U54" s="33"/>
      <c r="V54" s="32">
        <f>1.95996+(2.37356/V53)+(2.818745/V53^2)+(2.546662/V53^3)+(1.761829/V53^4)+(0.245458/V53^5)+(1.000764/V53^6)</f>
        <v>2.0085793540106152</v>
      </c>
      <c r="W54" s="31"/>
      <c r="X54" s="30"/>
    </row>
    <row r="55" spans="1:36" ht="14.4">
      <c r="A55" s="29" t="s">
        <v>168</v>
      </c>
      <c r="B55" s="26"/>
      <c r="C55" s="26"/>
      <c r="D55" s="26"/>
      <c r="E55" s="28"/>
      <c r="F55" s="26"/>
      <c r="G55" s="27" t="s">
        <v>169</v>
      </c>
      <c r="H55" s="26"/>
      <c r="I55" s="26"/>
      <c r="J55" s="25">
        <f>J52*J54</f>
        <v>5.7982691544355647E-2</v>
      </c>
      <c r="K55" s="24" t="s">
        <v>155</v>
      </c>
      <c r="L55" s="22"/>
      <c r="M55" s="29" t="s">
        <v>168</v>
      </c>
      <c r="N55" s="26"/>
      <c r="O55" s="26"/>
      <c r="P55" s="26"/>
      <c r="Q55" s="28"/>
      <c r="R55" s="26"/>
      <c r="S55" s="27" t="s">
        <v>169</v>
      </c>
      <c r="T55" s="26"/>
      <c r="U55" s="26"/>
      <c r="V55" s="25">
        <f>V52*V54</f>
        <v>5.7982691544355647E-2</v>
      </c>
      <c r="W55" s="24" t="s">
        <v>155</v>
      </c>
      <c r="X55" s="22"/>
    </row>
    <row r="56" spans="1:36" ht="12.75" customHeight="1">
      <c r="A56" s="10" t="s">
        <v>56</v>
      </c>
      <c r="B56" s="103">
        <f>ID!C36</f>
        <v>50</v>
      </c>
      <c r="C56" t="s">
        <v>140</v>
      </c>
      <c r="D56" s="266" t="s">
        <v>139</v>
      </c>
      <c r="E56" s="265">
        <f>AVERAGE(ID!D36:I36)*1000</f>
        <v>25000</v>
      </c>
      <c r="J56" s="970">
        <f>(J55/B43)*100</f>
        <v>0.14495672886088912</v>
      </c>
      <c r="K56" s="968" t="s">
        <v>19</v>
      </c>
      <c r="M56" t="s">
        <v>56</v>
      </c>
      <c r="N56" s="103">
        <f>ID!C46</f>
        <v>50</v>
      </c>
      <c r="O56" t="s">
        <v>140</v>
      </c>
      <c r="P56" t="s">
        <v>139</v>
      </c>
      <c r="Q56">
        <f>AVERAGE(ID!D46:I46)*1000</f>
        <v>25000</v>
      </c>
      <c r="V56" s="970">
        <f>(V55/N43)*100</f>
        <v>0.14495672886088912</v>
      </c>
      <c r="W56" s="968" t="s">
        <v>19</v>
      </c>
    </row>
    <row r="57" spans="1:36" ht="15.75" customHeight="1">
      <c r="A57" s="71" t="s">
        <v>141</v>
      </c>
      <c r="B57" s="68" t="s">
        <v>142</v>
      </c>
      <c r="C57" s="69" t="s">
        <v>143</v>
      </c>
      <c r="D57" s="68" t="s">
        <v>144</v>
      </c>
      <c r="E57" s="70" t="s">
        <v>145</v>
      </c>
      <c r="F57" s="68" t="s">
        <v>146</v>
      </c>
      <c r="G57" s="69" t="s">
        <v>147</v>
      </c>
      <c r="H57" s="68" t="s">
        <v>148</v>
      </c>
      <c r="I57" s="69" t="s">
        <v>149</v>
      </c>
      <c r="J57" s="68" t="s">
        <v>150</v>
      </c>
      <c r="K57" s="67" t="s">
        <v>151</v>
      </c>
      <c r="L57" s="21"/>
      <c r="M57" s="71" t="s">
        <v>141</v>
      </c>
      <c r="N57" s="68" t="s">
        <v>142</v>
      </c>
      <c r="O57" s="69" t="s">
        <v>143</v>
      </c>
      <c r="P57" s="68" t="s">
        <v>144</v>
      </c>
      <c r="Q57" s="70" t="s">
        <v>145</v>
      </c>
      <c r="R57" s="68" t="s">
        <v>146</v>
      </c>
      <c r="S57" s="69" t="s">
        <v>147</v>
      </c>
      <c r="T57" s="68" t="s">
        <v>148</v>
      </c>
      <c r="U57" s="69" t="s">
        <v>149</v>
      </c>
      <c r="V57" s="68" t="s">
        <v>150</v>
      </c>
      <c r="W57" s="67" t="s">
        <v>151</v>
      </c>
    </row>
    <row r="58" spans="1:36" ht="16.5" customHeight="1">
      <c r="A58" s="20" t="s">
        <v>152</v>
      </c>
      <c r="B58" s="49" t="s">
        <v>140</v>
      </c>
      <c r="C58" s="19" t="s">
        <v>153</v>
      </c>
      <c r="D58" s="65">
        <f>ID!L36*1000</f>
        <v>0.01</v>
      </c>
      <c r="E58" s="62">
        <f>SQRT(6)</f>
        <v>2.4494897427831779</v>
      </c>
      <c r="F58" s="49">
        <v>5</v>
      </c>
      <c r="G58" s="47">
        <f t="shared" ref="G58:G63" si="32">D58/E58</f>
        <v>4.0824829046386306E-3</v>
      </c>
      <c r="H58" s="64">
        <f>1/$M$3</f>
        <v>2.0000080000320002E-6</v>
      </c>
      <c r="I58" s="47">
        <f t="shared" ref="I58:I63" si="33">G58*H58</f>
        <v>8.1649984692711387E-9</v>
      </c>
      <c r="J58" s="44">
        <f t="shared" ref="J58:J63" si="34">I58^2</f>
        <v>6.6667200003200044E-17</v>
      </c>
      <c r="K58" s="63">
        <f t="shared" ref="K58:K63" si="35">I58^4/F58</f>
        <v>8.8890311125333527E-34</v>
      </c>
      <c r="L58" s="43"/>
      <c r="M58" s="20" t="s">
        <v>152</v>
      </c>
      <c r="N58" s="49" t="s">
        <v>140</v>
      </c>
      <c r="O58" s="19" t="s">
        <v>153</v>
      </c>
      <c r="P58" s="65">
        <f>ID!L46*1000</f>
        <v>0.01</v>
      </c>
      <c r="Q58" s="62">
        <f>SQRT(6)</f>
        <v>2.4494897427831779</v>
      </c>
      <c r="R58" s="49">
        <v>5</v>
      </c>
      <c r="S58" s="47">
        <f t="shared" ref="S58:S63" si="36">P58/Q58</f>
        <v>4.0824829046386306E-3</v>
      </c>
      <c r="T58" s="64">
        <f>1/$M$3</f>
        <v>2.0000080000320002E-6</v>
      </c>
      <c r="U58" s="47">
        <f t="shared" ref="U58:U63" si="37">S58*T58</f>
        <v>8.1649984692711387E-9</v>
      </c>
      <c r="V58" s="44">
        <f t="shared" ref="V58:V63" si="38">U58^2</f>
        <v>6.6667200003200044E-17</v>
      </c>
      <c r="W58" s="63">
        <f t="shared" ref="W58:W63" si="39">U58^4/R58</f>
        <v>8.8890311125333527E-34</v>
      </c>
    </row>
    <row r="59" spans="1:36">
      <c r="A59" s="61" t="s">
        <v>154</v>
      </c>
      <c r="B59" s="49" t="s">
        <v>155</v>
      </c>
      <c r="C59" s="57" t="s">
        <v>156</v>
      </c>
      <c r="D59" s="49">
        <f>0.5*0.1</f>
        <v>0.05</v>
      </c>
      <c r="E59" s="60">
        <f>SQRT(3)</f>
        <v>1.7320508075688772</v>
      </c>
      <c r="F59" s="54">
        <v>50</v>
      </c>
      <c r="G59" s="53">
        <f t="shared" si="32"/>
        <v>2.8867513459481291E-2</v>
      </c>
      <c r="H59" s="49">
        <v>1</v>
      </c>
      <c r="I59" s="53">
        <f t="shared" si="33"/>
        <v>2.8867513459481291E-2</v>
      </c>
      <c r="J59" s="48">
        <f t="shared" si="34"/>
        <v>8.333333333333335E-4</v>
      </c>
      <c r="K59" s="59">
        <f t="shared" si="35"/>
        <v>1.3888888888888894E-8</v>
      </c>
      <c r="L59" s="43"/>
      <c r="M59" s="61" t="s">
        <v>154</v>
      </c>
      <c r="N59" s="49" t="s">
        <v>155</v>
      </c>
      <c r="O59" s="57" t="s">
        <v>156</v>
      </c>
      <c r="P59" s="49">
        <f>0.5*0.1</f>
        <v>0.05</v>
      </c>
      <c r="Q59" s="60">
        <f>SQRT(3)</f>
        <v>1.7320508075688772</v>
      </c>
      <c r="R59" s="54">
        <v>50</v>
      </c>
      <c r="S59" s="53">
        <f t="shared" si="36"/>
        <v>2.8867513459481291E-2</v>
      </c>
      <c r="T59" s="49">
        <v>1</v>
      </c>
      <c r="U59" s="53">
        <f t="shared" si="37"/>
        <v>2.8867513459481291E-2</v>
      </c>
      <c r="V59" s="48">
        <f t="shared" si="38"/>
        <v>8.333333333333335E-4</v>
      </c>
      <c r="W59" s="59">
        <f t="shared" si="39"/>
        <v>1.3888888888888894E-8</v>
      </c>
    </row>
    <row r="60" spans="1:36" ht="13.8">
      <c r="A60" s="58" t="s">
        <v>157</v>
      </c>
      <c r="B60" s="102" t="s">
        <v>138</v>
      </c>
      <c r="C60" s="57" t="s">
        <v>153</v>
      </c>
      <c r="D60" s="56">
        <f>$R$178*1000</f>
        <v>12</v>
      </c>
      <c r="E60" s="55">
        <v>2</v>
      </c>
      <c r="F60" s="54">
        <v>50</v>
      </c>
      <c r="G60" s="53">
        <f t="shared" si="32"/>
        <v>6</v>
      </c>
      <c r="H60" s="49">
        <f>E56/($M$3^2)</f>
        <v>1.0000080000480003E-7</v>
      </c>
      <c r="I60" s="53">
        <f t="shared" si="33"/>
        <v>6.000048000288002E-7</v>
      </c>
      <c r="J60" s="48">
        <f t="shared" si="34"/>
        <v>3.6000576005760053E-13</v>
      </c>
      <c r="K60" s="48">
        <f t="shared" si="35"/>
        <v>2.5920829454930126E-27</v>
      </c>
      <c r="L60" s="43"/>
      <c r="M60" s="58" t="s">
        <v>157</v>
      </c>
      <c r="N60" s="102" t="s">
        <v>138</v>
      </c>
      <c r="O60" s="57" t="s">
        <v>153</v>
      </c>
      <c r="P60" s="56">
        <f>$R$178*1000</f>
        <v>12</v>
      </c>
      <c r="Q60" s="55">
        <v>2</v>
      </c>
      <c r="R60" s="54">
        <v>50</v>
      </c>
      <c r="S60" s="53">
        <f t="shared" si="36"/>
        <v>6</v>
      </c>
      <c r="T60" s="49">
        <f>Q56/($M$3^2)</f>
        <v>1.0000080000480003E-7</v>
      </c>
      <c r="U60" s="53">
        <f t="shared" si="37"/>
        <v>6.000048000288002E-7</v>
      </c>
      <c r="V60" s="48">
        <f t="shared" si="38"/>
        <v>3.6000576005760053E-13</v>
      </c>
      <c r="W60" s="48">
        <f t="shared" si="39"/>
        <v>2.5920829454930126E-27</v>
      </c>
    </row>
    <row r="61" spans="1:36" ht="13.8">
      <c r="A61" s="133" t="s">
        <v>158</v>
      </c>
      <c r="B61" s="102" t="s">
        <v>138</v>
      </c>
      <c r="C61" s="134" t="s">
        <v>156</v>
      </c>
      <c r="D61" s="975">
        <f>$Q$178*1000</f>
        <v>3</v>
      </c>
      <c r="E61" s="135">
        <f>SQRT(3)</f>
        <v>1.7320508075688772</v>
      </c>
      <c r="F61" s="54">
        <v>50</v>
      </c>
      <c r="G61" s="136">
        <f t="shared" si="32"/>
        <v>1.7320508075688774</v>
      </c>
      <c r="H61" s="54">
        <f>E56/($M$3^2)</f>
        <v>1.0000080000480003E-7</v>
      </c>
      <c r="I61" s="136">
        <f t="shared" si="33"/>
        <v>1.732064664058477E-7</v>
      </c>
      <c r="J61" s="137">
        <f t="shared" si="34"/>
        <v>3.0000480004800049E-14</v>
      </c>
      <c r="K61" s="138">
        <f t="shared" si="35"/>
        <v>1.8000576010368151E-29</v>
      </c>
      <c r="L61" s="43"/>
      <c r="M61" s="133" t="s">
        <v>158</v>
      </c>
      <c r="N61" s="102" t="s">
        <v>138</v>
      </c>
      <c r="O61" s="134" t="s">
        <v>156</v>
      </c>
      <c r="P61" s="975">
        <f>$Q$178*1000</f>
        <v>3</v>
      </c>
      <c r="Q61" s="135">
        <f>SQRT(3)</f>
        <v>1.7320508075688772</v>
      </c>
      <c r="R61" s="54">
        <v>50</v>
      </c>
      <c r="S61" s="136">
        <f t="shared" si="36"/>
        <v>1.7320508075688774</v>
      </c>
      <c r="T61" s="54">
        <f>Q56/($M$3^2)</f>
        <v>1.0000080000480003E-7</v>
      </c>
      <c r="U61" s="136">
        <f t="shared" si="37"/>
        <v>1.732064664058477E-7</v>
      </c>
      <c r="V61" s="137">
        <f t="shared" si="38"/>
        <v>3.0000480004800049E-14</v>
      </c>
      <c r="W61" s="138">
        <f t="shared" si="39"/>
        <v>1.8000576010368151E-29</v>
      </c>
    </row>
    <row r="62" spans="1:36" ht="13.8">
      <c r="A62" s="58" t="s">
        <v>159</v>
      </c>
      <c r="B62" s="102" t="s">
        <v>140</v>
      </c>
      <c r="C62" s="57" t="s">
        <v>153</v>
      </c>
      <c r="D62" s="977">
        <f>SCOPE!P185*1000</f>
        <v>144.99940068184301</v>
      </c>
      <c r="E62" s="55">
        <v>2</v>
      </c>
      <c r="F62" s="54">
        <v>50</v>
      </c>
      <c r="G62" s="53">
        <f t="shared" si="32"/>
        <v>72.499700340921507</v>
      </c>
      <c r="H62" s="49">
        <f>1/$M$3</f>
        <v>2.0000080000320002E-6</v>
      </c>
      <c r="I62" s="53">
        <f t="shared" si="33"/>
        <v>1.4499998068176573E-4</v>
      </c>
      <c r="J62" s="48">
        <f t="shared" si="34"/>
        <v>2.1024994397712435E-8</v>
      </c>
      <c r="K62" s="48">
        <f t="shared" si="35"/>
        <v>8.8410077884767845E-18</v>
      </c>
      <c r="L62" s="43"/>
      <c r="M62" s="58" t="s">
        <v>159</v>
      </c>
      <c r="N62" s="102" t="s">
        <v>140</v>
      </c>
      <c r="O62" s="57" t="s">
        <v>153</v>
      </c>
      <c r="P62" s="977">
        <f>SCOPE!P206*1000</f>
        <v>145.00060900232003</v>
      </c>
      <c r="Q62" s="55">
        <v>2</v>
      </c>
      <c r="R62" s="54">
        <v>50</v>
      </c>
      <c r="S62" s="53">
        <f t="shared" si="36"/>
        <v>72.500304501160016</v>
      </c>
      <c r="T62" s="49">
        <f>1/$M$3</f>
        <v>2.0000080000320002E-6</v>
      </c>
      <c r="U62" s="53">
        <f t="shared" si="37"/>
        <v>1.4500118900707607E-4</v>
      </c>
      <c r="V62" s="48">
        <f t="shared" si="38"/>
        <v>2.1025344813465798E-8</v>
      </c>
      <c r="W62" s="48">
        <f t="shared" si="39"/>
        <v>8.8413024905026621E-18</v>
      </c>
    </row>
    <row r="63" spans="1:36" ht="13.8">
      <c r="A63" s="133" t="s">
        <v>160</v>
      </c>
      <c r="B63" s="102" t="s">
        <v>140</v>
      </c>
      <c r="C63" s="134" t="s">
        <v>156</v>
      </c>
      <c r="D63" s="135">
        <f>SCOPE!O185*1000</f>
        <v>0.01</v>
      </c>
      <c r="E63" s="135">
        <f>SQRT(3)</f>
        <v>1.7320508075688772</v>
      </c>
      <c r="F63" s="54">
        <v>50</v>
      </c>
      <c r="G63" s="136">
        <f t="shared" si="32"/>
        <v>5.773502691896258E-3</v>
      </c>
      <c r="H63" s="54">
        <f>1/$M$3</f>
        <v>2.0000080000320002E-6</v>
      </c>
      <c r="I63" s="136">
        <f t="shared" si="33"/>
        <v>1.1547051571998804E-8</v>
      </c>
      <c r="J63" s="137">
        <f t="shared" si="34"/>
        <v>1.3333440000640004E-16</v>
      </c>
      <c r="K63" s="138">
        <f t="shared" si="35"/>
        <v>3.5556124450133382E-34</v>
      </c>
      <c r="L63" s="43"/>
      <c r="M63" s="133" t="s">
        <v>160</v>
      </c>
      <c r="N63" s="102" t="s">
        <v>140</v>
      </c>
      <c r="O63" s="134" t="s">
        <v>156</v>
      </c>
      <c r="P63" s="135">
        <f>SCOPE!O206*1000</f>
        <v>0.01</v>
      </c>
      <c r="Q63" s="135">
        <f>SQRT(3)</f>
        <v>1.7320508075688772</v>
      </c>
      <c r="R63" s="54">
        <v>50</v>
      </c>
      <c r="S63" s="136">
        <f t="shared" si="36"/>
        <v>5.773502691896258E-3</v>
      </c>
      <c r="T63" s="54">
        <f>1/$M$3</f>
        <v>2.0000080000320002E-6</v>
      </c>
      <c r="U63" s="136">
        <f t="shared" si="37"/>
        <v>1.1547051571998804E-8</v>
      </c>
      <c r="V63" s="137">
        <f t="shared" si="38"/>
        <v>1.3333440000640004E-16</v>
      </c>
      <c r="W63" s="138">
        <f t="shared" si="39"/>
        <v>3.5556124450133382E-34</v>
      </c>
    </row>
    <row r="64" spans="1:36" ht="14.4">
      <c r="A64" s="16" t="s">
        <v>161</v>
      </c>
      <c r="B64" s="17"/>
      <c r="C64" s="17"/>
      <c r="D64" s="17"/>
      <c r="E64" s="46"/>
      <c r="F64" s="17"/>
      <c r="G64" s="17"/>
      <c r="H64" s="17"/>
      <c r="I64" s="17"/>
      <c r="J64" s="45">
        <f>SUM(J58:J60)</f>
        <v>8.3333333369340593E-4</v>
      </c>
      <c r="K64" s="44">
        <f>SUM(K58:K60)</f>
        <v>1.3888888888888894E-8</v>
      </c>
      <c r="L64" s="43"/>
      <c r="M64" s="16" t="s">
        <v>161</v>
      </c>
      <c r="N64" s="17"/>
      <c r="O64" s="17"/>
      <c r="P64" s="17"/>
      <c r="Q64" s="46"/>
      <c r="R64" s="17"/>
      <c r="S64" s="17"/>
      <c r="T64" s="17"/>
      <c r="U64" s="17"/>
      <c r="V64" s="45">
        <f>SUM(V58:V60)</f>
        <v>8.3333333369340593E-4</v>
      </c>
      <c r="W64" s="44">
        <f>SUM(W58:W60)</f>
        <v>1.3888888888888894E-8</v>
      </c>
    </row>
    <row r="65" spans="1:23" ht="16.2">
      <c r="A65" s="36" t="s">
        <v>162</v>
      </c>
      <c r="B65" s="33"/>
      <c r="C65" s="33"/>
      <c r="D65" s="33"/>
      <c r="E65" s="35"/>
      <c r="F65" s="33"/>
      <c r="G65" s="42" t="s">
        <v>163</v>
      </c>
      <c r="H65" s="33"/>
      <c r="I65" s="33"/>
      <c r="J65" s="41">
        <f>SQRT(J64)</f>
        <v>2.8867513465717927E-2</v>
      </c>
      <c r="K65" s="31"/>
      <c r="L65" s="30"/>
      <c r="M65" s="36" t="s">
        <v>162</v>
      </c>
      <c r="N65" s="33"/>
      <c r="O65" s="33"/>
      <c r="P65" s="33"/>
      <c r="Q65" s="35"/>
      <c r="R65" s="33"/>
      <c r="S65" s="42" t="s">
        <v>163</v>
      </c>
      <c r="T65" s="33"/>
      <c r="U65" s="33"/>
      <c r="V65" s="41">
        <f>SQRT(V64)</f>
        <v>2.8867513465717927E-2</v>
      </c>
      <c r="W65" s="31"/>
    </row>
    <row r="66" spans="1:23" ht="18">
      <c r="A66" s="16" t="s">
        <v>164</v>
      </c>
      <c r="B66" s="23"/>
      <c r="C66" s="23"/>
      <c r="D66" s="23"/>
      <c r="E66" s="40"/>
      <c r="F66" s="23"/>
      <c r="G66" s="39" t="s">
        <v>165</v>
      </c>
      <c r="H66" s="23"/>
      <c r="I66" s="23"/>
      <c r="J66" s="38">
        <f>J65^4/(K64)</f>
        <v>50.000000043208679</v>
      </c>
      <c r="K66" s="37"/>
      <c r="L66" s="30"/>
      <c r="M66" s="16" t="s">
        <v>164</v>
      </c>
      <c r="N66" s="23"/>
      <c r="O66" s="23"/>
      <c r="P66" s="23"/>
      <c r="Q66" s="40"/>
      <c r="R66" s="23"/>
      <c r="S66" s="39" t="s">
        <v>165</v>
      </c>
      <c r="T66" s="23"/>
      <c r="U66" s="23"/>
      <c r="V66" s="38">
        <f>V65^4/(W64)</f>
        <v>50.000000043208679</v>
      </c>
      <c r="W66" s="37"/>
    </row>
    <row r="67" spans="1:23" ht="15.6">
      <c r="A67" s="36" t="s">
        <v>166</v>
      </c>
      <c r="B67" s="33"/>
      <c r="C67" s="33"/>
      <c r="D67" s="33"/>
      <c r="E67" s="35"/>
      <c r="F67" s="33"/>
      <c r="G67" s="34" t="s">
        <v>167</v>
      </c>
      <c r="H67" s="33"/>
      <c r="I67" s="33"/>
      <c r="J67" s="32">
        <f>1.95996+(2.37356/J66)+(2.818745/J66^2)+(2.546662/J66^3)+(1.761829/J66^4)+(0.245458/J66^5)+(1.000764/J66^6)</f>
        <v>2.008579353995128</v>
      </c>
      <c r="K67" s="31"/>
      <c r="L67" s="30"/>
      <c r="M67" s="36" t="s">
        <v>166</v>
      </c>
      <c r="N67" s="33"/>
      <c r="O67" s="33"/>
      <c r="P67" s="33"/>
      <c r="Q67" s="35"/>
      <c r="R67" s="33"/>
      <c r="S67" s="34" t="s">
        <v>167</v>
      </c>
      <c r="T67" s="33"/>
      <c r="U67" s="33"/>
      <c r="V67" s="32">
        <f>1.95996+(2.37356/V66)+(2.818745/V66^2)+(2.546662/V66^3)+(1.761829/V66^4)+(0.245458/V66^5)+(1.000764/V66^6)</f>
        <v>2.008579353995128</v>
      </c>
      <c r="W67" s="31"/>
    </row>
    <row r="68" spans="1:23" ht="14.4">
      <c r="A68" s="29" t="s">
        <v>168</v>
      </c>
      <c r="B68" s="26"/>
      <c r="C68" s="26"/>
      <c r="D68" s="26"/>
      <c r="E68" s="28"/>
      <c r="F68" s="26"/>
      <c r="G68" s="27" t="s">
        <v>169</v>
      </c>
      <c r="H68" s="26"/>
      <c r="I68" s="26"/>
      <c r="J68" s="25">
        <f>J65*J67</f>
        <v>5.798269154841737E-2</v>
      </c>
      <c r="K68" s="24" t="s">
        <v>155</v>
      </c>
      <c r="L68" s="22"/>
      <c r="M68" s="29" t="s">
        <v>168</v>
      </c>
      <c r="N68" s="26"/>
      <c r="O68" s="26"/>
      <c r="P68" s="26"/>
      <c r="Q68" s="28"/>
      <c r="R68" s="26"/>
      <c r="S68" s="27" t="s">
        <v>169</v>
      </c>
      <c r="T68" s="26"/>
      <c r="U68" s="26"/>
      <c r="V68" s="25">
        <f>V65*V67</f>
        <v>5.798269154841737E-2</v>
      </c>
      <c r="W68" s="24" t="s">
        <v>155</v>
      </c>
    </row>
    <row r="69" spans="1:23" ht="14.4">
      <c r="A69" s="16"/>
      <c r="G69" s="12"/>
      <c r="J69" s="970">
        <f>(J68/B56)*100</f>
        <v>0.11596538309683474</v>
      </c>
      <c r="K69" s="968" t="s">
        <v>19</v>
      </c>
      <c r="M69" s="165"/>
      <c r="S69" s="12"/>
      <c r="V69" s="970">
        <f>(V68/N56)*100</f>
        <v>0.11596538309683474</v>
      </c>
      <c r="W69" s="968" t="s">
        <v>19</v>
      </c>
    </row>
    <row r="70" spans="1:23" ht="15.75" customHeight="1">
      <c r="A70" s="262"/>
      <c r="B70" s="119"/>
      <c r="C70" s="263"/>
      <c r="D70" s="264"/>
      <c r="E70" s="119"/>
      <c r="F70" s="119"/>
      <c r="G70" s="119"/>
      <c r="H70" s="119"/>
      <c r="I70" s="119"/>
      <c r="J70" s="119"/>
      <c r="K70" s="119"/>
    </row>
    <row r="72" spans="1:23" ht="13.8" thickBot="1">
      <c r="W72" s="105" t="s">
        <v>136</v>
      </c>
    </row>
    <row r="73" spans="1:23">
      <c r="A73" s="166"/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67"/>
      <c r="N73" s="167"/>
      <c r="O73" s="167"/>
      <c r="P73" s="167"/>
      <c r="Q73" s="167"/>
      <c r="R73" s="167"/>
      <c r="S73" s="167"/>
      <c r="T73" s="167"/>
      <c r="U73" s="167"/>
      <c r="V73" s="167"/>
      <c r="W73" s="168"/>
    </row>
    <row r="74" spans="1:23" ht="15.6">
      <c r="A74" s="10"/>
      <c r="E74" s="1642" t="str">
        <f>E3</f>
        <v>Channel 1</v>
      </c>
      <c r="F74" s="1642"/>
      <c r="Q74" s="1642" t="str">
        <f>Q3</f>
        <v>Channel 2</v>
      </c>
      <c r="R74" s="1642"/>
      <c r="W74" s="6"/>
    </row>
    <row r="75" spans="1:23">
      <c r="A75" s="10" t="s">
        <v>58</v>
      </c>
      <c r="B75" s="103">
        <f>ID!C37</f>
        <v>60</v>
      </c>
      <c r="M75" t="s">
        <v>58</v>
      </c>
      <c r="N75" s="103">
        <f>ID!C47</f>
        <v>60</v>
      </c>
      <c r="W75" s="6"/>
    </row>
    <row r="76" spans="1:23" ht="14.4">
      <c r="A76" s="71" t="s">
        <v>141</v>
      </c>
      <c r="B76" s="68" t="s">
        <v>142</v>
      </c>
      <c r="C76" s="69" t="s">
        <v>143</v>
      </c>
      <c r="D76" s="68" t="s">
        <v>144</v>
      </c>
      <c r="E76" s="70" t="s">
        <v>145</v>
      </c>
      <c r="F76" s="68" t="s">
        <v>146</v>
      </c>
      <c r="G76" s="69" t="s">
        <v>147</v>
      </c>
      <c r="H76" s="68" t="s">
        <v>148</v>
      </c>
      <c r="I76" s="69" t="s">
        <v>149</v>
      </c>
      <c r="J76" s="68" t="s">
        <v>150</v>
      </c>
      <c r="K76" s="67" t="s">
        <v>151</v>
      </c>
      <c r="L76" s="21"/>
      <c r="M76" s="71" t="s">
        <v>141</v>
      </c>
      <c r="N76" s="68" t="s">
        <v>142</v>
      </c>
      <c r="O76" s="69" t="s">
        <v>143</v>
      </c>
      <c r="P76" s="68" t="s">
        <v>144</v>
      </c>
      <c r="Q76" s="70" t="s">
        <v>145</v>
      </c>
      <c r="R76" s="68" t="s">
        <v>146</v>
      </c>
      <c r="S76" s="69" t="s">
        <v>147</v>
      </c>
      <c r="T76" s="68" t="s">
        <v>148</v>
      </c>
      <c r="U76" s="69" t="s">
        <v>149</v>
      </c>
      <c r="V76" s="68" t="s">
        <v>150</v>
      </c>
      <c r="W76" s="67" t="s">
        <v>151</v>
      </c>
    </row>
    <row r="77" spans="1:23">
      <c r="A77" s="20" t="s">
        <v>152</v>
      </c>
      <c r="B77" s="49" t="s">
        <v>170</v>
      </c>
      <c r="C77" s="19" t="s">
        <v>153</v>
      </c>
      <c r="D77" s="65">
        <f>ID!L69</f>
        <v>0</v>
      </c>
      <c r="E77" s="62">
        <f>SQRT(6)</f>
        <v>2.4494897427831779</v>
      </c>
      <c r="F77" s="49">
        <v>5</v>
      </c>
      <c r="G77" s="47">
        <f>D77/E77</f>
        <v>0</v>
      </c>
      <c r="H77" s="64">
        <v>1</v>
      </c>
      <c r="I77" s="47">
        <f>G77*H77</f>
        <v>0</v>
      </c>
      <c r="J77" s="44">
        <f>I77^2</f>
        <v>0</v>
      </c>
      <c r="K77" s="63">
        <f>I77^4/F77</f>
        <v>0</v>
      </c>
      <c r="L77" s="43"/>
      <c r="M77" s="20" t="s">
        <v>152</v>
      </c>
      <c r="N77" s="49" t="s">
        <v>170</v>
      </c>
      <c r="O77" s="19" t="s">
        <v>153</v>
      </c>
      <c r="P77" s="65">
        <f>ID!L81</f>
        <v>0</v>
      </c>
      <c r="Q77" s="62">
        <f>SQRT(6)</f>
        <v>2.4494897427831779</v>
      </c>
      <c r="R77" s="49">
        <v>5</v>
      </c>
      <c r="S77" s="47">
        <f>P77/Q77</f>
        <v>0</v>
      </c>
      <c r="T77" s="64">
        <v>1</v>
      </c>
      <c r="U77" s="47">
        <f>S77*T77</f>
        <v>0</v>
      </c>
      <c r="V77" s="44">
        <f>U77^2</f>
        <v>0</v>
      </c>
      <c r="W77" s="169">
        <f>U77^4/R77</f>
        <v>0</v>
      </c>
    </row>
    <row r="78" spans="1:23">
      <c r="A78" s="61" t="s">
        <v>154</v>
      </c>
      <c r="B78" s="49" t="s">
        <v>170</v>
      </c>
      <c r="C78" s="57" t="s">
        <v>156</v>
      </c>
      <c r="D78" s="49">
        <f>0.5*0.01</f>
        <v>5.0000000000000001E-3</v>
      </c>
      <c r="E78" s="60">
        <f>SQRT(3)</f>
        <v>1.7320508075688772</v>
      </c>
      <c r="F78" s="54">
        <v>50</v>
      </c>
      <c r="G78" s="53">
        <f>D78/E78</f>
        <v>2.886751345948129E-3</v>
      </c>
      <c r="H78" s="49">
        <v>1</v>
      </c>
      <c r="I78" s="53">
        <f>G78*H78</f>
        <v>2.886751345948129E-3</v>
      </c>
      <c r="J78" s="48">
        <f>I78^2</f>
        <v>8.3333333333333337E-6</v>
      </c>
      <c r="K78" s="59">
        <f>I78^4/F78</f>
        <v>1.3888888888888891E-12</v>
      </c>
      <c r="L78" s="43"/>
      <c r="M78" s="61" t="s">
        <v>154</v>
      </c>
      <c r="N78" s="49" t="s">
        <v>170</v>
      </c>
      <c r="O78" s="57" t="s">
        <v>156</v>
      </c>
      <c r="P78" s="49">
        <f>0.5*0.01</f>
        <v>5.0000000000000001E-3</v>
      </c>
      <c r="Q78" s="60">
        <f>SQRT(3)</f>
        <v>1.7320508075688772</v>
      </c>
      <c r="R78" s="54">
        <v>50</v>
      </c>
      <c r="S78" s="53">
        <f>P78/Q78</f>
        <v>2.886751345948129E-3</v>
      </c>
      <c r="T78" s="49">
        <v>1</v>
      </c>
      <c r="U78" s="53">
        <f>S78*T78</f>
        <v>2.886751345948129E-3</v>
      </c>
      <c r="V78" s="48">
        <f>U78^2</f>
        <v>8.3333333333333337E-6</v>
      </c>
      <c r="W78" s="170">
        <f>U78^4/R78</f>
        <v>1.3888888888888891E-12</v>
      </c>
    </row>
    <row r="79" spans="1:23">
      <c r="A79" s="268" t="s">
        <v>171</v>
      </c>
      <c r="B79" s="49" t="s">
        <v>170</v>
      </c>
      <c r="C79" s="49" t="s">
        <v>153</v>
      </c>
      <c r="D79" s="269">
        <f>SCOPE!P186</f>
        <v>0.17400002900000008</v>
      </c>
      <c r="E79" s="269">
        <v>2</v>
      </c>
      <c r="F79" s="54">
        <v>50</v>
      </c>
      <c r="G79" s="270">
        <f>D79/E79</f>
        <v>8.7000014500000042E-2</v>
      </c>
      <c r="H79" s="49">
        <v>1</v>
      </c>
      <c r="I79" s="53">
        <f>G79*H79</f>
        <v>8.7000014500000042E-2</v>
      </c>
      <c r="J79" s="48">
        <f>I79^2</f>
        <v>7.5690025230002178E-3</v>
      </c>
      <c r="K79" s="48">
        <f>I79^4/F79</f>
        <v>1.1457959838636734E-6</v>
      </c>
      <c r="L79" s="43"/>
      <c r="M79" s="268" t="s">
        <v>171</v>
      </c>
      <c r="N79" s="49" t="s">
        <v>170</v>
      </c>
      <c r="O79" s="49" t="s">
        <v>153</v>
      </c>
      <c r="P79" s="269">
        <f>SCOPE!P207</f>
        <v>0.17400002900000008</v>
      </c>
      <c r="Q79" s="269">
        <v>2</v>
      </c>
      <c r="R79" s="54">
        <v>50</v>
      </c>
      <c r="S79" s="270">
        <f>P79/Q79</f>
        <v>8.7000014500000042E-2</v>
      </c>
      <c r="T79" s="49">
        <v>1</v>
      </c>
      <c r="U79" s="53">
        <f>S79*T79</f>
        <v>8.7000014500000042E-2</v>
      </c>
      <c r="V79" s="48">
        <f>U79^2</f>
        <v>7.5690025230002178E-3</v>
      </c>
      <c r="W79" s="48">
        <f>U79^4/R79</f>
        <v>1.1457959838636734E-6</v>
      </c>
    </row>
    <row r="80" spans="1:23">
      <c r="A80" s="268" t="s">
        <v>172</v>
      </c>
      <c r="B80" s="49" t="s">
        <v>170</v>
      </c>
      <c r="C80" s="49" t="s">
        <v>156</v>
      </c>
      <c r="D80" s="269">
        <f>SCOPE!O186</f>
        <v>1.0000000000000001E-5</v>
      </c>
      <c r="E80" s="135">
        <f>SQRT(3)</f>
        <v>1.7320508075688772</v>
      </c>
      <c r="F80" s="54">
        <v>50</v>
      </c>
      <c r="G80" s="271">
        <f>D80/E80</f>
        <v>5.7735026918962587E-6</v>
      </c>
      <c r="H80" s="54">
        <v>1</v>
      </c>
      <c r="I80" s="136">
        <f>G80*H80</f>
        <v>5.7735026918962587E-6</v>
      </c>
      <c r="J80" s="137">
        <f>I80^2</f>
        <v>3.3333333333333347E-11</v>
      </c>
      <c r="K80" s="138">
        <f>I80^4/F80</f>
        <v>2.2222222222222241E-23</v>
      </c>
      <c r="L80" s="43"/>
      <c r="M80" s="268" t="s">
        <v>172</v>
      </c>
      <c r="N80" s="49" t="s">
        <v>170</v>
      </c>
      <c r="O80" s="49" t="s">
        <v>156</v>
      </c>
      <c r="P80" s="269">
        <f>SCOPE!O207</f>
        <v>1.0000000000000001E-5</v>
      </c>
      <c r="Q80" s="135">
        <f>SQRT(3)</f>
        <v>1.7320508075688772</v>
      </c>
      <c r="R80" s="54">
        <v>50</v>
      </c>
      <c r="S80" s="271">
        <f>P80/Q80</f>
        <v>5.7735026918962587E-6</v>
      </c>
      <c r="T80" s="54">
        <v>1</v>
      </c>
      <c r="U80" s="136">
        <f>S80*T80</f>
        <v>5.7735026918962587E-6</v>
      </c>
      <c r="V80" s="137">
        <f>U80^2</f>
        <v>3.3333333333333347E-11</v>
      </c>
      <c r="W80" s="138">
        <f>U80^4/R80</f>
        <v>2.2222222222222241E-23</v>
      </c>
    </row>
    <row r="81" spans="1:49" ht="14.4">
      <c r="A81" s="16" t="s">
        <v>161</v>
      </c>
      <c r="B81" s="17"/>
      <c r="C81" s="17"/>
      <c r="D81" s="17"/>
      <c r="E81" s="46"/>
      <c r="F81" s="17"/>
      <c r="G81" s="17"/>
      <c r="H81" s="17"/>
      <c r="I81" s="17"/>
      <c r="J81" s="45">
        <f>SUM(J77:J80)</f>
        <v>7.5773358896668846E-3</v>
      </c>
      <c r="K81" s="44">
        <f>SUM(K77:K80)</f>
        <v>1.1457973727525622E-6</v>
      </c>
      <c r="L81" s="43"/>
      <c r="M81" s="16" t="s">
        <v>161</v>
      </c>
      <c r="N81" s="17"/>
      <c r="O81" s="17"/>
      <c r="P81" s="17"/>
      <c r="Q81" s="46"/>
      <c r="R81" s="17"/>
      <c r="S81" s="17"/>
      <c r="T81" s="17"/>
      <c r="U81" s="17"/>
      <c r="V81" s="45">
        <f>SUM(V77:V80)</f>
        <v>7.5773358896668846E-3</v>
      </c>
      <c r="W81" s="171">
        <f>SUM(W77:W80)</f>
        <v>1.1457973727525622E-6</v>
      </c>
    </row>
    <row r="82" spans="1:49" ht="16.2">
      <c r="A82" s="36" t="s">
        <v>162</v>
      </c>
      <c r="B82" s="33"/>
      <c r="C82" s="33"/>
      <c r="D82" s="33"/>
      <c r="E82" s="35"/>
      <c r="F82" s="33"/>
      <c r="G82" s="42" t="s">
        <v>163</v>
      </c>
      <c r="H82" s="33"/>
      <c r="I82" s="33"/>
      <c r="J82" s="41">
        <f>SQRT(J81)</f>
        <v>8.704789422879157E-2</v>
      </c>
      <c r="K82" s="31"/>
      <c r="L82" s="30"/>
      <c r="M82" s="36" t="s">
        <v>162</v>
      </c>
      <c r="N82" s="33"/>
      <c r="O82" s="33"/>
      <c r="P82" s="33"/>
      <c r="Q82" s="35"/>
      <c r="R82" s="33"/>
      <c r="S82" s="42" t="s">
        <v>163</v>
      </c>
      <c r="T82" s="33"/>
      <c r="U82" s="33"/>
      <c r="V82" s="41">
        <f>SQRT(V81)</f>
        <v>8.704789422879157E-2</v>
      </c>
      <c r="W82" s="172"/>
    </row>
    <row r="83" spans="1:49" ht="18">
      <c r="A83" s="16" t="s">
        <v>164</v>
      </c>
      <c r="B83" s="23"/>
      <c r="C83" s="23"/>
      <c r="D83" s="23"/>
      <c r="E83" s="40"/>
      <c r="F83" s="23"/>
      <c r="G83" s="39" t="s">
        <v>165</v>
      </c>
      <c r="H83" s="23"/>
      <c r="I83" s="23"/>
      <c r="J83" s="38">
        <f>J82^4/(K81)</f>
        <v>50.110098478322286</v>
      </c>
      <c r="K83" s="37"/>
      <c r="L83" s="30"/>
      <c r="M83" s="16" t="s">
        <v>164</v>
      </c>
      <c r="N83" s="23"/>
      <c r="O83" s="23"/>
      <c r="P83" s="23"/>
      <c r="Q83" s="40"/>
      <c r="R83" s="23"/>
      <c r="S83" s="39" t="s">
        <v>165</v>
      </c>
      <c r="T83" s="23"/>
      <c r="U83" s="23"/>
      <c r="V83" s="38">
        <f>V82^4/(W81)</f>
        <v>50.110098478322286</v>
      </c>
      <c r="W83" s="173"/>
    </row>
    <row r="84" spans="1:49" ht="15.6">
      <c r="A84" s="36" t="s">
        <v>166</v>
      </c>
      <c r="B84" s="33"/>
      <c r="C84" s="33"/>
      <c r="D84" s="33"/>
      <c r="E84" s="35"/>
      <c r="F84" s="33"/>
      <c r="G84" s="34" t="s">
        <v>167</v>
      </c>
      <c r="H84" s="33"/>
      <c r="I84" s="33"/>
      <c r="J84" s="32">
        <f>1.95996+(2.37356/J83)+(2.818745/J83^2)+(2.546662/J83^3)+(1.761829/J83^4)+(0.245458/J83^5)+(1.000764/J83^6)</f>
        <v>2.0084699680146487</v>
      </c>
      <c r="K84" s="31"/>
      <c r="L84" s="30"/>
      <c r="M84" s="36" t="s">
        <v>166</v>
      </c>
      <c r="N84" s="33"/>
      <c r="O84" s="33"/>
      <c r="P84" s="33"/>
      <c r="Q84" s="35"/>
      <c r="R84" s="33"/>
      <c r="S84" s="34" t="s">
        <v>167</v>
      </c>
      <c r="T84" s="33"/>
      <c r="U84" s="33"/>
      <c r="V84" s="32">
        <f>1.95996+(2.37356/V83)+(2.818745/V83^2)+(2.546662/V83^3)+(1.761829/V83^4)+(0.245458/V83^5)+(1.000764/V83^6)</f>
        <v>2.0084699680146487</v>
      </c>
      <c r="W84" s="172"/>
    </row>
    <row r="85" spans="1:49" ht="15" thickBot="1">
      <c r="A85" s="29" t="s">
        <v>168</v>
      </c>
      <c r="B85" s="26"/>
      <c r="C85" s="26"/>
      <c r="D85" s="26"/>
      <c r="E85" s="28"/>
      <c r="F85" s="26"/>
      <c r="G85" s="27" t="s">
        <v>169</v>
      </c>
      <c r="H85" s="26"/>
      <c r="I85" s="26"/>
      <c r="J85" s="25">
        <f>J82*J84</f>
        <v>0.17483308133744352</v>
      </c>
      <c r="K85" s="24" t="s">
        <v>170</v>
      </c>
      <c r="L85" s="22"/>
      <c r="M85" s="29" t="s">
        <v>168</v>
      </c>
      <c r="N85" s="26"/>
      <c r="O85" s="26"/>
      <c r="P85" s="26"/>
      <c r="Q85" s="28"/>
      <c r="R85" s="26"/>
      <c r="S85" s="27" t="s">
        <v>169</v>
      </c>
      <c r="T85" s="26"/>
      <c r="U85" s="26"/>
      <c r="V85" s="25">
        <f>V82*V84</f>
        <v>0.17483308133744352</v>
      </c>
      <c r="W85" s="174" t="s">
        <v>170</v>
      </c>
      <c r="AU85" s="1646"/>
      <c r="AV85" s="1646"/>
      <c r="AW85" s="6"/>
    </row>
    <row r="86" spans="1:49" ht="15.6">
      <c r="A86" s="10"/>
      <c r="J86" s="970">
        <f>(J85/B75)*100</f>
        <v>0.29138846889573916</v>
      </c>
      <c r="K86" s="968" t="s">
        <v>19</v>
      </c>
      <c r="V86" s="970">
        <f>(V85/N75)*100</f>
        <v>0.29138846889573916</v>
      </c>
      <c r="W86" s="968" t="s">
        <v>19</v>
      </c>
      <c r="AT86" s="1643"/>
      <c r="AU86" s="1644"/>
      <c r="AV86" s="1644"/>
      <c r="AW86" s="1645"/>
    </row>
    <row r="87" spans="1:49">
      <c r="A87" s="115" t="s">
        <v>173</v>
      </c>
      <c r="B87" s="116"/>
      <c r="C87" s="117">
        <f>ID!C52</f>
        <v>300</v>
      </c>
      <c r="D87" s="118" t="s">
        <v>174</v>
      </c>
      <c r="E87" s="119"/>
      <c r="F87" s="119"/>
      <c r="G87" s="119"/>
      <c r="H87" s="119"/>
      <c r="I87" s="119"/>
      <c r="J87" s="119"/>
      <c r="K87" s="119"/>
      <c r="AT87" s="11"/>
      <c r="AU87" s="8"/>
      <c r="AV87" s="8"/>
      <c r="AW87" s="89"/>
    </row>
    <row r="88" spans="1:49" ht="14.4">
      <c r="A88" s="120" t="s">
        <v>141</v>
      </c>
      <c r="B88" s="121" t="s">
        <v>142</v>
      </c>
      <c r="C88" s="122" t="s">
        <v>143</v>
      </c>
      <c r="D88" s="121" t="s">
        <v>144</v>
      </c>
      <c r="E88" s="123" t="s">
        <v>145</v>
      </c>
      <c r="F88" s="121" t="s">
        <v>146</v>
      </c>
      <c r="G88" s="122" t="s">
        <v>147</v>
      </c>
      <c r="H88" s="121" t="s">
        <v>148</v>
      </c>
      <c r="I88" s="122" t="s">
        <v>149</v>
      </c>
      <c r="J88" s="121" t="s">
        <v>150</v>
      </c>
      <c r="K88" s="124" t="s">
        <v>151</v>
      </c>
      <c r="AT88" s="9"/>
      <c r="AU88" s="8"/>
      <c r="AV88" s="7"/>
      <c r="AW88" s="91"/>
    </row>
    <row r="89" spans="1:49" ht="13.8" thickBot="1">
      <c r="A89" s="125" t="s">
        <v>152</v>
      </c>
      <c r="B89" s="54" t="s">
        <v>174</v>
      </c>
      <c r="C89" s="126" t="s">
        <v>153</v>
      </c>
      <c r="D89" s="127">
        <f>ID!L52</f>
        <v>1.0000000000000001E-5</v>
      </c>
      <c r="E89" s="128">
        <f>SQRT(3)</f>
        <v>1.7320508075688772</v>
      </c>
      <c r="F89" s="54">
        <v>2</v>
      </c>
      <c r="G89" s="129">
        <f>D89/E89</f>
        <v>5.7735026918962587E-6</v>
      </c>
      <c r="H89" s="130">
        <v>1</v>
      </c>
      <c r="I89" s="129">
        <f>G89*H89</f>
        <v>5.7735026918962587E-6</v>
      </c>
      <c r="J89" s="131">
        <f>I89^2</f>
        <v>3.3333333333333347E-11</v>
      </c>
      <c r="K89" s="132">
        <f>I89^4/F89</f>
        <v>5.5555555555555605E-22</v>
      </c>
      <c r="AT89" s="5"/>
      <c r="AU89" s="4"/>
      <c r="AV89" s="4"/>
      <c r="AW89" s="101"/>
    </row>
    <row r="90" spans="1:49" ht="15.6">
      <c r="A90" s="133" t="s">
        <v>175</v>
      </c>
      <c r="B90" s="54" t="s">
        <v>174</v>
      </c>
      <c r="C90" s="134" t="s">
        <v>156</v>
      </c>
      <c r="D90" s="976">
        <f>0.5*'DB Stopwatch'!K227</f>
        <v>2.5000000000000001E-2</v>
      </c>
      <c r="E90" s="135">
        <f>SQRT(3)</f>
        <v>1.7320508075688772</v>
      </c>
      <c r="F90" s="54">
        <v>50</v>
      </c>
      <c r="G90" s="136">
        <f>D90/E90</f>
        <v>1.4433756729740645E-2</v>
      </c>
      <c r="H90" s="54">
        <v>1</v>
      </c>
      <c r="I90" s="136">
        <f>G90*H90</f>
        <v>1.4433756729740645E-2</v>
      </c>
      <c r="J90" s="137">
        <f>I90^2</f>
        <v>2.0833333333333337E-4</v>
      </c>
      <c r="K90" s="138">
        <f>I90^4/F90</f>
        <v>8.6805555555555585E-10</v>
      </c>
      <c r="AT90" s="1649"/>
      <c r="AU90" s="1650"/>
      <c r="AV90" s="1650"/>
      <c r="AW90" s="1651"/>
    </row>
    <row r="91" spans="1:49">
      <c r="A91" s="133" t="s">
        <v>176</v>
      </c>
      <c r="B91" s="54" t="s">
        <v>174</v>
      </c>
      <c r="C91" s="134" t="s">
        <v>153</v>
      </c>
      <c r="D91" s="135">
        <f>'DB Stopwatch'!J227</f>
        <v>0.10912739914850893</v>
      </c>
      <c r="E91" s="128">
        <f>SQRT(6)</f>
        <v>2.4494897427831779</v>
      </c>
      <c r="F91" s="54">
        <v>50</v>
      </c>
      <c r="G91" s="136">
        <f>D91/E91</f>
        <v>4.4551074145146391E-2</v>
      </c>
      <c r="H91" s="54">
        <v>1</v>
      </c>
      <c r="I91" s="136">
        <f>G91*H91</f>
        <v>4.4551074145146391E-2</v>
      </c>
      <c r="J91" s="137">
        <f>I91^2</f>
        <v>1.9847982074863314E-3</v>
      </c>
      <c r="K91" s="138">
        <f>I91^4/F91</f>
        <v>7.8788478488819078E-8</v>
      </c>
      <c r="AT91" s="93"/>
      <c r="AU91" s="8"/>
      <c r="AV91" s="8"/>
      <c r="AW91" s="89"/>
    </row>
    <row r="92" spans="1:49">
      <c r="A92" s="133" t="s">
        <v>177</v>
      </c>
      <c r="B92" s="54" t="s">
        <v>174</v>
      </c>
      <c r="C92" s="134" t="s">
        <v>156</v>
      </c>
      <c r="D92" s="135">
        <f>'DB Stopwatch'!L227</f>
        <v>3.3202477214777315E-2</v>
      </c>
      <c r="E92" s="135">
        <f>SQRT(3)</f>
        <v>1.7320508075688772</v>
      </c>
      <c r="F92" s="54">
        <v>50</v>
      </c>
      <c r="G92" s="136">
        <f>D92/E92</f>
        <v>1.9169459157714099E-2</v>
      </c>
      <c r="H92" s="54">
        <v>1</v>
      </c>
      <c r="I92" s="136">
        <f>G92*H92</f>
        <v>1.9169459157714099E-2</v>
      </c>
      <c r="J92" s="137">
        <f>I92^2</f>
        <v>3.6746816439926891E-4</v>
      </c>
      <c r="K92" s="138">
        <f>I92^4/F92</f>
        <v>2.7006570369393624E-9</v>
      </c>
      <c r="AT92" s="92"/>
      <c r="AU92" s="8"/>
      <c r="AV92" s="7"/>
      <c r="AW92" s="91"/>
    </row>
    <row r="93" spans="1:49" ht="15" thickBot="1">
      <c r="A93" s="139" t="s">
        <v>161</v>
      </c>
      <c r="B93" s="140"/>
      <c r="C93" s="140"/>
      <c r="D93" s="140"/>
      <c r="E93" s="141"/>
      <c r="F93" s="140"/>
      <c r="G93" s="140"/>
      <c r="H93" s="140"/>
      <c r="I93" s="140"/>
      <c r="J93" s="142">
        <f>SUM(J89:J90)</f>
        <v>2.083333666666667E-4</v>
      </c>
      <c r="K93" s="131">
        <f>SUM(K89:K90)</f>
        <v>8.680555555561114E-10</v>
      </c>
      <c r="AT93" s="90"/>
      <c r="AU93" s="4"/>
      <c r="AV93" s="4"/>
      <c r="AW93" s="101"/>
    </row>
    <row r="94" spans="1:49" ht="16.2">
      <c r="A94" s="143" t="s">
        <v>162</v>
      </c>
      <c r="B94" s="144"/>
      <c r="C94" s="144"/>
      <c r="D94" s="144"/>
      <c r="E94" s="145"/>
      <c r="F94" s="144"/>
      <c r="G94" s="146" t="s">
        <v>163</v>
      </c>
      <c r="H94" s="144"/>
      <c r="I94" s="144"/>
      <c r="J94" s="147">
        <f>SQRT(J93)</f>
        <v>1.4433757884441137E-2</v>
      </c>
      <c r="K94" s="148"/>
      <c r="AT94" s="1649"/>
      <c r="AU94" s="1650"/>
      <c r="AV94" s="1650"/>
      <c r="AW94" s="1651"/>
    </row>
    <row r="95" spans="1:49" ht="18">
      <c r="A95" s="139" t="s">
        <v>164</v>
      </c>
      <c r="B95" s="149"/>
      <c r="C95" s="149"/>
      <c r="D95" s="149"/>
      <c r="E95" s="150"/>
      <c r="F95" s="149"/>
      <c r="G95" s="151" t="s">
        <v>165</v>
      </c>
      <c r="H95" s="149"/>
      <c r="I95" s="149"/>
      <c r="J95" s="152">
        <f>J94^4/(K93)</f>
        <v>50.000015999969264</v>
      </c>
      <c r="K95" s="153"/>
      <c r="AT95" s="93"/>
      <c r="AU95" s="8"/>
      <c r="AV95" s="8"/>
      <c r="AW95" s="89"/>
    </row>
    <row r="96" spans="1:49" ht="15.6">
      <c r="A96" s="143" t="s">
        <v>178</v>
      </c>
      <c r="B96" s="144"/>
      <c r="C96" s="144"/>
      <c r="D96" s="144"/>
      <c r="E96" s="145"/>
      <c r="F96" s="144"/>
      <c r="G96" s="154" t="s">
        <v>167</v>
      </c>
      <c r="H96" s="144"/>
      <c r="I96" s="144"/>
      <c r="J96" s="155">
        <f>1.95996+(2.37356/J95)+(2.818745/J95^2)+(2.546662/J95^3)+(1.761829/J95^4)+(0.245458/J95^5)+(1.000764/J95^6)</f>
        <v>2.0085793381058874</v>
      </c>
      <c r="K96" s="148"/>
      <c r="AT96" s="92"/>
      <c r="AU96" s="8"/>
      <c r="AV96" s="7"/>
      <c r="AW96" s="91"/>
    </row>
    <row r="97" spans="1:49" ht="15" thickBot="1">
      <c r="A97" s="156" t="s">
        <v>168</v>
      </c>
      <c r="B97" s="157"/>
      <c r="C97" s="157"/>
      <c r="D97" s="157"/>
      <c r="E97" s="158"/>
      <c r="F97" s="157"/>
      <c r="G97" s="159" t="s">
        <v>169</v>
      </c>
      <c r="H97" s="157"/>
      <c r="I97" s="157"/>
      <c r="J97" s="160">
        <f>J94*J96</f>
        <v>2.8991347857911413E-2</v>
      </c>
      <c r="K97" s="118" t="s">
        <v>174</v>
      </c>
      <c r="AT97" s="90"/>
      <c r="AU97" s="4"/>
      <c r="AV97" s="4"/>
      <c r="AW97" s="161"/>
    </row>
    <row r="98" spans="1:49">
      <c r="J98" s="972">
        <f>(J97/C87)*100</f>
        <v>9.6637826193038054E-3</v>
      </c>
      <c r="K98" s="971" t="s">
        <v>19</v>
      </c>
      <c r="AW98" s="6"/>
    </row>
    <row r="122" spans="49:49">
      <c r="AW122" s="6"/>
    </row>
    <row r="123" spans="49:49">
      <c r="AW123" s="6"/>
    </row>
    <row r="124" spans="49:49">
      <c r="AW124" s="6"/>
    </row>
    <row r="145" spans="1:23" ht="13.8" thickBot="1"/>
    <row r="146" spans="1:23" ht="15" thickBot="1">
      <c r="A146" s="1652"/>
      <c r="B146" s="1653"/>
      <c r="C146" s="1654"/>
      <c r="D146" s="1615"/>
      <c r="E146" s="1616"/>
      <c r="F146" s="1617"/>
      <c r="U146" s="1646"/>
      <c r="V146" s="1646"/>
      <c r="W146" s="6"/>
    </row>
    <row r="147" spans="1:23" ht="16.2" thickBot="1">
      <c r="A147" s="1655"/>
      <c r="B147" s="1656"/>
      <c r="C147" s="1657"/>
      <c r="D147" s="1618"/>
      <c r="E147" s="1619"/>
      <c r="F147" s="80"/>
      <c r="H147" s="1649"/>
      <c r="I147" s="1650"/>
      <c r="J147" s="1650"/>
      <c r="K147" s="1651"/>
      <c r="M147" s="1631"/>
      <c r="N147" s="1632"/>
      <c r="O147" s="1632"/>
      <c r="P147" s="1633"/>
      <c r="Q147" s="1634"/>
      <c r="R147" s="1586"/>
      <c r="T147" s="1643"/>
      <c r="U147" s="1644"/>
      <c r="V147" s="1644"/>
      <c r="W147" s="1645"/>
    </row>
    <row r="148" spans="1:23" ht="15" thickBot="1">
      <c r="A148" s="1618"/>
      <c r="B148" s="1619"/>
      <c r="C148" s="80"/>
      <c r="D148" s="1614"/>
      <c r="E148" s="1597"/>
      <c r="F148" s="85"/>
      <c r="H148" s="93"/>
      <c r="I148" s="8"/>
      <c r="J148" s="8"/>
      <c r="K148" s="89"/>
      <c r="M148" s="1637"/>
      <c r="N148" s="1638"/>
      <c r="O148" s="1639"/>
      <c r="P148" s="1640"/>
      <c r="Q148" s="1635"/>
      <c r="R148" s="1587"/>
      <c r="T148" s="11"/>
      <c r="U148" s="8"/>
      <c r="V148" s="8"/>
      <c r="W148" s="89"/>
    </row>
    <row r="149" spans="1:23" ht="15" thickBot="1">
      <c r="A149" s="1626"/>
      <c r="B149" s="1627"/>
      <c r="C149" s="88"/>
      <c r="D149" s="1614"/>
      <c r="E149" s="1597"/>
      <c r="F149" s="85"/>
      <c r="H149" s="92"/>
      <c r="I149" s="8"/>
      <c r="J149" s="7"/>
      <c r="K149" s="91"/>
      <c r="M149" s="1591"/>
      <c r="N149" s="1641"/>
      <c r="O149" s="107"/>
      <c r="P149" s="178"/>
      <c r="Q149" s="1636"/>
      <c r="R149" s="1588"/>
      <c r="T149" s="9"/>
      <c r="U149" s="8"/>
      <c r="V149" s="7"/>
      <c r="W149" s="91"/>
    </row>
    <row r="150" spans="1:23" ht="13.8" thickBot="1">
      <c r="A150" s="1626"/>
      <c r="B150" s="1627"/>
      <c r="C150" s="88"/>
      <c r="D150" s="1615"/>
      <c r="E150" s="1616"/>
      <c r="F150" s="1617"/>
      <c r="H150" s="90"/>
      <c r="I150" s="4"/>
      <c r="J150" s="4"/>
      <c r="K150" s="89"/>
      <c r="M150" s="1647"/>
      <c r="N150" s="1648"/>
      <c r="O150" s="245"/>
      <c r="P150" s="252"/>
      <c r="Q150" s="252"/>
      <c r="R150" s="253"/>
      <c r="T150" s="5"/>
      <c r="U150" s="4"/>
      <c r="V150" s="4"/>
      <c r="W150" s="101"/>
    </row>
    <row r="151" spans="1:23" ht="15.6">
      <c r="A151" s="1626"/>
      <c r="B151" s="1627"/>
      <c r="C151" s="88"/>
      <c r="D151" s="1618"/>
      <c r="E151" s="1619"/>
      <c r="F151" s="80"/>
      <c r="H151" s="1658"/>
      <c r="I151" s="1659"/>
      <c r="J151" s="1659"/>
      <c r="K151" s="1660"/>
      <c r="M151" s="1607"/>
      <c r="N151" s="1608"/>
      <c r="O151" s="104"/>
      <c r="P151" s="246"/>
      <c r="Q151" s="246"/>
      <c r="R151" s="248"/>
      <c r="T151" s="1649"/>
      <c r="U151" s="1650"/>
      <c r="V151" s="1650"/>
      <c r="W151" s="1651"/>
    </row>
    <row r="152" spans="1:23" ht="14.4" thickBot="1">
      <c r="A152" s="1626"/>
      <c r="B152" s="1627"/>
      <c r="C152" s="88"/>
      <c r="D152" s="1620"/>
      <c r="E152" s="1621"/>
      <c r="F152" s="66"/>
      <c r="H152" s="11"/>
      <c r="I152" s="8"/>
      <c r="J152" s="8"/>
      <c r="K152" s="89"/>
      <c r="M152" s="1605"/>
      <c r="N152" s="1606"/>
      <c r="O152" s="249"/>
      <c r="P152" s="250"/>
      <c r="Q152" s="250"/>
      <c r="R152" s="251"/>
      <c r="T152" s="93"/>
      <c r="U152" s="8"/>
      <c r="V152" s="8"/>
      <c r="W152" s="89"/>
    </row>
    <row r="153" spans="1:23" ht="14.4" thickBot="1">
      <c r="A153" s="1626"/>
      <c r="B153" s="1627"/>
      <c r="C153" s="88"/>
      <c r="D153" s="1620"/>
      <c r="E153" s="1621"/>
      <c r="F153" s="66"/>
      <c r="H153" s="9"/>
      <c r="I153" s="8"/>
      <c r="J153" s="7"/>
      <c r="K153" s="91"/>
      <c r="T153" s="92"/>
      <c r="U153" s="8"/>
      <c r="V153" s="7"/>
      <c r="W153" s="91"/>
    </row>
    <row r="154" spans="1:23" ht="15" thickBot="1">
      <c r="A154" s="1626"/>
      <c r="B154" s="1627"/>
      <c r="C154" s="88"/>
      <c r="D154" s="1622"/>
      <c r="E154" s="1623"/>
      <c r="F154" s="113"/>
      <c r="H154" s="14"/>
      <c r="I154" s="13"/>
      <c r="J154" s="13"/>
      <c r="K154" s="100"/>
      <c r="M154" s="1609"/>
      <c r="N154" s="1610"/>
      <c r="O154" s="1610"/>
      <c r="P154" s="1688"/>
      <c r="Q154" s="1689"/>
      <c r="R154" s="1675"/>
      <c r="T154" s="90"/>
      <c r="U154" s="4"/>
      <c r="V154" s="4"/>
      <c r="W154" s="101"/>
    </row>
    <row r="155" spans="1:23" ht="16.2" thickBot="1">
      <c r="A155" s="1615"/>
      <c r="B155" s="1616"/>
      <c r="C155" s="1617"/>
      <c r="D155" s="1624"/>
      <c r="E155" s="1625"/>
      <c r="F155" s="114"/>
      <c r="H155" s="1611"/>
      <c r="I155" s="1612"/>
      <c r="J155" s="1612"/>
      <c r="K155" s="1613"/>
      <c r="M155" s="1671"/>
      <c r="N155" s="1672"/>
      <c r="O155" s="1673"/>
      <c r="P155" s="1674"/>
      <c r="Q155" s="1690"/>
      <c r="R155" s="1676"/>
      <c r="T155" s="1649"/>
      <c r="U155" s="1650"/>
      <c r="V155" s="1650"/>
      <c r="W155" s="1651"/>
    </row>
    <row r="156" spans="1:23" ht="15" thickBot="1">
      <c r="A156" s="1618"/>
      <c r="B156" s="1619"/>
      <c r="C156" s="80"/>
      <c r="E156" s="23"/>
      <c r="H156" s="11"/>
      <c r="I156" s="8"/>
      <c r="J156" s="8"/>
      <c r="K156" s="89"/>
      <c r="M156" s="1684"/>
      <c r="N156" s="1685"/>
      <c r="O156" s="15"/>
      <c r="P156" s="15"/>
      <c r="Q156" s="1691"/>
      <c r="R156" s="1677"/>
      <c r="T156" s="93"/>
      <c r="U156" s="8"/>
      <c r="V156" s="8"/>
      <c r="W156" s="89"/>
    </row>
    <row r="157" spans="1:23">
      <c r="A157" s="1614"/>
      <c r="B157" s="1597"/>
      <c r="C157" s="87"/>
      <c r="H157" s="9"/>
      <c r="I157" s="8"/>
      <c r="J157" s="7"/>
      <c r="K157" s="91"/>
      <c r="M157" s="1686"/>
      <c r="N157" s="1687"/>
      <c r="O157" s="245"/>
      <c r="P157" s="256"/>
      <c r="Q157" s="258"/>
      <c r="R157" s="255"/>
      <c r="T157" s="92"/>
      <c r="U157" s="8"/>
      <c r="V157" s="7"/>
      <c r="W157" s="91"/>
    </row>
    <row r="158" spans="1:23" ht="15" thickBot="1">
      <c r="A158" s="1614"/>
      <c r="B158" s="1597"/>
      <c r="C158" s="87"/>
      <c r="E158" s="21"/>
      <c r="H158" s="14"/>
      <c r="I158" s="13"/>
      <c r="J158" s="13"/>
      <c r="K158" s="100"/>
      <c r="M158" s="1596"/>
      <c r="N158" s="1597"/>
      <c r="O158" s="104"/>
      <c r="P158" s="247"/>
      <c r="Q158" s="259"/>
      <c r="T158" s="90"/>
      <c r="U158" s="4"/>
      <c r="V158" s="4"/>
      <c r="W158" s="162"/>
    </row>
    <row r="159" spans="1:23">
      <c r="A159" s="1614"/>
      <c r="B159" s="1597"/>
      <c r="C159" s="87"/>
      <c r="E159" s="62"/>
      <c r="H159" s="1611"/>
      <c r="I159" s="1612"/>
      <c r="J159" s="1612"/>
      <c r="K159" s="1613"/>
      <c r="M159" s="1596"/>
      <c r="N159" s="1597"/>
      <c r="O159" s="104"/>
      <c r="P159" s="247"/>
      <c r="Q159" s="259"/>
      <c r="W159" s="6"/>
    </row>
    <row r="160" spans="1:23" ht="13.8" thickBot="1">
      <c r="A160" s="1614"/>
      <c r="B160" s="1597"/>
      <c r="C160" s="87"/>
      <c r="E160" s="19"/>
      <c r="H160" s="11"/>
      <c r="I160" s="8"/>
      <c r="J160" s="8"/>
      <c r="K160" s="89"/>
      <c r="M160" s="1596"/>
      <c r="N160" s="1597"/>
      <c r="O160" s="104"/>
      <c r="P160" s="247"/>
      <c r="Q160" s="259"/>
      <c r="W160" s="6"/>
    </row>
    <row r="161" spans="1:23" ht="15.6">
      <c r="A161" s="1614"/>
      <c r="B161" s="1597"/>
      <c r="C161" s="87"/>
      <c r="E161" s="19"/>
      <c r="H161" s="9"/>
      <c r="I161" s="8"/>
      <c r="J161" s="7"/>
      <c r="K161" s="91"/>
      <c r="M161" s="1596"/>
      <c r="N161" s="1597"/>
      <c r="O161" s="104"/>
      <c r="P161" s="247"/>
      <c r="Q161" s="259"/>
      <c r="T161" s="1643"/>
      <c r="U161" s="1644"/>
      <c r="V161" s="1644"/>
      <c r="W161" s="1645"/>
    </row>
    <row r="162" spans="1:23" ht="13.8" thickBot="1">
      <c r="A162" s="1614"/>
      <c r="B162" s="1597"/>
      <c r="C162" s="87"/>
      <c r="E162" s="19"/>
      <c r="H162" s="14"/>
      <c r="I162" s="13"/>
      <c r="J162" s="13"/>
      <c r="K162" s="100"/>
      <c r="M162" s="1596"/>
      <c r="N162" s="1597"/>
      <c r="O162" s="104"/>
      <c r="P162" s="247"/>
      <c r="Q162" s="259"/>
      <c r="T162" s="11"/>
      <c r="U162" s="8"/>
      <c r="V162" s="8"/>
      <c r="W162" s="89"/>
    </row>
    <row r="163" spans="1:23" ht="13.8" thickBot="1">
      <c r="D163" s="1593"/>
      <c r="E163" s="1594"/>
      <c r="F163" s="1594"/>
      <c r="G163" s="1595"/>
      <c r="H163" s="1593"/>
      <c r="I163" s="1594"/>
      <c r="J163" s="1594"/>
      <c r="K163" s="1595"/>
      <c r="M163" s="1600"/>
      <c r="N163" s="1601"/>
      <c r="O163" s="249"/>
      <c r="P163" s="257"/>
      <c r="Q163" s="260"/>
      <c r="T163" s="9"/>
      <c r="U163" s="8"/>
      <c r="V163" s="7"/>
      <c r="W163" s="91"/>
    </row>
    <row r="164" spans="1:23" ht="13.8" thickBot="1">
      <c r="D164" s="11"/>
      <c r="E164" s="8"/>
      <c r="F164" s="8"/>
      <c r="G164" s="89"/>
      <c r="H164" s="11"/>
      <c r="I164" s="8"/>
      <c r="J164" s="8"/>
      <c r="K164" s="89"/>
      <c r="M164" s="1602"/>
      <c r="N164" s="1603"/>
      <c r="O164" s="1603"/>
      <c r="P164" s="1603"/>
      <c r="Q164" s="1681"/>
      <c r="R164" s="1678"/>
      <c r="T164" s="5"/>
      <c r="U164" s="4"/>
      <c r="V164" s="4"/>
      <c r="W164" s="101"/>
    </row>
    <row r="165" spans="1:23" ht="15.6">
      <c r="D165" s="9"/>
      <c r="E165" s="8"/>
      <c r="F165" s="7"/>
      <c r="G165" s="91"/>
      <c r="H165" s="9"/>
      <c r="I165" s="8"/>
      <c r="J165" s="7"/>
      <c r="K165" s="91"/>
      <c r="M165" s="1607"/>
      <c r="N165" s="1608"/>
      <c r="O165" s="1604"/>
      <c r="P165" s="1604"/>
      <c r="Q165" s="1682"/>
      <c r="R165" s="1679"/>
      <c r="T165" s="1692"/>
      <c r="U165" s="1650"/>
      <c r="V165" s="1650"/>
      <c r="W165" s="1651"/>
    </row>
    <row r="166" spans="1:23" ht="13.8" thickBot="1">
      <c r="D166" s="14"/>
      <c r="E166" s="13"/>
      <c r="F166" s="13"/>
      <c r="G166" s="100"/>
      <c r="H166" s="14"/>
      <c r="I166" s="13"/>
      <c r="J166" s="13"/>
      <c r="K166" s="100"/>
      <c r="M166" s="1605"/>
      <c r="N166" s="1606"/>
      <c r="O166" s="254"/>
      <c r="P166" s="254"/>
      <c r="Q166" s="1683"/>
      <c r="R166" s="1680"/>
      <c r="T166" s="11"/>
      <c r="U166" s="8"/>
      <c r="V166" s="8"/>
      <c r="W166" s="89"/>
    </row>
    <row r="167" spans="1:23">
      <c r="D167" s="1593"/>
      <c r="E167" s="1594"/>
      <c r="F167" s="1594"/>
      <c r="G167" s="1595"/>
      <c r="H167" s="1611"/>
      <c r="I167" s="1612"/>
      <c r="J167" s="1612"/>
      <c r="K167" s="1613"/>
      <c r="M167" s="1647"/>
      <c r="N167" s="1648"/>
      <c r="O167" s="245"/>
      <c r="P167" s="256"/>
      <c r="Q167" s="258"/>
      <c r="R167" s="255"/>
      <c r="T167" s="9"/>
      <c r="U167" s="8"/>
      <c r="V167" s="7"/>
      <c r="W167" s="91"/>
    </row>
    <row r="168" spans="1:23" ht="13.8" thickBot="1">
      <c r="D168" s="11"/>
      <c r="E168" s="8"/>
      <c r="F168" s="8"/>
      <c r="G168" s="89"/>
      <c r="H168" s="11"/>
      <c r="I168" s="8"/>
      <c r="J168" s="8"/>
      <c r="K168" s="89"/>
      <c r="M168" s="1607"/>
      <c r="N168" s="1608"/>
      <c r="O168" s="104"/>
      <c r="P168" s="247"/>
      <c r="Q168" s="259"/>
      <c r="T168" s="5"/>
      <c r="U168" s="4"/>
      <c r="V168" s="4"/>
      <c r="W168" s="101"/>
    </row>
    <row r="169" spans="1:23">
      <c r="D169" s="9"/>
      <c r="E169" s="8"/>
      <c r="F169" s="7"/>
      <c r="G169" s="91"/>
      <c r="H169" s="9"/>
      <c r="I169" s="8"/>
      <c r="J169" s="7"/>
      <c r="K169" s="91"/>
      <c r="M169" s="1607"/>
      <c r="N169" s="1608"/>
      <c r="O169" s="104"/>
      <c r="P169" s="247"/>
      <c r="Q169" s="259"/>
      <c r="W169" s="6"/>
    </row>
    <row r="170" spans="1:23" ht="13.8" thickBot="1">
      <c r="D170" s="14"/>
      <c r="E170" s="13"/>
      <c r="F170" s="13"/>
      <c r="G170" s="100"/>
      <c r="H170" s="14"/>
      <c r="I170" s="13"/>
      <c r="J170" s="13"/>
      <c r="K170" s="100"/>
      <c r="M170" s="1607"/>
      <c r="N170" s="1608"/>
      <c r="O170" s="104"/>
      <c r="P170" s="247"/>
      <c r="Q170" s="259"/>
      <c r="W170" s="6"/>
    </row>
    <row r="171" spans="1:23">
      <c r="D171" s="1593"/>
      <c r="E171" s="1594"/>
      <c r="F171" s="1594"/>
      <c r="G171" s="1595"/>
      <c r="H171" s="1593"/>
      <c r="I171" s="1594"/>
      <c r="J171" s="1594"/>
      <c r="K171" s="1595"/>
      <c r="M171" s="1607"/>
      <c r="N171" s="1608"/>
      <c r="O171" s="104"/>
      <c r="P171" s="247"/>
      <c r="Q171" s="259"/>
      <c r="W171" s="6"/>
    </row>
    <row r="172" spans="1:23">
      <c r="D172" s="11"/>
      <c r="E172" s="8"/>
      <c r="F172" s="8"/>
      <c r="G172" s="89"/>
      <c r="H172" s="11"/>
      <c r="I172" s="8"/>
      <c r="J172" s="8"/>
      <c r="K172" s="89"/>
      <c r="M172" s="1607"/>
      <c r="N172" s="1608"/>
      <c r="O172" s="104"/>
      <c r="P172" s="247"/>
      <c r="Q172" s="259"/>
      <c r="W172" s="6"/>
    </row>
    <row r="173" spans="1:23" ht="13.8" thickBot="1">
      <c r="A173" s="10"/>
      <c r="D173" s="9"/>
      <c r="E173" s="8"/>
      <c r="F173" s="7"/>
      <c r="G173" s="91"/>
      <c r="H173" s="9"/>
      <c r="I173" s="8"/>
      <c r="J173" s="7"/>
      <c r="K173" s="91"/>
      <c r="M173" s="1605"/>
      <c r="N173" s="1606"/>
      <c r="O173" s="249"/>
      <c r="P173" s="257"/>
      <c r="Q173" s="260"/>
      <c r="W173" s="6"/>
    </row>
    <row r="174" spans="1:23" ht="13.8" thickBot="1">
      <c r="A174" s="10"/>
      <c r="D174" s="14"/>
      <c r="E174" s="13"/>
      <c r="F174" s="13"/>
      <c r="G174" s="100"/>
      <c r="H174" s="14"/>
      <c r="I174" s="13"/>
      <c r="J174" s="13"/>
      <c r="K174" s="100"/>
      <c r="W174" s="6"/>
    </row>
    <row r="175" spans="1:23" ht="15" thickBot="1">
      <c r="A175" s="10"/>
      <c r="D175" s="1593"/>
      <c r="E175" s="1594"/>
      <c r="F175" s="1594"/>
      <c r="G175" s="1595"/>
      <c r="H175" s="1593"/>
      <c r="I175" s="1594"/>
      <c r="J175" s="1594"/>
      <c r="K175" s="1595"/>
      <c r="M175" s="1609" t="s">
        <v>190</v>
      </c>
      <c r="N175" s="1610"/>
      <c r="O175" s="1610"/>
      <c r="P175" s="1610"/>
      <c r="Q175" s="1586" t="s">
        <v>182</v>
      </c>
      <c r="R175" s="1586" t="s">
        <v>191</v>
      </c>
      <c r="W175" s="6"/>
    </row>
    <row r="176" spans="1:23" ht="13.8" thickBot="1">
      <c r="A176" s="10"/>
      <c r="D176" s="11"/>
      <c r="E176" s="8"/>
      <c r="F176" s="8"/>
      <c r="G176" s="89"/>
      <c r="H176" s="11"/>
      <c r="I176" s="8"/>
      <c r="J176" s="8"/>
      <c r="K176" s="89"/>
      <c r="M176" s="1589" t="s">
        <v>186</v>
      </c>
      <c r="N176" s="1590"/>
      <c r="O176" s="1590"/>
      <c r="P176" s="1590"/>
      <c r="Q176" s="1587"/>
      <c r="R176" s="1587"/>
      <c r="W176" s="6"/>
    </row>
    <row r="177" spans="1:37" ht="15" thickBot="1">
      <c r="A177" s="10"/>
      <c r="D177" s="9"/>
      <c r="E177" s="8"/>
      <c r="F177" s="7"/>
      <c r="G177" s="91"/>
      <c r="H177" s="9"/>
      <c r="I177" s="8"/>
      <c r="J177" s="7"/>
      <c r="K177" s="91"/>
      <c r="M177" s="1591" t="s">
        <v>187</v>
      </c>
      <c r="N177" s="1592"/>
      <c r="O177" s="107">
        <v>2016</v>
      </c>
      <c r="P177" s="106">
        <v>2017</v>
      </c>
      <c r="Q177" s="1588"/>
      <c r="R177" s="1588"/>
      <c r="W177" s="6"/>
    </row>
    <row r="178" spans="1:37" ht="14.4" thickBot="1">
      <c r="A178" s="10"/>
      <c r="D178" s="14"/>
      <c r="E178" s="13"/>
      <c r="F178" s="13"/>
      <c r="G178" s="100"/>
      <c r="H178" s="14"/>
      <c r="I178" s="13"/>
      <c r="J178" s="13"/>
      <c r="K178" s="100"/>
      <c r="M178" s="1598">
        <v>500</v>
      </c>
      <c r="N178" s="1599"/>
      <c r="O178" s="111">
        <v>-8.0000000000000002E-3</v>
      </c>
      <c r="P178" s="111">
        <v>-2E-3</v>
      </c>
      <c r="Q178" s="111">
        <f>0.5*(MAX(O178:P178)-MIN(O178:P178))</f>
        <v>3.0000000000000001E-3</v>
      </c>
      <c r="R178" s="112">
        <v>1.2E-2</v>
      </c>
      <c r="W178" s="6"/>
    </row>
    <row r="179" spans="1:37">
      <c r="A179" s="10"/>
      <c r="P179" s="108"/>
      <c r="Q179" s="109"/>
      <c r="R179" s="110"/>
      <c r="S179" s="109"/>
      <c r="W179" s="6"/>
    </row>
    <row r="180" spans="1:37">
      <c r="A180" s="10"/>
      <c r="W180" s="6"/>
    </row>
    <row r="181" spans="1:37">
      <c r="A181" s="10"/>
      <c r="W181" s="6"/>
    </row>
    <row r="182" spans="1:37">
      <c r="A182" s="10"/>
      <c r="W182" s="6"/>
    </row>
    <row r="183" spans="1:37">
      <c r="A183" s="10"/>
      <c r="W183" s="6"/>
    </row>
    <row r="184" spans="1:37">
      <c r="A184" s="10"/>
      <c r="W184" s="6"/>
    </row>
    <row r="185" spans="1:37">
      <c r="A185" s="10"/>
      <c r="W185" s="6"/>
    </row>
    <row r="186" spans="1:37" ht="13.8" thickBot="1">
      <c r="A186" s="10"/>
      <c r="M186" s="1693" t="s">
        <v>192</v>
      </c>
      <c r="N186" s="1693"/>
      <c r="O186" s="1693"/>
      <c r="P186" s="1693"/>
      <c r="Q186" s="1693"/>
      <c r="R186" s="1693"/>
      <c r="S186" s="1693"/>
      <c r="T186" s="1693"/>
      <c r="U186" s="1693"/>
      <c r="V186" s="1693"/>
      <c r="W186" s="1693"/>
      <c r="X186" s="1693"/>
      <c r="Z186" s="1693" t="s">
        <v>193</v>
      </c>
      <c r="AA186" s="1693"/>
      <c r="AB186" s="1693"/>
      <c r="AC186" s="1693"/>
      <c r="AD186" s="1693"/>
      <c r="AE186" s="1693"/>
      <c r="AF186" s="1693"/>
      <c r="AG186" s="1693"/>
      <c r="AH186" s="1693"/>
      <c r="AI186" s="1693"/>
      <c r="AJ186" s="1693"/>
      <c r="AK186" s="1693"/>
    </row>
    <row r="187" spans="1:37" ht="15" thickBot="1">
      <c r="B187" s="1631"/>
      <c r="C187" s="1632"/>
      <c r="D187" s="1632"/>
      <c r="E187" s="1633"/>
      <c r="F187" s="1656"/>
      <c r="G187" s="1663"/>
      <c r="M187" s="1593"/>
      <c r="N187" s="1594"/>
      <c r="O187" s="1594"/>
      <c r="P187" s="1595"/>
      <c r="Q187" s="1593"/>
      <c r="R187" s="1594"/>
      <c r="S187" s="1594"/>
      <c r="T187" s="1595"/>
      <c r="U187" s="1593"/>
      <c r="V187" s="1594"/>
      <c r="W187" s="1594"/>
      <c r="X187" s="1595"/>
      <c r="Z187" s="1593"/>
      <c r="AA187" s="1594"/>
      <c r="AB187" s="1594"/>
      <c r="AC187" s="1595"/>
      <c r="AD187" s="1593"/>
      <c r="AE187" s="1594"/>
      <c r="AF187" s="1594"/>
      <c r="AG187" s="1595"/>
      <c r="AH187" s="1593"/>
      <c r="AI187" s="1594"/>
      <c r="AJ187" s="1594"/>
      <c r="AK187" s="1595"/>
    </row>
    <row r="188" spans="1:37" ht="13.8" thickBot="1">
      <c r="B188" s="1666"/>
      <c r="C188" s="1667"/>
      <c r="D188" s="1667"/>
      <c r="E188" s="1640"/>
      <c r="F188" s="1661"/>
      <c r="G188" s="1664"/>
      <c r="M188" s="11"/>
      <c r="N188" s="8"/>
      <c r="O188" s="8"/>
      <c r="P188" s="89"/>
      <c r="Q188" s="11"/>
      <c r="R188" s="8"/>
      <c r="S188" s="8"/>
      <c r="T188" s="89"/>
      <c r="U188" s="11"/>
      <c r="V188" s="8"/>
      <c r="W188" s="8"/>
      <c r="X188" s="89"/>
      <c r="Z188" s="11"/>
      <c r="AA188" s="8"/>
      <c r="AB188" s="8"/>
      <c r="AC188" s="89"/>
      <c r="AD188" s="11"/>
      <c r="AE188" s="8"/>
      <c r="AF188" s="8"/>
      <c r="AG188" s="89"/>
      <c r="AH188" s="11"/>
      <c r="AI188" s="8"/>
      <c r="AJ188" s="8"/>
      <c r="AK188" s="89"/>
    </row>
    <row r="189" spans="1:37" ht="14.4">
      <c r="B189" s="1668"/>
      <c r="C189" s="1669"/>
      <c r="D189" s="180"/>
      <c r="E189" s="179"/>
      <c r="F189" s="1662"/>
      <c r="G189" s="1665"/>
      <c r="M189" s="9"/>
      <c r="N189" s="8"/>
      <c r="O189" s="7"/>
      <c r="P189" s="91"/>
      <c r="Q189" s="9"/>
      <c r="R189" s="8"/>
      <c r="S189" s="7"/>
      <c r="T189" s="91"/>
      <c r="U189" s="9"/>
      <c r="V189" s="8"/>
      <c r="W189" s="7"/>
      <c r="X189" s="91"/>
      <c r="Z189" s="9"/>
      <c r="AA189" s="8"/>
      <c r="AB189" s="7"/>
      <c r="AC189" s="91"/>
      <c r="AD189" s="9"/>
      <c r="AE189" s="8"/>
      <c r="AF189" s="7"/>
      <c r="AG189" s="91"/>
      <c r="AH189" s="9"/>
      <c r="AI189" s="8"/>
      <c r="AJ189" s="7"/>
      <c r="AK189" s="91"/>
    </row>
    <row r="190" spans="1:37" ht="13.8" thickBot="1">
      <c r="B190" s="1670"/>
      <c r="C190" s="1670"/>
      <c r="D190" s="261"/>
      <c r="E190" s="18"/>
      <c r="F190" s="175"/>
      <c r="G190" s="247"/>
      <c r="M190" s="14"/>
      <c r="N190" s="13"/>
      <c r="O190" s="13"/>
      <c r="P190" s="100"/>
      <c r="Q190" s="14"/>
      <c r="R190" s="13"/>
      <c r="S190" s="13"/>
      <c r="T190" s="100"/>
      <c r="U190" s="14"/>
      <c r="V190" s="13"/>
      <c r="W190" s="13"/>
      <c r="X190" s="100"/>
      <c r="Z190" s="14"/>
      <c r="AA190" s="13"/>
      <c r="AB190" s="13"/>
      <c r="AC190" s="100"/>
      <c r="AD190" s="14"/>
      <c r="AE190" s="13"/>
      <c r="AF190" s="13"/>
      <c r="AG190" s="100"/>
      <c r="AH190" s="14"/>
      <c r="AI190" s="13"/>
      <c r="AJ190" s="13"/>
      <c r="AK190" s="100"/>
    </row>
    <row r="191" spans="1:37">
      <c r="B191" s="1670"/>
      <c r="C191" s="1670"/>
      <c r="D191" s="261"/>
      <c r="E191" s="18"/>
      <c r="F191" s="175"/>
      <c r="G191" s="247"/>
      <c r="M191" s="11"/>
      <c r="N191" s="8"/>
      <c r="O191" s="8"/>
      <c r="P191" s="89"/>
      <c r="Q191" s="11"/>
      <c r="R191" s="8"/>
      <c r="S191" s="8"/>
      <c r="T191" s="89"/>
      <c r="U191" s="11"/>
      <c r="V191" s="8"/>
      <c r="W191" s="8"/>
      <c r="X191" s="89"/>
      <c r="Z191" s="11"/>
      <c r="AA191" s="8"/>
      <c r="AB191" s="8"/>
      <c r="AC191" s="89"/>
      <c r="AD191" s="11"/>
      <c r="AE191" s="8"/>
      <c r="AF191" s="8"/>
      <c r="AG191" s="89"/>
      <c r="AH191" s="11"/>
      <c r="AI191" s="8"/>
      <c r="AJ191" s="8"/>
      <c r="AK191" s="89"/>
    </row>
    <row r="192" spans="1:37">
      <c r="B192" s="1670"/>
      <c r="C192" s="1670"/>
      <c r="D192" s="261"/>
      <c r="E192" s="18"/>
      <c r="F192" s="175"/>
      <c r="G192" s="247"/>
      <c r="M192" s="9"/>
      <c r="N192" s="8"/>
      <c r="O192" s="7"/>
      <c r="P192" s="91"/>
      <c r="Q192" s="9"/>
      <c r="R192" s="8"/>
      <c r="S192" s="7"/>
      <c r="T192" s="91"/>
      <c r="U192" s="9"/>
      <c r="V192" s="8"/>
      <c r="W192" s="7"/>
      <c r="X192" s="91"/>
      <c r="Z192" s="9"/>
      <c r="AA192" s="8"/>
      <c r="AB192" s="7"/>
      <c r="AC192" s="91"/>
      <c r="AD192" s="9"/>
      <c r="AE192" s="8"/>
      <c r="AF192" s="7"/>
      <c r="AG192" s="91"/>
      <c r="AH192" s="9"/>
      <c r="AI192" s="8"/>
      <c r="AJ192" s="7"/>
      <c r="AK192" s="91"/>
    </row>
    <row r="193" spans="2:37" ht="13.8" thickBot="1">
      <c r="B193" s="1670"/>
      <c r="C193" s="1670"/>
      <c r="D193" s="176"/>
      <c r="E193" s="18"/>
      <c r="F193" s="175"/>
      <c r="G193" s="247"/>
      <c r="M193" s="14"/>
      <c r="N193" s="13"/>
      <c r="O193" s="13"/>
      <c r="P193" s="100"/>
      <c r="Q193" s="14"/>
      <c r="R193" s="13"/>
      <c r="S193" s="13"/>
      <c r="T193" s="100"/>
      <c r="U193" s="14"/>
      <c r="V193" s="13"/>
      <c r="W193" s="13"/>
      <c r="X193" s="100"/>
      <c r="Z193" s="14"/>
      <c r="AA193" s="13"/>
      <c r="AB193" s="13"/>
      <c r="AC193" s="100"/>
      <c r="AD193" s="14"/>
      <c r="AE193" s="13"/>
      <c r="AF193" s="13"/>
      <c r="AG193" s="100"/>
      <c r="AH193" s="14"/>
      <c r="AI193" s="13"/>
      <c r="AJ193" s="13"/>
      <c r="AK193" s="100"/>
    </row>
    <row r="194" spans="2:37">
      <c r="B194" s="1670"/>
      <c r="C194" s="1670"/>
      <c r="D194" s="176"/>
      <c r="E194" s="18"/>
      <c r="F194" s="175"/>
      <c r="G194" s="247"/>
      <c r="M194" s="11"/>
      <c r="N194" s="8"/>
      <c r="O194" s="8"/>
      <c r="P194" s="89"/>
      <c r="Q194" s="11"/>
      <c r="R194" s="8"/>
      <c r="S194" s="8"/>
      <c r="T194" s="89"/>
      <c r="U194" s="11"/>
      <c r="V194" s="8"/>
      <c r="W194" s="8"/>
      <c r="X194" s="89"/>
      <c r="Z194" s="11"/>
      <c r="AA194" s="8"/>
      <c r="AB194" s="8"/>
      <c r="AC194" s="89"/>
      <c r="AD194" s="11"/>
      <c r="AE194" s="8"/>
      <c r="AF194" s="8"/>
      <c r="AG194" s="89"/>
      <c r="AH194" s="11"/>
      <c r="AI194" s="8"/>
      <c r="AJ194" s="8"/>
      <c r="AK194" s="89"/>
    </row>
    <row r="195" spans="2:37">
      <c r="B195" s="1670"/>
      <c r="C195" s="1670"/>
      <c r="D195" s="176"/>
      <c r="E195" s="18"/>
      <c r="F195" s="175"/>
      <c r="G195" s="247"/>
      <c r="M195" s="9"/>
      <c r="N195" s="8"/>
      <c r="O195" s="7"/>
      <c r="P195" s="91"/>
      <c r="Q195" s="9"/>
      <c r="R195" s="8"/>
      <c r="S195" s="7"/>
      <c r="T195" s="91"/>
      <c r="U195" s="9"/>
      <c r="V195" s="8"/>
      <c r="W195" s="7"/>
      <c r="X195" s="91"/>
      <c r="Z195" s="9"/>
      <c r="AA195" s="8"/>
      <c r="AB195" s="7"/>
      <c r="AC195" s="91"/>
      <c r="AD195" s="9"/>
      <c r="AE195" s="8"/>
      <c r="AF195" s="7"/>
      <c r="AG195" s="91"/>
      <c r="AH195" s="9"/>
      <c r="AI195" s="8"/>
      <c r="AJ195" s="7"/>
      <c r="AK195" s="91"/>
    </row>
    <row r="196" spans="2:37" ht="13.8" thickBot="1">
      <c r="B196" s="1670"/>
      <c r="C196" s="1670"/>
      <c r="D196" s="176"/>
      <c r="E196" s="18"/>
      <c r="F196" s="175"/>
      <c r="G196" s="247"/>
      <c r="M196" s="14"/>
      <c r="N196" s="13"/>
      <c r="O196" s="13"/>
      <c r="P196" s="100"/>
      <c r="Q196" s="14"/>
      <c r="R196" s="13"/>
      <c r="S196" s="13"/>
      <c r="T196" s="100"/>
      <c r="U196" s="14"/>
      <c r="V196" s="13"/>
      <c r="W196" s="13"/>
      <c r="X196" s="100"/>
      <c r="Z196" s="14"/>
      <c r="AA196" s="13"/>
      <c r="AB196" s="13"/>
      <c r="AC196" s="100"/>
      <c r="AD196" s="14"/>
      <c r="AE196" s="13"/>
      <c r="AF196" s="13"/>
      <c r="AG196" s="100"/>
      <c r="AH196" s="14"/>
      <c r="AI196" s="13"/>
      <c r="AJ196" s="13"/>
      <c r="AK196" s="100"/>
    </row>
    <row r="197" spans="2:37" ht="13.8" thickBot="1">
      <c r="B197" s="1670"/>
      <c r="C197" s="1670"/>
      <c r="D197" s="176"/>
      <c r="E197" s="18"/>
      <c r="F197" s="175"/>
      <c r="G197" s="247"/>
      <c r="M197" s="11"/>
      <c r="N197" s="8"/>
      <c r="O197" s="8"/>
      <c r="P197" s="89"/>
      <c r="Q197" s="11"/>
      <c r="R197" s="8"/>
      <c r="S197" s="8"/>
      <c r="T197" s="89"/>
      <c r="U197" s="11"/>
      <c r="V197" s="8"/>
      <c r="W197" s="8"/>
      <c r="X197" s="89"/>
      <c r="Z197" s="11"/>
      <c r="AA197" s="8"/>
      <c r="AB197" s="8"/>
      <c r="AC197" s="89"/>
      <c r="AD197" s="11"/>
      <c r="AE197" s="8"/>
      <c r="AF197" s="8"/>
      <c r="AG197" s="89"/>
      <c r="AH197" s="11"/>
      <c r="AI197" s="8"/>
      <c r="AJ197" s="8"/>
      <c r="AK197" s="89"/>
    </row>
    <row r="198" spans="2:37" ht="15" thickBot="1">
      <c r="B198" s="1631"/>
      <c r="C198" s="1632"/>
      <c r="D198" s="1632"/>
      <c r="E198" s="1633"/>
      <c r="F198" s="1656"/>
      <c r="G198" s="1663"/>
      <c r="M198" s="9"/>
      <c r="N198" s="8"/>
      <c r="O198" s="7"/>
      <c r="P198" s="91"/>
      <c r="Q198" s="9"/>
      <c r="R198" s="8"/>
      <c r="S198" s="7"/>
      <c r="T198" s="91"/>
      <c r="U198" s="9"/>
      <c r="V198" s="8"/>
      <c r="W198" s="7"/>
      <c r="X198" s="91"/>
      <c r="Z198" s="9"/>
      <c r="AA198" s="8"/>
      <c r="AB198" s="7"/>
      <c r="AC198" s="91"/>
      <c r="AD198" s="9"/>
      <c r="AE198" s="8"/>
      <c r="AF198" s="7"/>
      <c r="AG198" s="91"/>
      <c r="AH198" s="9"/>
      <c r="AI198" s="8"/>
      <c r="AJ198" s="7"/>
      <c r="AK198" s="91"/>
    </row>
    <row r="199" spans="2:37" ht="13.8" thickBot="1">
      <c r="B199" s="1666"/>
      <c r="C199" s="1667"/>
      <c r="D199" s="1667"/>
      <c r="E199" s="1640"/>
      <c r="F199" s="1661"/>
      <c r="G199" s="1664"/>
      <c r="M199" s="14"/>
      <c r="N199" s="13"/>
      <c r="O199" s="13"/>
      <c r="P199" s="100"/>
      <c r="Q199" s="14"/>
      <c r="R199" s="13"/>
      <c r="S199" s="13"/>
      <c r="T199" s="100"/>
      <c r="U199" s="14"/>
      <c r="V199" s="13"/>
      <c r="W199" s="13"/>
      <c r="X199" s="100"/>
      <c r="Z199" s="14"/>
      <c r="AA199" s="13"/>
      <c r="AB199" s="13"/>
      <c r="AC199" s="100"/>
      <c r="AD199" s="14"/>
      <c r="AE199" s="13"/>
      <c r="AF199" s="13"/>
      <c r="AG199" s="100"/>
      <c r="AH199" s="14"/>
      <c r="AI199" s="13"/>
      <c r="AJ199" s="13"/>
      <c r="AK199" s="100"/>
    </row>
    <row r="200" spans="2:37" ht="14.4">
      <c r="B200" s="1668"/>
      <c r="C200" s="1669"/>
      <c r="D200" s="180"/>
      <c r="E200" s="179"/>
      <c r="F200" s="1662"/>
      <c r="G200" s="1665"/>
      <c r="M200" s="11"/>
      <c r="N200" s="8"/>
      <c r="O200" s="8"/>
      <c r="P200" s="89"/>
      <c r="Q200" s="11"/>
      <c r="R200" s="8"/>
      <c r="S200" s="8"/>
      <c r="T200" s="89"/>
      <c r="U200" s="11"/>
      <c r="V200" s="8"/>
      <c r="W200" s="8"/>
      <c r="X200" s="89"/>
      <c r="Z200" s="11"/>
      <c r="AA200" s="8"/>
      <c r="AB200" s="8"/>
      <c r="AC200" s="89"/>
      <c r="AD200" s="11"/>
      <c r="AE200" s="8"/>
      <c r="AF200" s="8"/>
      <c r="AG200" s="89"/>
      <c r="AH200" s="11"/>
      <c r="AI200" s="8"/>
      <c r="AJ200" s="8"/>
      <c r="AK200" s="89"/>
    </row>
    <row r="201" spans="2:37">
      <c r="B201" s="1670"/>
      <c r="C201" s="1670"/>
      <c r="D201" s="261"/>
      <c r="E201" s="18"/>
      <c r="F201" s="175"/>
      <c r="G201" s="247"/>
      <c r="M201" s="9"/>
      <c r="N201" s="8"/>
      <c r="O201" s="7"/>
      <c r="P201" s="91"/>
      <c r="Q201" s="9"/>
      <c r="R201" s="8"/>
      <c r="S201" s="7"/>
      <c r="T201" s="91"/>
      <c r="U201" s="9"/>
      <c r="V201" s="8"/>
      <c r="W201" s="7"/>
      <c r="X201" s="91"/>
      <c r="Z201" s="9"/>
      <c r="AA201" s="8"/>
      <c r="AB201" s="7"/>
      <c r="AC201" s="91"/>
      <c r="AD201" s="9"/>
      <c r="AE201" s="8"/>
      <c r="AF201" s="7"/>
      <c r="AG201" s="91"/>
      <c r="AH201" s="9"/>
      <c r="AI201" s="8"/>
      <c r="AJ201" s="7"/>
      <c r="AK201" s="91"/>
    </row>
    <row r="202" spans="2:37" ht="13.8" thickBot="1">
      <c r="B202" s="1670"/>
      <c r="C202" s="1670"/>
      <c r="D202" s="261"/>
      <c r="E202" s="18"/>
      <c r="F202" s="175"/>
      <c r="G202" s="247"/>
      <c r="M202" s="14"/>
      <c r="N202" s="13"/>
      <c r="O202" s="13"/>
      <c r="P202" s="100"/>
      <c r="Q202" s="14"/>
      <c r="R202" s="13"/>
      <c r="S202" s="13"/>
      <c r="T202" s="100"/>
      <c r="U202" s="14"/>
      <c r="V202" s="13"/>
      <c r="W202" s="13"/>
      <c r="X202" s="100"/>
      <c r="Z202" s="14"/>
      <c r="AA202" s="13"/>
      <c r="AB202" s="13"/>
      <c r="AC202" s="100"/>
      <c r="AD202" s="14"/>
      <c r="AE202" s="13"/>
      <c r="AF202" s="13"/>
      <c r="AG202" s="100"/>
      <c r="AH202" s="14"/>
      <c r="AI202" s="13"/>
      <c r="AJ202" s="13"/>
      <c r="AK202" s="100"/>
    </row>
    <row r="203" spans="2:37">
      <c r="B203" s="1670"/>
      <c r="C203" s="1670"/>
      <c r="D203" s="261"/>
      <c r="E203" s="18"/>
      <c r="F203" s="175"/>
      <c r="G203" s="247"/>
    </row>
    <row r="204" spans="2:37" ht="13.8" thickBot="1">
      <c r="B204" s="1670"/>
      <c r="C204" s="1670"/>
      <c r="D204" s="176"/>
      <c r="E204" s="18"/>
      <c r="F204" s="175"/>
      <c r="G204" s="247"/>
    </row>
    <row r="205" spans="2:37">
      <c r="B205" s="1670"/>
      <c r="C205" s="1670"/>
      <c r="D205" s="176"/>
      <c r="E205" s="18"/>
      <c r="F205" s="175"/>
      <c r="G205" s="247"/>
      <c r="M205" s="1593"/>
      <c r="N205" s="1594"/>
      <c r="O205" s="1594"/>
      <c r="P205" s="1595"/>
      <c r="Q205" s="1593"/>
      <c r="R205" s="1594"/>
      <c r="S205" s="1594"/>
      <c r="T205" s="1595"/>
      <c r="U205" s="1593"/>
      <c r="V205" s="1594"/>
      <c r="W205" s="1594"/>
      <c r="X205" s="1595"/>
      <c r="Z205" s="1593"/>
      <c r="AA205" s="1594"/>
      <c r="AB205" s="1594"/>
      <c r="AC205" s="1595"/>
      <c r="AD205" s="1593"/>
      <c r="AE205" s="1594"/>
      <c r="AF205" s="1594"/>
      <c r="AG205" s="1595"/>
      <c r="AH205" s="1593"/>
      <c r="AI205" s="1594"/>
      <c r="AJ205" s="1594"/>
      <c r="AK205" s="1595"/>
    </row>
    <row r="206" spans="2:37">
      <c r="B206" s="1670"/>
      <c r="C206" s="1670"/>
      <c r="D206" s="176"/>
      <c r="E206" s="18"/>
      <c r="F206" s="175"/>
      <c r="G206" s="247"/>
      <c r="M206" s="11"/>
      <c r="N206" s="8"/>
      <c r="O206" s="8"/>
      <c r="P206" s="89"/>
      <c r="Q206" s="11"/>
      <c r="R206" s="8"/>
      <c r="S206" s="8"/>
      <c r="T206" s="89"/>
      <c r="U206" s="11"/>
      <c r="V206" s="8"/>
      <c r="W206" s="8"/>
      <c r="X206" s="89"/>
      <c r="Z206" s="11"/>
      <c r="AA206" s="8"/>
      <c r="AB206" s="8"/>
      <c r="AC206" s="89"/>
      <c r="AD206" s="11"/>
      <c r="AE206" s="8"/>
      <c r="AF206" s="8"/>
      <c r="AG206" s="89"/>
      <c r="AH206" s="11"/>
      <c r="AI206" s="8"/>
      <c r="AJ206" s="8"/>
      <c r="AK206" s="89"/>
    </row>
    <row r="207" spans="2:37" ht="13.8" thickBot="1">
      <c r="B207" s="1670"/>
      <c r="C207" s="1670"/>
      <c r="D207" s="176"/>
      <c r="E207" s="18"/>
      <c r="F207" s="175"/>
      <c r="G207" s="247"/>
      <c r="M207" s="9"/>
      <c r="N207" s="8"/>
      <c r="O207" s="7"/>
      <c r="P207" s="91"/>
      <c r="Q207" s="9"/>
      <c r="R207" s="8"/>
      <c r="S207" s="7"/>
      <c r="T207" s="91"/>
      <c r="U207" s="9"/>
      <c r="V207" s="8"/>
      <c r="W207" s="7"/>
      <c r="X207" s="91"/>
      <c r="Z207" s="9"/>
      <c r="AA207" s="8"/>
      <c r="AB207" s="7"/>
      <c r="AC207" s="91"/>
      <c r="AD207" s="9"/>
      <c r="AE207" s="8"/>
      <c r="AF207" s="7"/>
      <c r="AG207" s="91"/>
      <c r="AH207" s="9"/>
      <c r="AI207" s="8"/>
      <c r="AJ207" s="7"/>
      <c r="AK207" s="91"/>
    </row>
    <row r="208" spans="2:37" ht="15" thickBot="1">
      <c r="B208" s="1631"/>
      <c r="C208" s="1632"/>
      <c r="D208" s="1632"/>
      <c r="E208" s="1633"/>
      <c r="F208" s="1656"/>
      <c r="G208" s="1663"/>
      <c r="M208" s="14"/>
      <c r="N208" s="13"/>
      <c r="O208" s="13"/>
      <c r="P208" s="100"/>
      <c r="Q208" s="14"/>
      <c r="R208" s="13"/>
      <c r="S208" s="13"/>
      <c r="T208" s="100"/>
      <c r="U208" s="14"/>
      <c r="V208" s="13"/>
      <c r="W208" s="13"/>
      <c r="X208" s="100"/>
      <c r="Z208" s="14"/>
      <c r="AA208" s="13"/>
      <c r="AB208" s="13"/>
      <c r="AC208" s="100"/>
      <c r="AD208" s="14"/>
      <c r="AE208" s="13"/>
      <c r="AF208" s="13"/>
      <c r="AG208" s="100"/>
      <c r="AH208" s="14"/>
      <c r="AI208" s="13"/>
      <c r="AJ208" s="13"/>
      <c r="AK208" s="100"/>
    </row>
    <row r="209" spans="2:7" ht="13.8" thickBot="1">
      <c r="B209" s="1666"/>
      <c r="C209" s="1667"/>
      <c r="D209" s="1667"/>
      <c r="E209" s="1640"/>
      <c r="F209" s="1661"/>
      <c r="G209" s="1664"/>
    </row>
    <row r="210" spans="2:7" ht="14.4">
      <c r="B210" s="1668"/>
      <c r="C210" s="1669"/>
      <c r="D210" s="180"/>
      <c r="E210" s="179"/>
      <c r="F210" s="1662"/>
      <c r="G210" s="1665"/>
    </row>
    <row r="211" spans="2:7">
      <c r="B211" s="1670"/>
      <c r="C211" s="1670"/>
      <c r="D211" s="261"/>
      <c r="E211" s="18"/>
      <c r="F211" s="175"/>
      <c r="G211" s="99"/>
    </row>
    <row r="212" spans="2:7">
      <c r="B212" s="1670"/>
      <c r="C212" s="1670"/>
      <c r="D212" s="261"/>
      <c r="E212" s="18"/>
      <c r="F212" s="175"/>
      <c r="G212" s="99"/>
    </row>
    <row r="213" spans="2:7">
      <c r="B213" s="1670"/>
      <c r="C213" s="1670"/>
      <c r="D213" s="261"/>
      <c r="E213" s="18"/>
      <c r="F213" s="175"/>
      <c r="G213" s="99"/>
    </row>
    <row r="214" spans="2:7">
      <c r="B214" s="1670"/>
      <c r="C214" s="1670"/>
      <c r="D214" s="176"/>
      <c r="E214" s="18"/>
      <c r="F214" s="175"/>
      <c r="G214" s="99"/>
    </row>
    <row r="215" spans="2:7">
      <c r="B215" s="1670"/>
      <c r="C215" s="1670"/>
      <c r="D215" s="176"/>
      <c r="E215" s="18"/>
      <c r="F215" s="175"/>
      <c r="G215" s="99"/>
    </row>
    <row r="216" spans="2:7">
      <c r="B216" s="1670"/>
      <c r="C216" s="1670"/>
      <c r="D216" s="176"/>
      <c r="E216" s="18"/>
      <c r="F216" s="175"/>
      <c r="G216" s="99"/>
    </row>
    <row r="217" spans="2:7">
      <c r="B217" s="1670"/>
      <c r="C217" s="1670"/>
      <c r="D217" s="176"/>
      <c r="E217" s="18"/>
      <c r="F217" s="175"/>
      <c r="G217" s="99"/>
    </row>
    <row r="218" spans="2:7">
      <c r="B218" s="1670"/>
      <c r="C218" s="1670"/>
      <c r="D218" s="176"/>
      <c r="E218" s="18"/>
      <c r="F218" s="175"/>
      <c r="G218" s="99"/>
    </row>
    <row r="219" spans="2:7">
      <c r="B219" s="1670"/>
      <c r="C219" s="1670"/>
      <c r="D219" s="176"/>
      <c r="E219" s="18"/>
      <c r="F219" s="175"/>
      <c r="G219" s="99"/>
    </row>
  </sheetData>
  <mergeCells count="151">
    <mergeCell ref="Z186:AK186"/>
    <mergeCell ref="Z187:AC187"/>
    <mergeCell ref="AD187:AG187"/>
    <mergeCell ref="AH187:AK187"/>
    <mergeCell ref="M205:P205"/>
    <mergeCell ref="Q205:T205"/>
    <mergeCell ref="U205:X205"/>
    <mergeCell ref="Z205:AC205"/>
    <mergeCell ref="AD205:AG205"/>
    <mergeCell ref="AH205:AK205"/>
    <mergeCell ref="M187:P187"/>
    <mergeCell ref="Q187:T187"/>
    <mergeCell ref="U187:X187"/>
    <mergeCell ref="M186:X186"/>
    <mergeCell ref="H159:K159"/>
    <mergeCell ref="H155:K155"/>
    <mergeCell ref="M155:N155"/>
    <mergeCell ref="O155:P155"/>
    <mergeCell ref="M167:N167"/>
    <mergeCell ref="T155:W155"/>
    <mergeCell ref="R154:R156"/>
    <mergeCell ref="R164:R166"/>
    <mergeCell ref="Q164:Q166"/>
    <mergeCell ref="M156:N156"/>
    <mergeCell ref="M158:N158"/>
    <mergeCell ref="M159:N159"/>
    <mergeCell ref="M160:N160"/>
    <mergeCell ref="M157:N157"/>
    <mergeCell ref="M154:P154"/>
    <mergeCell ref="Q154:Q156"/>
    <mergeCell ref="T161:W161"/>
    <mergeCell ref="T165:W165"/>
    <mergeCell ref="B216:C216"/>
    <mergeCell ref="B217:C217"/>
    <mergeCell ref="B218:C218"/>
    <mergeCell ref="B219:C219"/>
    <mergeCell ref="H175:K175"/>
    <mergeCell ref="B211:C211"/>
    <mergeCell ref="B212:C212"/>
    <mergeCell ref="B213:C213"/>
    <mergeCell ref="B214:C214"/>
    <mergeCell ref="B215:C215"/>
    <mergeCell ref="B206:C206"/>
    <mergeCell ref="B207:C207"/>
    <mergeCell ref="B208:E208"/>
    <mergeCell ref="F208:F210"/>
    <mergeCell ref="G208:G210"/>
    <mergeCell ref="B209:C209"/>
    <mergeCell ref="D209:E209"/>
    <mergeCell ref="B210:C210"/>
    <mergeCell ref="B201:C201"/>
    <mergeCell ref="B202:C202"/>
    <mergeCell ref="B203:C203"/>
    <mergeCell ref="B204:C204"/>
    <mergeCell ref="B205:C205"/>
    <mergeCell ref="B198:E198"/>
    <mergeCell ref="F198:F200"/>
    <mergeCell ref="G198:G200"/>
    <mergeCell ref="B199:C199"/>
    <mergeCell ref="D199:E199"/>
    <mergeCell ref="B200:C200"/>
    <mergeCell ref="D171:G171"/>
    <mergeCell ref="D175:G175"/>
    <mergeCell ref="B187:E187"/>
    <mergeCell ref="F187:F189"/>
    <mergeCell ref="G187:G189"/>
    <mergeCell ref="B188:C188"/>
    <mergeCell ref="D188:E188"/>
    <mergeCell ref="B189:C189"/>
    <mergeCell ref="B190:C190"/>
    <mergeCell ref="B191:C191"/>
    <mergeCell ref="B192:C192"/>
    <mergeCell ref="B193:C193"/>
    <mergeCell ref="B194:C194"/>
    <mergeCell ref="B195:C195"/>
    <mergeCell ref="B196:C196"/>
    <mergeCell ref="B197:C197"/>
    <mergeCell ref="M150:N150"/>
    <mergeCell ref="AU85:AV85"/>
    <mergeCell ref="M151:N151"/>
    <mergeCell ref="M152:N152"/>
    <mergeCell ref="AT86:AW86"/>
    <mergeCell ref="AT90:AW90"/>
    <mergeCell ref="AT94:AW94"/>
    <mergeCell ref="A146:C146"/>
    <mergeCell ref="H147:K147"/>
    <mergeCell ref="A147:C147"/>
    <mergeCell ref="A148:B148"/>
    <mergeCell ref="A150:B150"/>
    <mergeCell ref="A151:B151"/>
    <mergeCell ref="A152:B152"/>
    <mergeCell ref="T151:W151"/>
    <mergeCell ref="H151:K151"/>
    <mergeCell ref="A2:W2"/>
    <mergeCell ref="M147:P147"/>
    <mergeCell ref="Q147:Q149"/>
    <mergeCell ref="R147:R149"/>
    <mergeCell ref="M148:N148"/>
    <mergeCell ref="O148:P148"/>
    <mergeCell ref="M149:N149"/>
    <mergeCell ref="Q3:R3"/>
    <mergeCell ref="E3:F3"/>
    <mergeCell ref="A149:B149"/>
    <mergeCell ref="E74:F74"/>
    <mergeCell ref="Q74:R74"/>
    <mergeCell ref="T147:W147"/>
    <mergeCell ref="U146:V146"/>
    <mergeCell ref="A162:B162"/>
    <mergeCell ref="D146:F146"/>
    <mergeCell ref="D147:E147"/>
    <mergeCell ref="D148:E148"/>
    <mergeCell ref="D149:E149"/>
    <mergeCell ref="D150:F150"/>
    <mergeCell ref="D151:E151"/>
    <mergeCell ref="D152:E152"/>
    <mergeCell ref="D153:E153"/>
    <mergeCell ref="D154:E154"/>
    <mergeCell ref="D155:E155"/>
    <mergeCell ref="A153:B153"/>
    <mergeCell ref="A154:B154"/>
    <mergeCell ref="A155:C155"/>
    <mergeCell ref="A156:B156"/>
    <mergeCell ref="A157:B157"/>
    <mergeCell ref="A158:B158"/>
    <mergeCell ref="A159:B159"/>
    <mergeCell ref="A160:B160"/>
    <mergeCell ref="A161:B161"/>
    <mergeCell ref="Q175:Q177"/>
    <mergeCell ref="R175:R177"/>
    <mergeCell ref="M176:P176"/>
    <mergeCell ref="M177:N177"/>
    <mergeCell ref="D163:G163"/>
    <mergeCell ref="D167:G167"/>
    <mergeCell ref="M161:N161"/>
    <mergeCell ref="M178:N178"/>
    <mergeCell ref="M162:N162"/>
    <mergeCell ref="M163:N163"/>
    <mergeCell ref="M164:P164"/>
    <mergeCell ref="O165:P165"/>
    <mergeCell ref="M166:N166"/>
    <mergeCell ref="M165:N165"/>
    <mergeCell ref="M168:N168"/>
    <mergeCell ref="M169:N169"/>
    <mergeCell ref="M170:N170"/>
    <mergeCell ref="M171:N171"/>
    <mergeCell ref="M172:N172"/>
    <mergeCell ref="M173:N173"/>
    <mergeCell ref="M175:P175"/>
    <mergeCell ref="H171:K171"/>
    <mergeCell ref="H167:K167"/>
    <mergeCell ref="H163:K163"/>
  </mergeCells>
  <pageMargins left="0.71" right="1.3" top="0.28000000000000003" bottom="0.39" header="0.22" footer="0.3"/>
  <pageSetup paperSize="9" scale="49" orientation="landscape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G79"/>
  <sheetViews>
    <sheetView tabSelected="1" view="pageBreakPreview" topLeftCell="J7" zoomScaleNormal="115" zoomScaleSheetLayoutView="100" workbookViewId="0">
      <selection activeCell="X16" sqref="X16"/>
    </sheetView>
  </sheetViews>
  <sheetFormatPr defaultRowHeight="13.8"/>
  <cols>
    <col min="1" max="1" width="5.5546875" style="181" customWidth="1"/>
    <col min="2" max="2" width="13.77734375" style="181" customWidth="1"/>
    <col min="3" max="3" width="8.77734375" style="181" customWidth="1"/>
    <col min="4" max="4" width="9.5546875" style="181" customWidth="1"/>
    <col min="5" max="5" width="8.77734375" style="181" customWidth="1"/>
    <col min="6" max="6" width="10.21875" style="181" customWidth="1"/>
    <col min="7" max="7" width="8.5546875" style="181" customWidth="1"/>
    <col min="8" max="9" width="6.21875" style="181" customWidth="1"/>
    <col min="10" max="10" width="8.21875" style="181" customWidth="1"/>
    <col min="11" max="11" width="7.77734375" style="181" customWidth="1"/>
    <col min="12" max="12" width="8.77734375" style="181" customWidth="1"/>
    <col min="13" max="13" width="10.77734375" style="181" customWidth="1"/>
    <col min="14" max="14" width="6.44140625" style="181" customWidth="1"/>
    <col min="15" max="15" width="7.77734375" style="181" customWidth="1"/>
  </cols>
  <sheetData>
    <row r="1" spans="1:33" ht="18">
      <c r="A1" s="1739" t="s">
        <v>202</v>
      </c>
      <c r="B1" s="1739"/>
      <c r="C1" s="1739"/>
      <c r="D1" s="1739"/>
      <c r="E1" s="1739"/>
      <c r="F1" s="1739"/>
      <c r="G1" s="1739"/>
      <c r="H1" s="1739"/>
      <c r="I1" s="1739"/>
      <c r="J1" s="1739"/>
      <c r="K1" s="1739"/>
      <c r="L1" s="1739"/>
      <c r="M1" s="1739"/>
      <c r="N1" s="280"/>
      <c r="O1" s="280"/>
    </row>
    <row r="2" spans="1:33" ht="17.399999999999999">
      <c r="A2" s="1740" t="str">
        <f>ID!A2&amp;ID!I2</f>
        <v>Nomor Sertifikat : 21 / 1 / X - 23 / E - 45</v>
      </c>
      <c r="B2" s="1740"/>
      <c r="C2" s="1740"/>
      <c r="D2" s="1740"/>
      <c r="E2" s="1740"/>
      <c r="F2" s="1740"/>
      <c r="G2" s="1740"/>
      <c r="H2" s="1740"/>
      <c r="I2" s="1740"/>
      <c r="J2" s="1740"/>
      <c r="K2" s="1740"/>
      <c r="L2" s="1740"/>
      <c r="M2" s="1740"/>
      <c r="N2" s="281"/>
      <c r="O2" s="281"/>
    </row>
    <row r="3" spans="1:33" ht="14.4">
      <c r="A3" s="282"/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01"/>
      <c r="O3" s="201"/>
    </row>
    <row r="4" spans="1:33" ht="14.4">
      <c r="A4" s="282" t="s">
        <v>2</v>
      </c>
      <c r="B4" s="282"/>
      <c r="C4" s="282"/>
      <c r="D4" s="982" t="s">
        <v>3</v>
      </c>
      <c r="E4" s="283" t="str">
        <f>ID!E4</f>
        <v>ITO</v>
      </c>
      <c r="F4" s="283"/>
      <c r="G4" s="283"/>
      <c r="H4" s="284"/>
      <c r="I4" s="284"/>
      <c r="J4" s="282"/>
      <c r="K4" s="282"/>
      <c r="L4" s="282"/>
      <c r="M4" s="282"/>
      <c r="N4" s="201"/>
      <c r="O4" s="201"/>
      <c r="P4" s="278" t="s">
        <v>203</v>
      </c>
    </row>
    <row r="5" spans="1:33" ht="14.4">
      <c r="A5" s="282" t="s">
        <v>5</v>
      </c>
      <c r="B5" s="282"/>
      <c r="C5" s="282"/>
      <c r="D5" s="982" t="s">
        <v>3</v>
      </c>
      <c r="E5" s="283" t="str">
        <f>ID!E5</f>
        <v>EU-940</v>
      </c>
      <c r="F5" s="283"/>
      <c r="G5" s="283"/>
      <c r="H5" s="284"/>
      <c r="I5" s="284"/>
      <c r="J5" s="282"/>
      <c r="K5" s="282"/>
      <c r="L5" s="282"/>
      <c r="M5" s="282"/>
      <c r="N5" s="201"/>
      <c r="O5" s="201"/>
      <c r="P5" s="279" t="s">
        <v>204</v>
      </c>
    </row>
    <row r="6" spans="1:33" ht="14.4">
      <c r="A6" s="282" t="s">
        <v>6</v>
      </c>
      <c r="B6" s="282"/>
      <c r="C6" s="282"/>
      <c r="D6" s="982" t="s">
        <v>3</v>
      </c>
      <c r="E6" s="283" t="str">
        <f>ID!E6</f>
        <v>200610430008</v>
      </c>
      <c r="F6" s="283"/>
      <c r="G6" s="283"/>
      <c r="H6" s="284"/>
      <c r="I6" s="284"/>
      <c r="J6" s="282"/>
      <c r="K6" s="282"/>
      <c r="L6" s="282"/>
      <c r="M6" s="282"/>
      <c r="N6" s="201"/>
      <c r="O6" s="201"/>
      <c r="P6" s="232" t="s">
        <v>17</v>
      </c>
    </row>
    <row r="7" spans="1:33" ht="14.4">
      <c r="A7" s="282" t="s">
        <v>86</v>
      </c>
      <c r="B7" s="282"/>
      <c r="C7" s="282"/>
      <c r="D7" s="982" t="s">
        <v>3</v>
      </c>
      <c r="E7" s="283" t="str">
        <f>ID!E7</f>
        <v>22 April 2017</v>
      </c>
      <c r="F7" s="283"/>
      <c r="G7" s="283"/>
      <c r="H7" s="284"/>
      <c r="I7" s="284"/>
      <c r="J7" s="282"/>
      <c r="K7" s="282"/>
      <c r="L7" s="282"/>
      <c r="M7" s="282"/>
      <c r="N7" s="201"/>
      <c r="O7" s="201"/>
      <c r="P7" s="232"/>
    </row>
    <row r="8" spans="1:33" ht="14.4">
      <c r="A8" s="228" t="s">
        <v>7</v>
      </c>
      <c r="B8" s="282"/>
      <c r="C8" s="282"/>
      <c r="D8" s="982" t="s">
        <v>3</v>
      </c>
      <c r="E8" s="283" t="str">
        <f>ID!E8</f>
        <v>22 April 2017</v>
      </c>
      <c r="F8" s="283"/>
      <c r="G8" s="283"/>
      <c r="H8" s="284"/>
      <c r="I8" s="284"/>
      <c r="J8" s="282"/>
      <c r="K8" s="282"/>
      <c r="L8" s="282"/>
      <c r="M8" s="282"/>
      <c r="N8" s="201"/>
      <c r="O8" s="201"/>
      <c r="P8" s="232" t="s">
        <v>19</v>
      </c>
    </row>
    <row r="9" spans="1:33" ht="14.4">
      <c r="A9" s="228" t="s">
        <v>8</v>
      </c>
      <c r="B9" s="282"/>
      <c r="C9" s="282"/>
      <c r="D9" s="982" t="s">
        <v>3</v>
      </c>
      <c r="E9" s="283" t="str">
        <f>ID!E9</f>
        <v>Fisiotherapy</v>
      </c>
      <c r="F9" s="283"/>
      <c r="G9" s="283"/>
      <c r="H9" s="284"/>
      <c r="I9" s="284"/>
      <c r="J9" s="282"/>
      <c r="K9" s="282"/>
      <c r="L9" s="282"/>
      <c r="M9" s="282"/>
      <c r="N9" s="201"/>
      <c r="O9" s="201"/>
      <c r="P9" s="232" t="s">
        <v>21</v>
      </c>
    </row>
    <row r="10" spans="1:33" ht="14.4">
      <c r="A10" s="228" t="s">
        <v>9</v>
      </c>
      <c r="B10" s="282"/>
      <c r="C10" s="282"/>
      <c r="D10" s="982" t="s">
        <v>3</v>
      </c>
      <c r="E10" s="283" t="str">
        <f>ID!E10</f>
        <v>Fisiotherapy</v>
      </c>
      <c r="F10" s="283"/>
      <c r="G10" s="283"/>
      <c r="H10" s="284"/>
      <c r="I10" s="284"/>
      <c r="J10" s="282"/>
      <c r="K10" s="282"/>
      <c r="L10" s="282"/>
      <c r="M10" s="282"/>
      <c r="N10" s="201"/>
      <c r="O10" s="201"/>
      <c r="P10" s="232" t="s">
        <v>3</v>
      </c>
    </row>
    <row r="11" spans="1:33" ht="14.4">
      <c r="A11" s="282" t="s">
        <v>10</v>
      </c>
      <c r="B11" s="282"/>
      <c r="C11" s="282"/>
      <c r="D11" s="982" t="s">
        <v>3</v>
      </c>
      <c r="E11" s="283" t="str">
        <f>ID!E11</f>
        <v>KL.MK - 11</v>
      </c>
      <c r="F11" s="283"/>
      <c r="G11" s="283"/>
      <c r="H11" s="282"/>
      <c r="I11" s="282"/>
      <c r="J11" s="282"/>
      <c r="K11" s="282"/>
      <c r="L11" s="282"/>
      <c r="M11" s="282"/>
      <c r="N11" s="201"/>
      <c r="O11" s="201"/>
    </row>
    <row r="12" spans="1:33" ht="14.4">
      <c r="A12" s="201"/>
      <c r="B12" s="201"/>
      <c r="C12" s="201"/>
      <c r="D12" s="234"/>
      <c r="E12" s="201"/>
      <c r="F12" s="201"/>
      <c r="G12" s="201"/>
      <c r="H12" s="201"/>
      <c r="I12" s="201"/>
      <c r="J12" s="201"/>
      <c r="K12" s="201"/>
      <c r="L12" s="201"/>
      <c r="M12" s="201"/>
      <c r="N12" s="201"/>
      <c r="O12" s="201"/>
    </row>
    <row r="13" spans="1:33" ht="14.4">
      <c r="A13" s="285" t="s">
        <v>12</v>
      </c>
      <c r="B13" s="285" t="s">
        <v>13</v>
      </c>
      <c r="C13" s="286"/>
      <c r="D13" s="983"/>
      <c r="E13" s="286"/>
      <c r="F13" s="286"/>
      <c r="G13" s="287"/>
      <c r="H13" s="287"/>
      <c r="I13" s="287"/>
      <c r="J13" s="1718"/>
      <c r="K13" s="1718"/>
      <c r="L13" s="286"/>
      <c r="M13" s="286"/>
      <c r="N13" s="201"/>
      <c r="O13" s="201"/>
    </row>
    <row r="14" spans="1:33" ht="15.6">
      <c r="A14" s="286"/>
      <c r="B14" s="286" t="s">
        <v>16</v>
      </c>
      <c r="C14" s="285"/>
      <c r="D14" s="289" t="s">
        <v>3</v>
      </c>
      <c r="E14" s="288" t="str">
        <f>'DB Thermohygro '!M364</f>
        <v>( 23.8 ± 0.3 ) °C</v>
      </c>
      <c r="F14" s="289"/>
      <c r="G14" s="288"/>
      <c r="H14" s="288"/>
      <c r="I14" s="288"/>
      <c r="J14" s="1719"/>
      <c r="K14" s="1719"/>
      <c r="L14" s="286"/>
      <c r="M14" s="286"/>
      <c r="N14" s="201"/>
      <c r="O14" s="201"/>
      <c r="S14" s="985"/>
      <c r="T14" s="985"/>
      <c r="U14" s="985"/>
      <c r="V14" s="985"/>
      <c r="W14" s="985"/>
      <c r="X14" s="985"/>
      <c r="Y14" s="1699" t="str">
        <f>IF(ID!E16="-",Y15,IF(J24="-",Y16,IF(OR(J26="-",S18=V26),Y19,IF(OR(V20&gt;W20,E26=Y27),"",IF(J26&gt;L26,"",Y20)))))</f>
        <v>Tidak terdapat grounding di ruangan</v>
      </c>
      <c r="Z14" s="1699"/>
      <c r="AA14" s="1699"/>
      <c r="AB14" s="1699"/>
      <c r="AC14" s="1699"/>
      <c r="AD14" s="1699"/>
      <c r="AE14" s="1699"/>
      <c r="AF14" s="1699"/>
      <c r="AG14" s="1699"/>
    </row>
    <row r="15" spans="1:33" ht="15.6">
      <c r="A15" s="286"/>
      <c r="B15" s="286" t="s">
        <v>92</v>
      </c>
      <c r="C15" s="286"/>
      <c r="D15" s="289" t="s">
        <v>3</v>
      </c>
      <c r="E15" s="288" t="str">
        <f>'DB Thermohygro '!M365</f>
        <v>( 48.6 ± 3.1 ) %RH</v>
      </c>
      <c r="F15" s="289"/>
      <c r="G15" s="288"/>
      <c r="H15" s="288"/>
      <c r="I15" s="288"/>
      <c r="J15" s="1719"/>
      <c r="K15" s="1719"/>
      <c r="L15" s="286"/>
      <c r="M15" s="286"/>
      <c r="N15" s="201"/>
      <c r="O15" s="201"/>
      <c r="S15" s="985"/>
      <c r="T15" s="985"/>
      <c r="U15" s="985"/>
      <c r="V15" s="985"/>
      <c r="W15" s="985"/>
      <c r="X15" s="985"/>
      <c r="Y15" s="1694" t="s">
        <v>406</v>
      </c>
      <c r="Z15" s="1694"/>
      <c r="AA15" s="1694"/>
      <c r="AB15" s="1694"/>
      <c r="AC15" s="1694"/>
      <c r="AD15" s="1694"/>
      <c r="AE15" s="1694"/>
      <c r="AF15" s="1694"/>
      <c r="AG15" s="1694"/>
    </row>
    <row r="16" spans="1:33" ht="15.6">
      <c r="A16" s="286"/>
      <c r="B16" s="286" t="s">
        <v>20</v>
      </c>
      <c r="C16" s="286"/>
      <c r="D16" s="984" t="s">
        <v>3</v>
      </c>
      <c r="E16" s="1060" t="str">
        <f>ESA!N144</f>
        <v>( 220.0 ± 2.6 ) Volt</v>
      </c>
      <c r="F16" s="286"/>
      <c r="G16" s="286"/>
      <c r="H16" s="286"/>
      <c r="I16" s="286"/>
      <c r="J16" s="286"/>
      <c r="K16" s="286"/>
      <c r="L16" s="286"/>
      <c r="M16" s="286"/>
      <c r="N16" s="201"/>
      <c r="O16" s="201"/>
      <c r="S16" s="985"/>
      <c r="T16" s="985"/>
      <c r="U16" s="985"/>
      <c r="V16" s="985"/>
      <c r="W16" s="985"/>
      <c r="X16" s="985"/>
      <c r="Y16" s="1694" t="s">
        <v>407</v>
      </c>
      <c r="Z16" s="1694"/>
      <c r="AA16" s="1694"/>
      <c r="AB16" s="1694"/>
      <c r="AC16" s="1694"/>
      <c r="AD16" s="1694"/>
      <c r="AE16" s="1694"/>
      <c r="AF16" s="1694"/>
      <c r="AG16" s="1694"/>
    </row>
    <row r="17" spans="1:33" ht="15.6">
      <c r="A17" s="286"/>
      <c r="B17" s="286"/>
      <c r="C17" s="286"/>
      <c r="D17" s="286"/>
      <c r="E17" s="286"/>
      <c r="F17" s="286"/>
      <c r="G17" s="290"/>
      <c r="H17" s="290"/>
      <c r="I17" s="290"/>
      <c r="J17" s="290"/>
      <c r="K17" s="290"/>
      <c r="L17" s="286"/>
      <c r="M17" s="286"/>
      <c r="N17" s="201"/>
      <c r="O17" s="201"/>
      <c r="S17" s="985"/>
      <c r="T17" s="985"/>
      <c r="U17" s="985"/>
      <c r="V17" s="985"/>
      <c r="W17" s="985"/>
      <c r="X17" s="985"/>
      <c r="Y17" s="985"/>
      <c r="Z17" s="985"/>
      <c r="AA17" s="985"/>
      <c r="AB17" s="985"/>
      <c r="AC17" s="985"/>
      <c r="AD17" s="985"/>
      <c r="AE17" s="985"/>
      <c r="AF17" s="985"/>
      <c r="AG17" s="985"/>
    </row>
    <row r="18" spans="1:33" ht="15.6">
      <c r="A18" s="285" t="s">
        <v>22</v>
      </c>
      <c r="B18" s="285" t="s">
        <v>94</v>
      </c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6"/>
      <c r="N18" s="201"/>
      <c r="O18" s="201"/>
      <c r="S18" s="1700" t="str">
        <f>IF(OR(J26="-",J27="-"),V26,V25)</f>
        <v>NG</v>
      </c>
      <c r="T18" s="1700"/>
      <c r="U18" s="1696" t="s">
        <v>40</v>
      </c>
      <c r="V18" s="1696" t="s">
        <v>408</v>
      </c>
      <c r="W18" s="1696" t="s">
        <v>50</v>
      </c>
      <c r="X18" s="985"/>
      <c r="Y18" s="985"/>
      <c r="Z18" s="985"/>
      <c r="AA18" s="985"/>
      <c r="AB18" s="985"/>
      <c r="AC18" s="985"/>
      <c r="AD18" s="985"/>
      <c r="AE18" s="985"/>
      <c r="AF18" s="985"/>
      <c r="AG18" s="985"/>
    </row>
    <row r="19" spans="1:33" ht="15.6">
      <c r="A19" s="286"/>
      <c r="B19" s="286" t="s">
        <v>24</v>
      </c>
      <c r="C19" s="285"/>
      <c r="D19" s="983" t="s">
        <v>3</v>
      </c>
      <c r="E19" s="288" t="str">
        <f>ID!E19</f>
        <v>Baik</v>
      </c>
      <c r="F19" s="288"/>
      <c r="G19" s="288"/>
      <c r="H19" s="286"/>
      <c r="I19" s="286"/>
      <c r="J19" s="286"/>
      <c r="K19" s="286"/>
      <c r="L19" s="286"/>
      <c r="M19" s="286"/>
      <c r="N19" s="240">
        <f>IF(E19="Baik",5,0)</f>
        <v>5</v>
      </c>
      <c r="O19" s="201"/>
      <c r="S19" s="1700"/>
      <c r="T19" s="1700"/>
      <c r="U19" s="1696"/>
      <c r="V19" s="1696"/>
      <c r="W19" s="1696"/>
      <c r="X19" s="985"/>
      <c r="Y19" s="1694" t="s">
        <v>409</v>
      </c>
      <c r="Z19" s="1694"/>
      <c r="AA19" s="1694"/>
      <c r="AB19" s="1694"/>
      <c r="AC19" s="1694"/>
      <c r="AD19" s="1694"/>
      <c r="AE19" s="1694"/>
      <c r="AF19" s="1694"/>
      <c r="AG19" s="1694"/>
    </row>
    <row r="20" spans="1:33" ht="15.6">
      <c r="A20" s="286"/>
      <c r="B20" s="286" t="s">
        <v>27</v>
      </c>
      <c r="C20" s="286"/>
      <c r="D20" s="983" t="s">
        <v>3</v>
      </c>
      <c r="E20" s="288" t="str">
        <f>ID!E20</f>
        <v>Baik</v>
      </c>
      <c r="F20" s="288"/>
      <c r="G20" s="288"/>
      <c r="H20" s="286"/>
      <c r="I20" s="286"/>
      <c r="J20" s="286"/>
      <c r="K20" s="286"/>
      <c r="L20" s="286"/>
      <c r="M20" s="286"/>
      <c r="N20" s="240">
        <f>IF(E20="Baik",5,0)</f>
        <v>5</v>
      </c>
      <c r="O20" s="201"/>
      <c r="S20" s="986" t="s">
        <v>410</v>
      </c>
      <c r="T20" s="987" t="s">
        <v>411</v>
      </c>
      <c r="U20" s="988">
        <f>ID!S25</f>
        <v>3</v>
      </c>
      <c r="V20" s="989">
        <f>ESA!P142</f>
        <v>3.1390643737035524</v>
      </c>
      <c r="W20" s="990">
        <v>100</v>
      </c>
      <c r="X20" s="985"/>
      <c r="Y20" s="1694" t="s">
        <v>412</v>
      </c>
      <c r="Z20" s="1694"/>
      <c r="AA20" s="1694"/>
      <c r="AB20" s="1694"/>
      <c r="AC20" s="1694"/>
      <c r="AD20" s="1694"/>
      <c r="AE20" s="1694"/>
      <c r="AF20" s="1694"/>
      <c r="AG20" s="1694"/>
    </row>
    <row r="21" spans="1:33" ht="15.6">
      <c r="A21" s="285"/>
      <c r="B21" s="285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6"/>
      <c r="N21" s="201"/>
      <c r="O21" s="201"/>
      <c r="S21" s="985"/>
      <c r="T21" s="985"/>
      <c r="U21" s="985"/>
      <c r="V21" s="985"/>
      <c r="W21" s="985"/>
      <c r="X21" s="985"/>
      <c r="Y21" s="985"/>
      <c r="Z21" s="985"/>
      <c r="AA21" s="985"/>
      <c r="AB21" s="985"/>
      <c r="AC21" s="985"/>
      <c r="AD21" s="985"/>
      <c r="AE21" s="985"/>
      <c r="AF21" s="985"/>
      <c r="AG21" s="985"/>
    </row>
    <row r="22" spans="1:33" ht="15.6">
      <c r="A22" s="285" t="s">
        <v>28</v>
      </c>
      <c r="B22" s="285" t="s">
        <v>29</v>
      </c>
      <c r="C22" s="286"/>
      <c r="D22" s="286"/>
      <c r="E22" s="286"/>
      <c r="F22" s="286"/>
      <c r="G22" s="286"/>
      <c r="H22" s="286"/>
      <c r="I22" s="286"/>
      <c r="J22" s="291"/>
      <c r="K22" s="291"/>
      <c r="L22" s="291"/>
      <c r="M22" s="291"/>
      <c r="N22" s="235"/>
      <c r="O22" s="201"/>
      <c r="S22" s="985"/>
      <c r="T22" s="985"/>
      <c r="U22" s="985"/>
      <c r="V22" s="985"/>
      <c r="W22" s="985"/>
      <c r="X22" s="985"/>
      <c r="Y22" s="985"/>
      <c r="Z22" s="985"/>
      <c r="AA22" s="985"/>
      <c r="AB22" s="985"/>
      <c r="AC22" s="985"/>
      <c r="AD22" s="985"/>
      <c r="AE22" s="985"/>
      <c r="AF22" s="985"/>
      <c r="AG22" s="985"/>
    </row>
    <row r="23" spans="1:33" ht="30" customHeight="1">
      <c r="A23" s="292" t="s">
        <v>30</v>
      </c>
      <c r="B23" s="1702" t="s">
        <v>31</v>
      </c>
      <c r="C23" s="1727"/>
      <c r="D23" s="1727"/>
      <c r="E23" s="1727"/>
      <c r="F23" s="1727"/>
      <c r="G23" s="1727"/>
      <c r="H23" s="1727"/>
      <c r="I23" s="293"/>
      <c r="J23" s="1702" t="s">
        <v>32</v>
      </c>
      <c r="K23" s="1703"/>
      <c r="L23" s="1702" t="s">
        <v>33</v>
      </c>
      <c r="M23" s="1703"/>
      <c r="N23" s="201"/>
      <c r="S23" s="985"/>
      <c r="T23" s="985"/>
      <c r="U23" s="985"/>
      <c r="V23" s="985"/>
      <c r="W23" s="985"/>
      <c r="X23" s="985"/>
      <c r="Y23" s="1695" t="s">
        <v>413</v>
      </c>
      <c r="Z23" s="1695"/>
      <c r="AA23" s="1695"/>
      <c r="AB23" s="1695"/>
      <c r="AC23" s="1695"/>
      <c r="AD23" s="1695"/>
      <c r="AE23" s="1695"/>
      <c r="AF23" s="985"/>
      <c r="AG23" s="985"/>
    </row>
    <row r="24" spans="1:33" ht="15.6">
      <c r="A24" s="294">
        <v>1</v>
      </c>
      <c r="B24" s="518" t="s">
        <v>257</v>
      </c>
      <c r="C24" s="295"/>
      <c r="D24" s="295"/>
      <c r="E24" s="295"/>
      <c r="F24" s="295"/>
      <c r="G24" s="295"/>
      <c r="H24" s="295"/>
      <c r="I24" s="296"/>
      <c r="J24" s="297" t="str">
        <f>ESA!P138</f>
        <v>OL</v>
      </c>
      <c r="K24" s="298" t="str">
        <f>ID!L24</f>
        <v/>
      </c>
      <c r="L24" s="1005" t="s">
        <v>263</v>
      </c>
      <c r="M24" s="299" t="s">
        <v>37</v>
      </c>
      <c r="N24" s="1006">
        <f>IF(OR(J24="-",J24="OL",J24&gt;L24),10,0)</f>
        <v>10</v>
      </c>
      <c r="S24" s="1696" t="s">
        <v>414</v>
      </c>
      <c r="T24" s="1697" t="s">
        <v>50</v>
      </c>
      <c r="U24" s="991"/>
      <c r="V24" s="986" t="s">
        <v>415</v>
      </c>
      <c r="W24" s="985"/>
      <c r="X24" s="985"/>
      <c r="Y24" s="992" t="s">
        <v>259</v>
      </c>
      <c r="Z24" s="993"/>
      <c r="AA24" s="993"/>
      <c r="AB24" s="993"/>
      <c r="AC24" s="993"/>
      <c r="AD24" s="994"/>
      <c r="AE24" s="995">
        <v>0.2</v>
      </c>
      <c r="AF24" s="985" t="s">
        <v>416</v>
      </c>
      <c r="AG24" s="985"/>
    </row>
    <row r="25" spans="1:33" ht="15.6">
      <c r="A25" s="294">
        <v>2</v>
      </c>
      <c r="B25" s="1728" t="str">
        <f>ID!B25</f>
        <v>Resistansi Pembumian Protektif (kabel tidak dapat dilepas)</v>
      </c>
      <c r="C25" s="1729"/>
      <c r="D25" s="1729"/>
      <c r="E25" s="1729"/>
      <c r="F25" s="1729"/>
      <c r="G25" s="1729"/>
      <c r="H25" s="1729"/>
      <c r="I25" s="1730"/>
      <c r="J25" s="300">
        <f>ESA!P139</f>
        <v>0.10315667477792889</v>
      </c>
      <c r="K25" s="298" t="str">
        <f>ID!L25</f>
        <v>Ω</v>
      </c>
      <c r="L25" s="1005" t="s">
        <v>39</v>
      </c>
      <c r="M25" s="299" t="s">
        <v>38</v>
      </c>
      <c r="N25" s="1006">
        <f>IF(OR(J25="-",J25="OL",J25&lt;=L25,B26=Y27),10,0)</f>
        <v>10</v>
      </c>
      <c r="S25" s="1696"/>
      <c r="T25" s="1698"/>
      <c r="U25" s="991"/>
      <c r="V25" s="986" t="s">
        <v>371</v>
      </c>
      <c r="W25" s="985"/>
      <c r="X25" s="985"/>
      <c r="Y25" s="996" t="s">
        <v>260</v>
      </c>
      <c r="Z25" s="997"/>
      <c r="AA25" s="997"/>
      <c r="AB25" s="997"/>
      <c r="AC25" s="997"/>
      <c r="AD25" s="998"/>
      <c r="AE25" s="995">
        <v>0.3</v>
      </c>
      <c r="AF25" s="985" t="s">
        <v>417</v>
      </c>
      <c r="AG25" s="985"/>
    </row>
    <row r="26" spans="1:33" ht="15.6">
      <c r="A26" s="294">
        <v>3</v>
      </c>
      <c r="B26" s="1728" t="str">
        <f>ID!B26</f>
        <v>Arus bocor peralatan untuk peralatan elektromedik kelas I</v>
      </c>
      <c r="C26" s="1729"/>
      <c r="D26" s="1729"/>
      <c r="E26" s="1729"/>
      <c r="F26" s="1729"/>
      <c r="G26" s="1729"/>
      <c r="H26" s="1729"/>
      <c r="I26" s="1730"/>
      <c r="J26" s="297" t="str">
        <f>ESA!P140</f>
        <v>-</v>
      </c>
      <c r="K26" s="298" t="str">
        <f>ID!L26</f>
        <v/>
      </c>
      <c r="L26" s="1005" t="str">
        <f>ID!M26</f>
        <v>≤ 500</v>
      </c>
      <c r="M26" s="299" t="s">
        <v>40</v>
      </c>
      <c r="N26" s="1006">
        <f>IF(J26="-",0,IF(S26&lt;=T26,10,0))</f>
        <v>0</v>
      </c>
      <c r="S26" s="989" t="str">
        <f>IF(OR(U20="",B26=Y27,S18=V26),J26,IF(J26&gt;L26,V20,J26))</f>
        <v>-</v>
      </c>
      <c r="T26" s="986" t="str">
        <f>IF(OR(U20="",E26=Y27,S18=V26),L26,IF(J26&gt;L26,W20,L26))</f>
        <v>≤ 500</v>
      </c>
      <c r="U26" s="991"/>
      <c r="V26" s="986" t="s">
        <v>418</v>
      </c>
      <c r="W26" s="985"/>
      <c r="X26" s="985"/>
      <c r="Y26" s="999" t="s">
        <v>261</v>
      </c>
      <c r="Z26" s="98"/>
      <c r="AA26" s="98"/>
      <c r="AB26" s="98"/>
      <c r="AC26" s="98"/>
      <c r="AD26" s="998"/>
      <c r="AE26" s="1000">
        <v>500</v>
      </c>
      <c r="AF26" s="985"/>
      <c r="AG26" s="985"/>
    </row>
    <row r="27" spans="1:33" ht="15.6">
      <c r="A27" s="294">
        <v>4</v>
      </c>
      <c r="B27" s="518" t="s">
        <v>258</v>
      </c>
      <c r="C27" s="295"/>
      <c r="D27" s="295"/>
      <c r="E27" s="295"/>
      <c r="F27" s="295"/>
      <c r="G27" s="295"/>
      <c r="H27" s="295"/>
      <c r="I27" s="296"/>
      <c r="J27" s="297" t="str">
        <f>ESA!P141</f>
        <v>-</v>
      </c>
      <c r="K27" s="298" t="str">
        <f>ID!L27</f>
        <v/>
      </c>
      <c r="L27" s="1005" t="s">
        <v>41</v>
      </c>
      <c r="M27" s="299" t="s">
        <v>40</v>
      </c>
      <c r="N27" s="1006">
        <f>IF(J27="-",0,IF(J27&lt;=L27,10,0))</f>
        <v>0</v>
      </c>
      <c r="S27" s="985"/>
      <c r="T27" s="991"/>
      <c r="U27" s="991"/>
      <c r="V27" s="991"/>
      <c r="W27" s="991"/>
      <c r="X27" s="991"/>
      <c r="Y27" s="999" t="s">
        <v>262</v>
      </c>
      <c r="Z27" s="98"/>
      <c r="AA27" s="98"/>
      <c r="AB27" s="98"/>
      <c r="AC27" s="98"/>
      <c r="AD27" s="998"/>
      <c r="AE27" s="1000">
        <v>100</v>
      </c>
      <c r="AF27" s="985"/>
      <c r="AG27" s="985"/>
    </row>
    <row r="28" spans="1:33" ht="15.6">
      <c r="A28" s="285"/>
      <c r="B28" s="285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6"/>
      <c r="N28" s="1007">
        <f>SUM(N24:N27)</f>
        <v>20</v>
      </c>
      <c r="O28" s="201"/>
    </row>
    <row r="29" spans="1:33" ht="14.4">
      <c r="A29" s="285" t="s">
        <v>44</v>
      </c>
      <c r="B29" s="285" t="str">
        <f>ID!B29</f>
        <v>Hasil Pengukuran Kinerja Electro Stimulator pada Channel 1</v>
      </c>
      <c r="C29" s="285"/>
      <c r="D29" s="285"/>
      <c r="E29" s="286"/>
      <c r="F29" s="286"/>
      <c r="G29" s="286"/>
      <c r="H29" s="286"/>
      <c r="I29" s="286"/>
      <c r="J29" s="286"/>
      <c r="K29" s="286"/>
      <c r="L29" s="286"/>
      <c r="M29" s="286"/>
      <c r="N29" s="201"/>
      <c r="O29" s="201"/>
    </row>
    <row r="30" spans="1:33">
      <c r="A30" s="1704" t="s">
        <v>46</v>
      </c>
      <c r="B30" s="1704" t="s">
        <v>47</v>
      </c>
      <c r="C30" s="1735" t="s">
        <v>48</v>
      </c>
      <c r="D30" s="1735" t="s">
        <v>101</v>
      </c>
      <c r="E30" s="1710" t="s">
        <v>205</v>
      </c>
      <c r="F30" s="1710" t="s">
        <v>206</v>
      </c>
      <c r="G30" s="1724" t="s">
        <v>50</v>
      </c>
      <c r="H30" s="1745" t="s">
        <v>207</v>
      </c>
      <c r="I30" s="1746"/>
      <c r="J30" s="288"/>
      <c r="K30" s="288"/>
      <c r="L30" s="288"/>
      <c r="M30" s="288"/>
      <c r="S30" s="1707" t="s">
        <v>208</v>
      </c>
      <c r="T30" s="1708"/>
      <c r="U30" s="1708"/>
      <c r="V30" s="1708"/>
      <c r="W30" s="1708"/>
      <c r="X30" s="1709"/>
    </row>
    <row r="31" spans="1:33">
      <c r="A31" s="1705"/>
      <c r="B31" s="1705"/>
      <c r="C31" s="1736"/>
      <c r="D31" s="1736"/>
      <c r="E31" s="1711"/>
      <c r="F31" s="1711"/>
      <c r="G31" s="1725"/>
      <c r="H31" s="1747"/>
      <c r="I31" s="1748"/>
      <c r="J31" s="288"/>
      <c r="K31" s="288"/>
      <c r="L31" s="288"/>
      <c r="M31" s="288"/>
      <c r="S31" s="274" t="s">
        <v>51</v>
      </c>
      <c r="T31" s="272" t="s">
        <v>52</v>
      </c>
      <c r="U31" s="273" t="s">
        <v>53</v>
      </c>
      <c r="V31" s="272" t="s">
        <v>54</v>
      </c>
      <c r="W31" s="273" t="s">
        <v>21</v>
      </c>
      <c r="X31" s="272" t="s">
        <v>55</v>
      </c>
    </row>
    <row r="32" spans="1:33">
      <c r="A32" s="1706"/>
      <c r="B32" s="1706"/>
      <c r="C32" s="1737"/>
      <c r="D32" s="1737"/>
      <c r="E32" s="1712"/>
      <c r="F32" s="1712"/>
      <c r="G32" s="1726"/>
      <c r="H32" s="1749"/>
      <c r="I32" s="1750"/>
      <c r="J32" s="288"/>
      <c r="K32" s="288"/>
      <c r="L32" s="288"/>
      <c r="M32" s="288"/>
      <c r="O32" s="181">
        <f>(COUNTIF(N33:N49,"YES")/(COUNTA(N33:N49))*50)</f>
        <v>50</v>
      </c>
      <c r="S32" s="274"/>
      <c r="T32" s="275"/>
      <c r="U32" s="273"/>
      <c r="V32" s="275"/>
      <c r="W32" s="273"/>
      <c r="X32" s="275"/>
    </row>
    <row r="33" spans="1:24" ht="15" customHeight="1">
      <c r="A33" s="301">
        <v>1</v>
      </c>
      <c r="B33" s="1713" t="s">
        <v>56</v>
      </c>
      <c r="C33" s="301">
        <f>ID!C32</f>
        <v>10</v>
      </c>
      <c r="D33" s="318">
        <f>ID!K32</f>
        <v>10.00005000016</v>
      </c>
      <c r="E33" s="967">
        <f t="shared" ref="E33:E37" si="0">D33-C33</f>
        <v>5.0000159999896709E-5</v>
      </c>
      <c r="F33" s="303">
        <f>(C33-D33)/C33*100</f>
        <v>-5.0000159999896709E-4</v>
      </c>
      <c r="G33" s="1721" t="s">
        <v>209</v>
      </c>
      <c r="H33" s="304" t="s">
        <v>204</v>
      </c>
      <c r="I33" s="305">
        <f>BUDGET!J17</f>
        <v>0.57982717895182467</v>
      </c>
      <c r="J33" s="288"/>
      <c r="K33" s="288"/>
      <c r="L33" s="288"/>
      <c r="M33" s="1008">
        <f>ABS(F33+I33)</f>
        <v>0.57932717735182571</v>
      </c>
      <c r="N33" s="181" t="str">
        <f>IF(M33&lt;=30,"YES","NO")</f>
        <v>YES</v>
      </c>
      <c r="S33" s="206">
        <f>(ID!D32/(500+BUDGET!$P$178))*1000</f>
        <v>10.00004000016</v>
      </c>
      <c r="T33" s="341">
        <f>(ID!E32/(500+BUDGET!$P$178))*1000</f>
        <v>10.00004000016</v>
      </c>
      <c r="U33" s="341">
        <f>(ID!F32/(500+BUDGET!$P$178))*1000</f>
        <v>10.00004000016</v>
      </c>
      <c r="V33" s="341">
        <f>(ID!G32/(500+BUDGET!$P$178))*1000</f>
        <v>10.00004000016</v>
      </c>
      <c r="W33" s="341">
        <f>(ID!H32/(500+BUDGET!$P$178))*1000</f>
        <v>10.00004000016</v>
      </c>
      <c r="X33" s="341">
        <f>(ID!I32/(500+BUDGET!$P$178))*1000</f>
        <v>10.00004000016</v>
      </c>
    </row>
    <row r="34" spans="1:24" ht="14.4">
      <c r="A34" s="301">
        <v>2</v>
      </c>
      <c r="B34" s="1713"/>
      <c r="C34" s="301">
        <f>ID!C33</f>
        <v>20</v>
      </c>
      <c r="D34" s="318">
        <f>ID!K33</f>
        <v>19.999923335426619</v>
      </c>
      <c r="E34" s="967">
        <f t="shared" si="0"/>
        <v>-7.6664573381179935E-5</v>
      </c>
      <c r="F34" s="303">
        <f t="shared" ref="F34:F37" si="1">(C34-D34)/C34*100</f>
        <v>3.8332286690589962E-4</v>
      </c>
      <c r="G34" s="1722"/>
      <c r="H34" s="304" t="s">
        <v>204</v>
      </c>
      <c r="I34" s="305">
        <f>BUDGET!J30</f>
        <v>0.28991345769469989</v>
      </c>
      <c r="J34" s="288"/>
      <c r="K34" s="288"/>
      <c r="L34" s="288"/>
      <c r="M34" s="1008">
        <f t="shared" ref="M34:M38" si="2">ABS(F34+I34)</f>
        <v>0.29029678056160579</v>
      </c>
      <c r="N34" s="181" t="str">
        <f t="shared" ref="N34:N38" si="3">IF(M34&lt;=30,"YES","NO")</f>
        <v>YES</v>
      </c>
      <c r="S34" s="206">
        <f>(ID!D33/(500+BUDGET!P178))*1000</f>
        <v>20.000080000320001</v>
      </c>
      <c r="T34" s="341">
        <f>(ID!E33/(500+BUDGET!Q178))*1000</f>
        <v>19.999880000719994</v>
      </c>
      <c r="U34" s="341">
        <f>(ID!F33/(500+BUDGET!R178))*1000</f>
        <v>19.999520011519721</v>
      </c>
      <c r="V34" s="341">
        <f>(ID!G33/(500+BUDGET!S178))*1000</f>
        <v>20</v>
      </c>
      <c r="W34" s="341">
        <f>(ID!H33/(500+BUDGET!T178))*1000</f>
        <v>20</v>
      </c>
      <c r="X34" s="341">
        <f>(ID!I33/(500+BUDGET!U178))*1000</f>
        <v>20</v>
      </c>
    </row>
    <row r="35" spans="1:24" ht="14.4">
      <c r="A35" s="301">
        <v>3</v>
      </c>
      <c r="B35" s="1713"/>
      <c r="C35" s="301">
        <f>ID!C34</f>
        <v>30</v>
      </c>
      <c r="D35" s="318">
        <f>ID!K34</f>
        <v>29.999880003139932</v>
      </c>
      <c r="E35" s="967">
        <f t="shared" si="0"/>
        <v>-1.199968600680279E-4</v>
      </c>
      <c r="F35" s="303">
        <f t="shared" si="1"/>
        <v>3.9998953356009303E-4</v>
      </c>
      <c r="G35" s="1722"/>
      <c r="H35" s="304" t="s">
        <v>204</v>
      </c>
      <c r="I35" s="305">
        <f>BUDGET!J43</f>
        <v>0.19327563847065493</v>
      </c>
      <c r="J35" s="288"/>
      <c r="K35" s="288"/>
      <c r="L35" s="288"/>
      <c r="M35" s="1008">
        <f t="shared" si="2"/>
        <v>0.19367562800421503</v>
      </c>
      <c r="N35" s="181" t="str">
        <f t="shared" si="3"/>
        <v>YES</v>
      </c>
      <c r="S35" s="206">
        <f>(ID!D34/(500+BUDGET!P178))*1000</f>
        <v>30.000120000480003</v>
      </c>
      <c r="T35" s="341">
        <f>(ID!E34/(500+BUDGET!Q178))*1000</f>
        <v>29.999820001079993</v>
      </c>
      <c r="U35" s="341">
        <f>(ID!F34/(500+BUDGET!R178))*1000</f>
        <v>29.999280017279585</v>
      </c>
      <c r="V35" s="341">
        <f>(ID!G34/(500+BUDGET!S178))*1000</f>
        <v>30</v>
      </c>
      <c r="W35" s="341">
        <f>(ID!H34/(500+BUDGET!T178))*1000</f>
        <v>30</v>
      </c>
      <c r="X35" s="341">
        <f>(ID!I34/(500+BUDGET!U178))*1000</f>
        <v>30</v>
      </c>
    </row>
    <row r="36" spans="1:24" ht="14.4">
      <c r="A36" s="301">
        <v>4</v>
      </c>
      <c r="B36" s="1713"/>
      <c r="C36" s="301">
        <f>ID!C35</f>
        <v>40</v>
      </c>
      <c r="D36" s="318">
        <f>ID!K35</f>
        <v>39.999836670853242</v>
      </c>
      <c r="E36" s="967">
        <f t="shared" si="0"/>
        <v>-1.6332914675842858E-4</v>
      </c>
      <c r="F36" s="303">
        <f t="shared" si="1"/>
        <v>4.0832286689607145E-4</v>
      </c>
      <c r="G36" s="1722"/>
      <c r="H36" s="304" t="s">
        <v>204</v>
      </c>
      <c r="I36" s="305">
        <f>BUDGET!J56</f>
        <v>0.14495672886088912</v>
      </c>
      <c r="J36" s="288"/>
      <c r="K36" s="288"/>
      <c r="L36" s="288"/>
      <c r="M36" s="1008">
        <f t="shared" si="2"/>
        <v>0.14536505172778519</v>
      </c>
      <c r="N36" s="181" t="str">
        <f t="shared" si="3"/>
        <v>YES</v>
      </c>
      <c r="S36" s="206">
        <f>(ID!D35/(500+BUDGET!P178))*1000</f>
        <v>40.000160000640001</v>
      </c>
      <c r="T36" s="341">
        <f>(ID!E35/(500+BUDGET!Q178))*1000</f>
        <v>39.999760001439988</v>
      </c>
      <c r="U36" s="341">
        <f>(ID!F35/(500+BUDGET!R178))*1000</f>
        <v>39.999040023039441</v>
      </c>
      <c r="V36" s="341">
        <f>(ID!G35/(500+BUDGET!S178))*1000</f>
        <v>40</v>
      </c>
      <c r="W36" s="341">
        <f>(ID!H35/(500+BUDGET!T178))*1000</f>
        <v>40</v>
      </c>
      <c r="X36" s="341">
        <f>(ID!I35/(500+BUDGET!U178))*1000</f>
        <v>40</v>
      </c>
    </row>
    <row r="37" spans="1:24" ht="14.4">
      <c r="A37" s="301">
        <v>5</v>
      </c>
      <c r="B37" s="1713"/>
      <c r="C37" s="301">
        <f>ID!C36</f>
        <v>50</v>
      </c>
      <c r="D37" s="318">
        <f>ID!K36</f>
        <v>49.999793338566555</v>
      </c>
      <c r="E37" s="967">
        <f t="shared" si="0"/>
        <v>-2.0666143344527654E-4</v>
      </c>
      <c r="F37" s="306">
        <f t="shared" si="1"/>
        <v>4.1332286689055309E-4</v>
      </c>
      <c r="G37" s="1723"/>
      <c r="H37" s="304" t="s">
        <v>204</v>
      </c>
      <c r="I37" s="305">
        <f>BUDGET!J69</f>
        <v>0.11596538309683474</v>
      </c>
      <c r="J37" s="288"/>
      <c r="K37" s="288"/>
      <c r="L37" s="288"/>
      <c r="M37" s="1008">
        <f t="shared" si="2"/>
        <v>0.11637870596372529</v>
      </c>
      <c r="N37" s="181" t="str">
        <f t="shared" si="3"/>
        <v>YES</v>
      </c>
      <c r="S37" s="206">
        <f>(ID!D36/(500+BUDGET!P178))*1000</f>
        <v>50.000200000800007</v>
      </c>
      <c r="T37" s="341">
        <f>(ID!E36/(500+BUDGET!Q178))*1000</f>
        <v>49.999700001799994</v>
      </c>
      <c r="U37" s="341">
        <f>(ID!F36/(500+BUDGET!R178))*1000</f>
        <v>49.998800028799309</v>
      </c>
      <c r="V37" s="341">
        <f>(ID!G36/(500+BUDGET!S178))*1000</f>
        <v>50</v>
      </c>
      <c r="W37" s="341">
        <f>(ID!H36/(500+BUDGET!T178))*1000</f>
        <v>50</v>
      </c>
      <c r="X37" s="341">
        <f>(ID!I36/(500+BUDGET!U178))*1000</f>
        <v>50</v>
      </c>
    </row>
    <row r="38" spans="1:24" ht="20.25" customHeight="1">
      <c r="A38" s="307">
        <v>6</v>
      </c>
      <c r="B38" s="308" t="s">
        <v>58</v>
      </c>
      <c r="C38" s="301">
        <f>ID!C37</f>
        <v>60</v>
      </c>
      <c r="D38" s="302">
        <f>AVERAGE(S38:X38)</f>
        <v>60</v>
      </c>
      <c r="E38" s="309">
        <f>D38-C38</f>
        <v>0</v>
      </c>
      <c r="F38" s="306">
        <f>(C38-D38)/C38*100</f>
        <v>0</v>
      </c>
      <c r="G38" s="310" t="s">
        <v>210</v>
      </c>
      <c r="H38" s="304" t="s">
        <v>204</v>
      </c>
      <c r="I38" s="311">
        <f>BUDGET!J86</f>
        <v>0.29138846889573916</v>
      </c>
      <c r="J38" s="288"/>
      <c r="K38" s="288"/>
      <c r="L38" s="288"/>
      <c r="M38" s="1008">
        <f t="shared" si="2"/>
        <v>0.29138846889573916</v>
      </c>
      <c r="N38" s="181" t="str">
        <f t="shared" si="3"/>
        <v>YES</v>
      </c>
      <c r="S38" s="239">
        <f>ID!D37</f>
        <v>60</v>
      </c>
      <c r="T38" s="239">
        <f>ID!E37</f>
        <v>60</v>
      </c>
      <c r="U38" s="239">
        <f>ID!F37</f>
        <v>60</v>
      </c>
      <c r="V38" s="239">
        <f>ID!G37</f>
        <v>60</v>
      </c>
      <c r="W38" s="239">
        <f>ID!H37</f>
        <v>60</v>
      </c>
      <c r="X38" s="239">
        <f>ID!I37</f>
        <v>60</v>
      </c>
    </row>
    <row r="39" spans="1:24" ht="14.4">
      <c r="A39" s="288"/>
      <c r="B39" s="288"/>
      <c r="C39" s="312"/>
      <c r="D39" s="312"/>
      <c r="E39" s="312"/>
      <c r="F39" s="313"/>
      <c r="G39" s="314"/>
      <c r="H39" s="315"/>
      <c r="I39" s="313"/>
      <c r="J39" s="288"/>
      <c r="K39" s="288"/>
      <c r="L39" s="288"/>
      <c r="M39" s="288"/>
      <c r="S39" s="236"/>
      <c r="T39" s="236"/>
      <c r="U39" s="236"/>
      <c r="V39" s="236"/>
      <c r="W39" s="236"/>
      <c r="X39" s="236"/>
    </row>
    <row r="40" spans="1:24" ht="14.4">
      <c r="A40" s="285" t="s">
        <v>59</v>
      </c>
      <c r="B40" s="316" t="str">
        <f>ID!B39</f>
        <v>Hasil Pengukuran Kinerja Electro Stimulator pada Channel 2</v>
      </c>
      <c r="C40" s="312"/>
      <c r="D40" s="312"/>
      <c r="E40" s="312"/>
      <c r="F40" s="313"/>
      <c r="G40" s="314"/>
      <c r="H40" s="317"/>
      <c r="I40" s="313"/>
      <c r="J40" s="288"/>
      <c r="K40" s="288"/>
      <c r="L40" s="288"/>
      <c r="M40" s="288"/>
      <c r="S40" s="236"/>
      <c r="T40" s="236"/>
      <c r="U40" s="236"/>
      <c r="V40" s="236"/>
      <c r="W40" s="236"/>
      <c r="X40" s="236"/>
    </row>
    <row r="41" spans="1:24" ht="15" customHeight="1">
      <c r="A41" s="1704" t="s">
        <v>46</v>
      </c>
      <c r="B41" s="1704" t="s">
        <v>47</v>
      </c>
      <c r="C41" s="1735" t="s">
        <v>48</v>
      </c>
      <c r="D41" s="1735" t="s">
        <v>101</v>
      </c>
      <c r="E41" s="1710" t="s">
        <v>205</v>
      </c>
      <c r="F41" s="1710" t="s">
        <v>206</v>
      </c>
      <c r="G41" s="1724" t="s">
        <v>50</v>
      </c>
      <c r="H41" s="1745" t="s">
        <v>207</v>
      </c>
      <c r="I41" s="1746"/>
      <c r="J41" s="288"/>
      <c r="K41" s="288"/>
      <c r="L41" s="288"/>
      <c r="M41" s="288"/>
      <c r="S41" s="1707" t="s">
        <v>211</v>
      </c>
      <c r="T41" s="1708"/>
      <c r="U41" s="1708"/>
      <c r="V41" s="1708"/>
      <c r="W41" s="1708"/>
      <c r="X41" s="1709"/>
    </row>
    <row r="42" spans="1:24">
      <c r="A42" s="1705"/>
      <c r="B42" s="1705"/>
      <c r="C42" s="1736"/>
      <c r="D42" s="1736"/>
      <c r="E42" s="1711"/>
      <c r="F42" s="1711"/>
      <c r="G42" s="1725"/>
      <c r="H42" s="1747"/>
      <c r="I42" s="1748"/>
      <c r="J42" s="288"/>
      <c r="K42" s="288"/>
      <c r="L42" s="288"/>
      <c r="M42" s="288"/>
      <c r="S42" s="274" t="s">
        <v>51</v>
      </c>
      <c r="T42" s="272" t="s">
        <v>52</v>
      </c>
      <c r="U42" s="273" t="s">
        <v>53</v>
      </c>
      <c r="V42" s="272" t="s">
        <v>54</v>
      </c>
      <c r="W42" s="273" t="s">
        <v>21</v>
      </c>
      <c r="X42" s="272" t="s">
        <v>55</v>
      </c>
    </row>
    <row r="43" spans="1:24">
      <c r="A43" s="1706"/>
      <c r="B43" s="1706"/>
      <c r="C43" s="1737"/>
      <c r="D43" s="1737"/>
      <c r="E43" s="1712"/>
      <c r="F43" s="1712"/>
      <c r="G43" s="1726"/>
      <c r="H43" s="1749"/>
      <c r="I43" s="1750"/>
      <c r="J43" s="288"/>
      <c r="K43" s="288"/>
      <c r="L43" s="288"/>
      <c r="M43" s="288"/>
      <c r="S43" s="274"/>
      <c r="T43" s="275"/>
      <c r="U43" s="273"/>
      <c r="V43" s="275"/>
      <c r="W43" s="273"/>
      <c r="X43" s="275"/>
    </row>
    <row r="44" spans="1:24" ht="14.4">
      <c r="A44" s="301">
        <v>1</v>
      </c>
      <c r="B44" s="1713" t="s">
        <v>56</v>
      </c>
      <c r="C44" s="301">
        <f>ID!C42</f>
        <v>10</v>
      </c>
      <c r="D44" s="302">
        <f>ID!J42</f>
        <v>10.00004000016</v>
      </c>
      <c r="E44" s="302">
        <f t="shared" ref="E44:E49" si="4">D44-C44</f>
        <v>4.0000160000275287E-5</v>
      </c>
      <c r="F44" s="302">
        <f t="shared" ref="F44:F49" si="5">(C44-D44)/C44*100</f>
        <v>-4.0000160000275287E-4</v>
      </c>
      <c r="G44" s="1721" t="s">
        <v>209</v>
      </c>
      <c r="H44" s="304" t="s">
        <v>204</v>
      </c>
      <c r="I44" s="305">
        <f>BUDGET!V17</f>
        <v>0.57982717895182467</v>
      </c>
      <c r="J44" s="288"/>
      <c r="K44" s="288"/>
      <c r="L44" s="288"/>
      <c r="M44" s="1008">
        <f t="shared" ref="M44:M49" si="6">ABS(F44+I44)</f>
        <v>0.57942717735182192</v>
      </c>
      <c r="N44" s="181" t="str">
        <f t="shared" ref="N44:N49" si="7">IF(M44&lt;=30,"YES","NO")</f>
        <v>YES</v>
      </c>
      <c r="S44" s="206">
        <f>IF(ID!$B$65=ID!$B$110,(ID!D42/(500+BUDGET!$P$178)*1000),(ID!D42/(500+BUDGET!$P$178)*1000))</f>
        <v>10.00004000016</v>
      </c>
      <c r="T44" s="341">
        <f>IF(ID!$B$65=ID!$B$110,(ID!E42/(500+BUDGET!$P$178)*1000),(ID!E42/(500+BUDGET!$P$178)*1000))</f>
        <v>10.00004000016</v>
      </c>
      <c r="U44" s="341">
        <f>IF(ID!$B$65=ID!$B$110,(ID!F42/(500+BUDGET!$P$178)*1000),(ID!F42/(500+BUDGET!$P$178)*1000))</f>
        <v>10.00004000016</v>
      </c>
      <c r="V44" s="341">
        <f>IF(ID!$B$65=ID!$B$110,(ID!G42/(500+BUDGET!$P$178)*1000),(ID!G42/(500+BUDGET!$P$178)*1000))</f>
        <v>10.00004000016</v>
      </c>
      <c r="W44" s="341">
        <f>IF(ID!$B$65=ID!$B$110,(ID!H42/(500+BUDGET!$P$178)*1000),(ID!H42/(500+BUDGET!$P$178)*1000))</f>
        <v>10.00004000016</v>
      </c>
      <c r="X44" s="341">
        <f>IF(ID!$B$65=ID!$B$110,(ID!I42/(500+BUDGET!$P$178)*1000),(ID!I42/(500+BUDGET!$P$178)*1000))</f>
        <v>10.00004000016</v>
      </c>
    </row>
    <row r="45" spans="1:24" ht="14.4">
      <c r="A45" s="301">
        <v>2</v>
      </c>
      <c r="B45" s="1713"/>
      <c r="C45" s="301">
        <f>ID!C43</f>
        <v>20</v>
      </c>
      <c r="D45" s="302">
        <f>ID!J43</f>
        <v>20.000080000320001</v>
      </c>
      <c r="E45" s="302">
        <f t="shared" si="4"/>
        <v>8.0000320000550573E-5</v>
      </c>
      <c r="F45" s="302">
        <f t="shared" si="5"/>
        <v>-4.0000160000275287E-4</v>
      </c>
      <c r="G45" s="1722"/>
      <c r="H45" s="304" t="s">
        <v>204</v>
      </c>
      <c r="I45" s="305">
        <f>BUDGET!V30</f>
        <v>0.28991345769469989</v>
      </c>
      <c r="J45" s="288"/>
      <c r="K45" s="288"/>
      <c r="L45" s="288"/>
      <c r="M45" s="1008">
        <f t="shared" si="6"/>
        <v>0.28951345609469714</v>
      </c>
      <c r="N45" s="181" t="str">
        <f t="shared" si="7"/>
        <v>YES</v>
      </c>
      <c r="S45" s="341">
        <f>IF(ID!$B$65=ID!$B$110,(ID!D43/(500+BUDGET!$P$178)*1000),(ID!D43/(500+BUDGET!$P$178)*1000))</f>
        <v>20.000080000320001</v>
      </c>
      <c r="T45" s="341">
        <f>IF(ID!$B$65=ID!$B$110,(ID!E43/(500+BUDGET!$P$178)*1000),(ID!E43/(500+BUDGET!$P$178)*1000))</f>
        <v>20.000080000320001</v>
      </c>
      <c r="U45" s="341">
        <f>IF(ID!$B$65=ID!$B$110,(ID!F43/(500+BUDGET!$P$178)*1000),(ID!F43/(500+BUDGET!$P$178)*1000))</f>
        <v>20.000080000320001</v>
      </c>
      <c r="V45" s="341">
        <f>IF(ID!$B$65=ID!$B$110,(ID!G43/(500+BUDGET!$P$178)*1000),(ID!G43/(500+BUDGET!$P$178)*1000))</f>
        <v>20.000080000320001</v>
      </c>
      <c r="W45" s="341">
        <f>IF(ID!$B$65=ID!$B$110,(ID!H43/(500+BUDGET!$P$178)*1000),(ID!H43/(500+BUDGET!$P$178)*1000))</f>
        <v>20.000080000320001</v>
      </c>
      <c r="X45" s="341">
        <f>IF(ID!$B$65=ID!$B$110,(ID!I43/(500+BUDGET!$P$178)*1000),(ID!I43/(500+BUDGET!$P$178)*1000))</f>
        <v>20.000080000320001</v>
      </c>
    </row>
    <row r="46" spans="1:24" ht="14.4">
      <c r="A46" s="301">
        <v>3</v>
      </c>
      <c r="B46" s="1713"/>
      <c r="C46" s="301">
        <f>ID!C44</f>
        <v>30</v>
      </c>
      <c r="D46" s="302">
        <f>ID!J44</f>
        <v>30.000120000479999</v>
      </c>
      <c r="E46" s="302">
        <f t="shared" si="4"/>
        <v>1.200004799990495E-4</v>
      </c>
      <c r="F46" s="302">
        <f t="shared" si="5"/>
        <v>-4.0000159999683171E-4</v>
      </c>
      <c r="G46" s="1722"/>
      <c r="H46" s="304" t="s">
        <v>204</v>
      </c>
      <c r="I46" s="305">
        <f>BUDGET!V43</f>
        <v>0.19327563847065493</v>
      </c>
      <c r="J46" s="288"/>
      <c r="K46" s="288"/>
      <c r="L46" s="288"/>
      <c r="M46" s="1008">
        <f t="shared" si="6"/>
        <v>0.19287563687065809</v>
      </c>
      <c r="N46" s="181" t="str">
        <f t="shared" si="7"/>
        <v>YES</v>
      </c>
      <c r="S46" s="341">
        <f>IF(ID!$B$65=ID!$B$110,(ID!D44/(500+BUDGET!$P$178)*1000),(ID!D44/(500+BUDGET!$P$178)*1000))</f>
        <v>30.000120000480003</v>
      </c>
      <c r="T46" s="341">
        <f>IF(ID!$B$65=ID!$B$110,(ID!E44/(500+BUDGET!$P$178)*1000),(ID!E44/(500+BUDGET!$P$178)*1000))</f>
        <v>30.000120000480003</v>
      </c>
      <c r="U46" s="341">
        <f>IF(ID!$B$65=ID!$B$110,(ID!F44/(500+BUDGET!$P$178)*1000),(ID!F44/(500+BUDGET!$P$178)*1000))</f>
        <v>30.000120000480003</v>
      </c>
      <c r="V46" s="341">
        <f>IF(ID!$B$65=ID!$B$110,(ID!G44/(500+BUDGET!$P$178)*1000),(ID!G44/(500+BUDGET!$P$178)*1000))</f>
        <v>30.000120000480003</v>
      </c>
      <c r="W46" s="341">
        <f>IF(ID!$B$65=ID!$B$110,(ID!H44/(500+BUDGET!$P$178)*1000),(ID!H44/(500+BUDGET!$P$178)*1000))</f>
        <v>30.000120000480003</v>
      </c>
      <c r="X46" s="341">
        <f>IF(ID!$B$65=ID!$B$110,(ID!I44/(500+BUDGET!$P$178)*1000),(ID!I44/(500+BUDGET!$P$178)*1000))</f>
        <v>30.000120000480003</v>
      </c>
    </row>
    <row r="47" spans="1:24" ht="14.4">
      <c r="A47" s="301">
        <v>4</v>
      </c>
      <c r="B47" s="1713"/>
      <c r="C47" s="301">
        <f>ID!C45</f>
        <v>40</v>
      </c>
      <c r="D47" s="302">
        <f>ID!J45</f>
        <v>40.000160000640001</v>
      </c>
      <c r="E47" s="302">
        <f t="shared" si="4"/>
        <v>1.6000064000110115E-4</v>
      </c>
      <c r="F47" s="302">
        <f t="shared" si="5"/>
        <v>-4.0000160000275287E-4</v>
      </c>
      <c r="G47" s="1722"/>
      <c r="H47" s="304" t="s">
        <v>204</v>
      </c>
      <c r="I47" s="305">
        <f>BUDGET!V56</f>
        <v>0.14495672886088912</v>
      </c>
      <c r="J47" s="288"/>
      <c r="K47" s="288"/>
      <c r="L47" s="288"/>
      <c r="M47" s="1008">
        <f t="shared" si="6"/>
        <v>0.14455672726088636</v>
      </c>
      <c r="N47" s="181" t="str">
        <f t="shared" si="7"/>
        <v>YES</v>
      </c>
      <c r="S47" s="341">
        <f>IF(ID!$B$65=ID!$B$110,(ID!D45/(500+BUDGET!$P$178)*1000),(ID!D45/(500+BUDGET!$P$178)*1000))</f>
        <v>40.000160000640001</v>
      </c>
      <c r="T47" s="341">
        <f>IF(ID!$B$65=ID!$B$110,(ID!E45/(500+BUDGET!$P$178)*1000),(ID!E45/(500+BUDGET!$P$178)*1000))</f>
        <v>40.000160000640001</v>
      </c>
      <c r="U47" s="341">
        <f>IF(ID!$B$65=ID!$B$110,(ID!F45/(500+BUDGET!$P$178)*1000),(ID!F45/(500+BUDGET!$P$178)*1000))</f>
        <v>40.000160000640001</v>
      </c>
      <c r="V47" s="341">
        <f>IF(ID!$B$65=ID!$B$110,(ID!G45/(500+BUDGET!$P$178)*1000),(ID!G45/(500+BUDGET!$P$178)*1000))</f>
        <v>40.000160000640001</v>
      </c>
      <c r="W47" s="341">
        <f>IF(ID!$B$65=ID!$B$110,(ID!H45/(500+BUDGET!$P$178)*1000),(ID!H45/(500+BUDGET!$P$178)*1000))</f>
        <v>40.000160000640001</v>
      </c>
      <c r="X47" s="341">
        <f>IF(ID!$B$65=ID!$B$110,(ID!I45/(500+BUDGET!$P$178)*1000),(ID!I45/(500+BUDGET!$P$178)*1000))</f>
        <v>40.000160000640001</v>
      </c>
    </row>
    <row r="48" spans="1:24" ht="14.4">
      <c r="A48" s="301">
        <v>5</v>
      </c>
      <c r="B48" s="1713"/>
      <c r="C48" s="301">
        <f>ID!C46</f>
        <v>50</v>
      </c>
      <c r="D48" s="302">
        <f>ID!J46</f>
        <v>50.000200000800014</v>
      </c>
      <c r="E48" s="302">
        <f t="shared" si="4"/>
        <v>2.0000080001381093E-4</v>
      </c>
      <c r="F48" s="302">
        <f t="shared" si="5"/>
        <v>-4.0000160002762186E-4</v>
      </c>
      <c r="G48" s="1723"/>
      <c r="H48" s="304" t="s">
        <v>204</v>
      </c>
      <c r="I48" s="305">
        <f>BUDGET!V69</f>
        <v>0.11596538309683474</v>
      </c>
      <c r="J48" s="288"/>
      <c r="K48" s="288"/>
      <c r="L48" s="288"/>
      <c r="M48" s="1008">
        <f t="shared" si="6"/>
        <v>0.11556538149680712</v>
      </c>
      <c r="N48" s="181" t="str">
        <f t="shared" si="7"/>
        <v>YES</v>
      </c>
      <c r="S48" s="341">
        <f>IF(ID!$B$65=ID!$B$110,(ID!D46/(500+BUDGET!$P$178)*1000),(ID!D46/(500+BUDGET!$P$178)*1000))</f>
        <v>50.000200000800007</v>
      </c>
      <c r="T48" s="341">
        <f>IF(ID!$B$65=ID!$B$110,(ID!E46/(500+BUDGET!$P$178)*1000),(ID!E46/(500+BUDGET!$P$178)*1000))</f>
        <v>50.000200000800007</v>
      </c>
      <c r="U48" s="341">
        <f>IF(ID!$B$65=ID!$B$110,(ID!F46/(500+BUDGET!$P$178)*1000),(ID!F46/(500+BUDGET!$P$178)*1000))</f>
        <v>50.000200000800007</v>
      </c>
      <c r="V48" s="341">
        <f>IF(ID!$B$65=ID!$B$110,(ID!G46/(500+BUDGET!$P$178)*1000),(ID!G46/(500+BUDGET!$P$178)*1000))</f>
        <v>50.000200000800007</v>
      </c>
      <c r="W48" s="341">
        <f>IF(ID!$B$65=ID!$B$110,(ID!H46/(500+BUDGET!$P$178)*1000),(ID!H46/(500+BUDGET!$P$178)*1000))</f>
        <v>50.000200000800007</v>
      </c>
      <c r="X48" s="341">
        <f>IF(ID!$B$65=ID!$B$110,(ID!I46/(500+BUDGET!$P$178)*1000),(ID!I46/(500+BUDGET!$P$178)*1000))</f>
        <v>50.000200000800007</v>
      </c>
    </row>
    <row r="49" spans="1:24" ht="31.2">
      <c r="A49" s="307">
        <v>6</v>
      </c>
      <c r="B49" s="308" t="s">
        <v>58</v>
      </c>
      <c r="C49" s="301">
        <f>ID!C47</f>
        <v>60</v>
      </c>
      <c r="D49" s="318">
        <f>AVERAGE(S49:X49)</f>
        <v>60</v>
      </c>
      <c r="E49" s="318">
        <f t="shared" si="4"/>
        <v>0</v>
      </c>
      <c r="F49" s="318">
        <f t="shared" si="5"/>
        <v>0</v>
      </c>
      <c r="G49" s="310" t="s">
        <v>210</v>
      </c>
      <c r="H49" s="304" t="s">
        <v>204</v>
      </c>
      <c r="I49" s="311">
        <f>BUDGET!V86</f>
        <v>0.29138846889573916</v>
      </c>
      <c r="J49" s="288"/>
      <c r="K49" s="288"/>
      <c r="L49" s="288"/>
      <c r="M49" s="1008">
        <f t="shared" si="6"/>
        <v>0.29138846889573916</v>
      </c>
      <c r="N49" s="181" t="str">
        <f t="shared" si="7"/>
        <v>YES</v>
      </c>
      <c r="S49" s="239">
        <f>ID!D47</f>
        <v>60</v>
      </c>
      <c r="T49" s="239">
        <f>ID!E47</f>
        <v>60</v>
      </c>
      <c r="U49" s="239">
        <f>ID!F47</f>
        <v>60</v>
      </c>
      <c r="V49" s="239">
        <f>ID!G47</f>
        <v>60</v>
      </c>
      <c r="W49" s="239">
        <f>ID!H47</f>
        <v>60</v>
      </c>
      <c r="X49" s="239">
        <f>ID!I47</f>
        <v>60</v>
      </c>
    </row>
    <row r="50" spans="1:24" ht="15.6">
      <c r="A50" s="319"/>
      <c r="B50" s="320"/>
      <c r="C50" s="321"/>
      <c r="D50" s="313"/>
      <c r="E50" s="313"/>
      <c r="F50" s="313"/>
      <c r="G50" s="322"/>
      <c r="H50" s="323"/>
      <c r="I50" s="324"/>
      <c r="J50" s="288"/>
      <c r="K50" s="288"/>
      <c r="L50" s="288"/>
      <c r="M50" s="288"/>
      <c r="S50" s="244"/>
      <c r="T50" s="244"/>
      <c r="U50" s="244"/>
      <c r="V50" s="244"/>
      <c r="W50" s="244"/>
      <c r="X50" s="244"/>
    </row>
    <row r="51" spans="1:24" ht="14.4">
      <c r="A51" s="325" t="s">
        <v>212</v>
      </c>
      <c r="B51" s="316" t="s">
        <v>62</v>
      </c>
      <c r="C51" s="321"/>
      <c r="D51" s="313"/>
      <c r="E51" s="313"/>
      <c r="F51" s="313"/>
      <c r="G51" s="322"/>
      <c r="H51" s="323"/>
      <c r="I51" s="324"/>
      <c r="J51" s="288"/>
      <c r="K51" s="288"/>
      <c r="L51" s="288"/>
      <c r="M51" s="288"/>
      <c r="S51" s="244"/>
      <c r="T51" s="244"/>
      <c r="U51" s="244"/>
      <c r="V51" s="244"/>
      <c r="W51" s="244"/>
      <c r="X51" s="244"/>
    </row>
    <row r="52" spans="1:24" ht="12.75" customHeight="1">
      <c r="A52" s="1701" t="s">
        <v>46</v>
      </c>
      <c r="B52" s="1714" t="s">
        <v>47</v>
      </c>
      <c r="C52" s="1714" t="s">
        <v>48</v>
      </c>
      <c r="D52" s="1743" t="s">
        <v>101</v>
      </c>
      <c r="E52" s="1738" t="s">
        <v>205</v>
      </c>
      <c r="F52" s="1738" t="s">
        <v>206</v>
      </c>
      <c r="G52" s="1741" t="s">
        <v>50</v>
      </c>
      <c r="H52" s="1742" t="s">
        <v>207</v>
      </c>
      <c r="I52" s="1742"/>
      <c r="J52" s="288"/>
      <c r="K52" s="288"/>
      <c r="L52" s="288"/>
      <c r="M52" s="288"/>
      <c r="S52" s="1715" t="s">
        <v>213</v>
      </c>
      <c r="T52" s="1716"/>
      <c r="U52" s="1716"/>
      <c r="V52" s="1716"/>
      <c r="W52" s="1716"/>
      <c r="X52" s="1717"/>
    </row>
    <row r="53" spans="1:24" ht="22.5" customHeight="1">
      <c r="A53" s="1701"/>
      <c r="B53" s="1714"/>
      <c r="C53" s="1714"/>
      <c r="D53" s="1743"/>
      <c r="E53" s="1738"/>
      <c r="F53" s="1738"/>
      <c r="G53" s="1741"/>
      <c r="H53" s="1742"/>
      <c r="I53" s="1742"/>
      <c r="J53" s="288"/>
      <c r="K53" s="288"/>
      <c r="L53" s="288"/>
      <c r="M53" s="288"/>
      <c r="S53" s="1715" t="s">
        <v>51</v>
      </c>
      <c r="T53" s="1717"/>
      <c r="U53" s="1715" t="s">
        <v>52</v>
      </c>
      <c r="V53" s="1717"/>
      <c r="W53" s="1715" t="s">
        <v>53</v>
      </c>
      <c r="X53" s="1717"/>
    </row>
    <row r="54" spans="1:24" ht="31.2">
      <c r="A54" s="326">
        <v>7</v>
      </c>
      <c r="B54" s="327" t="s">
        <v>63</v>
      </c>
      <c r="C54" s="328">
        <f>ID!C52</f>
        <v>300</v>
      </c>
      <c r="D54" s="329">
        <f>ID!K52</f>
        <v>299.95356993687409</v>
      </c>
      <c r="E54" s="329">
        <f>D54-C54</f>
        <v>-4.6430063125910692E-2</v>
      </c>
      <c r="F54" s="981">
        <f>(C54-D54)/C54*100</f>
        <v>1.5476687708636897E-2</v>
      </c>
      <c r="G54" s="330" t="s">
        <v>64</v>
      </c>
      <c r="H54" s="331" t="s">
        <v>204</v>
      </c>
      <c r="I54" s="1102">
        <f>BUDGET!J98</f>
        <v>9.6637826193038054E-3</v>
      </c>
      <c r="J54" s="288"/>
      <c r="K54" s="288"/>
      <c r="L54" s="288"/>
      <c r="M54" s="288"/>
      <c r="S54" s="1731">
        <f>ID!D52</f>
        <v>300</v>
      </c>
      <c r="T54" s="1732"/>
      <c r="U54" s="1731">
        <f>ID!F52</f>
        <v>300</v>
      </c>
      <c r="V54" s="1733"/>
      <c r="W54" s="1734">
        <f>ID!H52</f>
        <v>300</v>
      </c>
      <c r="X54" s="1734"/>
    </row>
    <row r="55" spans="1:24" ht="14.4">
      <c r="C55" s="236"/>
      <c r="D55" s="236"/>
      <c r="E55" s="236"/>
      <c r="F55" s="236"/>
      <c r="G55" s="236"/>
      <c r="H55" s="236"/>
      <c r="I55" s="236"/>
      <c r="J55" s="236"/>
      <c r="K55" s="236"/>
      <c r="L55" s="237"/>
      <c r="M55" s="238"/>
      <c r="N55" s="276"/>
      <c r="O55" s="237"/>
    </row>
    <row r="56" spans="1:24" ht="14.4">
      <c r="A56" s="332" t="s">
        <v>65</v>
      </c>
      <c r="B56" s="332" t="s">
        <v>104</v>
      </c>
      <c r="C56" s="333"/>
      <c r="D56" s="333"/>
      <c r="E56" s="333"/>
      <c r="F56" s="333"/>
      <c r="G56" s="333"/>
      <c r="H56" s="333"/>
      <c r="I56" s="333"/>
      <c r="J56" s="333"/>
      <c r="K56" s="333"/>
      <c r="L56" s="334"/>
      <c r="M56" s="335"/>
      <c r="N56" s="276"/>
      <c r="O56" s="237"/>
    </row>
    <row r="57" spans="1:24" ht="14.4">
      <c r="A57" s="282"/>
      <c r="B57" s="336" t="str">
        <f>ID!B55</f>
        <v>Ketidakpastian pengukuran dilaporkan pada tingkat kepercayaan 95 % dengan faktor cakupan k = 2</v>
      </c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2"/>
      <c r="N57" s="277"/>
      <c r="O57" s="201"/>
    </row>
    <row r="58" spans="1:24" ht="14.4">
      <c r="A58" s="282"/>
      <c r="B58" s="336" t="str">
        <f>ID!B56</f>
        <v>Hasil pengukuran keselamatan listrik tertelusur ke Satuan Internasional melalui PT. KALIMAN (LK-032-IDN)</v>
      </c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2"/>
      <c r="N58" s="277"/>
      <c r="O58" s="201"/>
    </row>
    <row r="59" spans="1:24" ht="14.4">
      <c r="A59" s="282"/>
      <c r="B59" s="336" t="str">
        <f>ID!B57</f>
        <v>Hasil kalibrasi Intensitas Therapy dan Frekuensi tertelusur ke Satuan Internasional melalui PT. KALIMAN (LK-032-IDN)</v>
      </c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2"/>
      <c r="N59" s="277"/>
      <c r="O59" s="201"/>
    </row>
    <row r="60" spans="1:24" ht="14.4">
      <c r="A60" s="282"/>
      <c r="B60" s="336" t="str">
        <f>ID!B58</f>
        <v>Hasil kalibrasi Durasi Therapy tertelusur ke Satuan Internasional ( SI ) melalui PT KALIMAN</v>
      </c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2"/>
      <c r="N60" s="201"/>
      <c r="O60" s="201"/>
    </row>
    <row r="61" spans="1:24" ht="14.4">
      <c r="A61" s="282"/>
      <c r="B61" s="336" t="str">
        <f>ID!B59</f>
        <v>Setting Precission Resistance Box pada 500 Ω</v>
      </c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2"/>
      <c r="N61" s="201"/>
      <c r="O61" s="201"/>
    </row>
    <row r="62" spans="1:24" ht="14.4">
      <c r="A62" s="282"/>
      <c r="B62" s="336" t="str">
        <f>ID!B60</f>
        <v>Tidak terdapat grounding di ruangan</v>
      </c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2"/>
      <c r="N62" s="201"/>
      <c r="O62" s="201"/>
    </row>
    <row r="63" spans="1:24" ht="14.4">
      <c r="A63" s="282"/>
      <c r="B63" s="336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2"/>
      <c r="N63" s="201"/>
      <c r="O63" s="201"/>
    </row>
    <row r="64" spans="1:24" ht="14.4">
      <c r="A64" s="332" t="s">
        <v>69</v>
      </c>
      <c r="B64" s="332" t="s">
        <v>70</v>
      </c>
      <c r="C64" s="332"/>
      <c r="D64" s="282"/>
      <c r="E64" s="282"/>
      <c r="F64" s="282"/>
      <c r="G64" s="282"/>
      <c r="H64" s="282"/>
      <c r="I64" s="282"/>
      <c r="J64" s="282"/>
      <c r="K64" s="282"/>
      <c r="L64" s="282"/>
      <c r="M64" s="282"/>
      <c r="N64" s="201"/>
      <c r="O64" s="201"/>
    </row>
    <row r="65" spans="1:15" ht="14.4">
      <c r="A65" s="282"/>
      <c r="B65" s="228" t="str">
        <f>ID!B63</f>
        <v>Precision resistance Box, Merek : Time Electronics, Model : 1067, SN : 1968F15</v>
      </c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2"/>
      <c r="N65" s="201"/>
      <c r="O65" s="201"/>
    </row>
    <row r="66" spans="1:15" ht="14.4">
      <c r="A66" s="282"/>
      <c r="B66" s="228" t="str">
        <f>ID!B64</f>
        <v>Electrical Safety Analyzer, Merek : Fluke, Model : ESA 615, SN : 3148907</v>
      </c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2"/>
      <c r="N66" s="201"/>
      <c r="O66" s="201"/>
    </row>
    <row r="67" spans="1:15" ht="14.4">
      <c r="A67" s="282"/>
      <c r="B67" s="228" t="str">
        <f>ID!B65</f>
        <v>Medical Scope Meter, Merk : Fluke, Model 190M-2, SN :  27782606 CH : B</v>
      </c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2"/>
      <c r="N67" s="201"/>
      <c r="O67" s="201"/>
    </row>
    <row r="68" spans="1:15" ht="14.4">
      <c r="A68" s="282"/>
      <c r="B68" s="228" t="str">
        <f>ID!B66</f>
        <v>Stopwatch, Merek : EXTECH, Model : 365535, SN :001382</v>
      </c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2"/>
      <c r="N68" s="201"/>
      <c r="O68" s="201"/>
    </row>
    <row r="69" spans="1:15" ht="14.4">
      <c r="A69" s="282"/>
      <c r="B69" s="228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2"/>
      <c r="N69" s="201"/>
      <c r="O69" s="201"/>
    </row>
    <row r="70" spans="1:15" ht="14.4">
      <c r="A70" s="332" t="s">
        <v>78</v>
      </c>
      <c r="B70" s="337" t="s">
        <v>107</v>
      </c>
      <c r="C70" s="282"/>
      <c r="D70" s="282"/>
      <c r="E70" s="282"/>
      <c r="F70" s="282"/>
      <c r="G70" s="282"/>
      <c r="H70" s="282"/>
      <c r="I70" s="282"/>
      <c r="J70" s="282"/>
      <c r="K70" s="282"/>
      <c r="L70" s="282"/>
      <c r="M70" s="282"/>
      <c r="N70" s="201"/>
      <c r="O70" s="201"/>
    </row>
    <row r="71" spans="1:15" ht="14.4">
      <c r="A71" s="332"/>
      <c r="B71" s="228" t="str">
        <f>ID!B70</f>
        <v>Alat yang dikalibrasi dalam batas toleransi dan dinyatakan LAIK PAKAI</v>
      </c>
      <c r="C71" s="282"/>
      <c r="D71" s="282"/>
      <c r="E71" s="282"/>
      <c r="F71" s="282"/>
      <c r="G71" s="282"/>
      <c r="H71" s="282"/>
      <c r="I71" s="282"/>
      <c r="J71" s="282"/>
      <c r="K71" s="282"/>
      <c r="L71" s="282"/>
      <c r="M71" s="282"/>
      <c r="N71" s="201"/>
      <c r="O71" s="201"/>
    </row>
    <row r="72" spans="1:15" ht="14.4">
      <c r="A72" s="282"/>
      <c r="B72" s="282"/>
      <c r="C72" s="282" t="s">
        <v>108</v>
      </c>
      <c r="D72" s="282"/>
      <c r="E72" s="282"/>
      <c r="F72" s="282"/>
      <c r="G72" s="282"/>
      <c r="H72" s="282"/>
      <c r="I72" s="282"/>
      <c r="J72" s="282"/>
      <c r="K72" s="282"/>
      <c r="L72" s="282"/>
      <c r="M72" s="282"/>
      <c r="N72" s="201"/>
      <c r="O72" s="201"/>
    </row>
    <row r="73" spans="1:15" ht="14.4">
      <c r="A73" s="332" t="s">
        <v>109</v>
      </c>
      <c r="B73" s="332" t="s">
        <v>79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  <c r="N73" s="201"/>
      <c r="O73" s="201"/>
    </row>
    <row r="74" spans="1:15" ht="14.4">
      <c r="A74" s="282"/>
      <c r="B74" s="336" t="str">
        <f>ID!B73</f>
        <v>Sholihatussa'diah</v>
      </c>
      <c r="C74" s="282"/>
      <c r="D74" s="282"/>
      <c r="E74" s="282"/>
      <c r="F74" s="282"/>
      <c r="G74" s="282"/>
      <c r="H74" s="282"/>
      <c r="I74" s="282"/>
      <c r="J74" s="282"/>
      <c r="K74" s="282"/>
      <c r="L74" s="283"/>
      <c r="M74" s="282"/>
      <c r="N74" s="201"/>
      <c r="O74" s="201"/>
    </row>
    <row r="75" spans="1:15" ht="14.4">
      <c r="A75" s="282"/>
      <c r="B75" s="282"/>
      <c r="C75" s="282"/>
      <c r="D75" s="282"/>
      <c r="E75" s="282"/>
      <c r="F75" s="282"/>
      <c r="G75" s="282"/>
      <c r="H75" s="282"/>
      <c r="I75" s="282"/>
      <c r="J75" s="282"/>
      <c r="K75" s="282"/>
      <c r="L75" s="228"/>
      <c r="M75" s="282"/>
      <c r="N75" s="201"/>
      <c r="O75" s="201"/>
    </row>
    <row r="76" spans="1:15" ht="14.4">
      <c r="A76" s="282"/>
      <c r="B76" s="1744" t="s">
        <v>214</v>
      </c>
      <c r="C76" s="1744"/>
      <c r="D76" s="1744"/>
      <c r="E76" s="1744"/>
      <c r="F76" s="1744"/>
      <c r="G76" s="1744" t="s">
        <v>215</v>
      </c>
      <c r="H76" s="1744"/>
      <c r="I76" s="1744"/>
      <c r="J76" s="338" t="s">
        <v>216</v>
      </c>
      <c r="K76" s="1009" t="s">
        <v>419</v>
      </c>
      <c r="L76" s="228"/>
      <c r="M76" s="282"/>
      <c r="N76" s="201"/>
      <c r="O76" s="201"/>
    </row>
    <row r="77" spans="1:15" ht="14.4">
      <c r="A77" s="283"/>
      <c r="B77" s="339" t="s">
        <v>217</v>
      </c>
      <c r="C77" s="1720" t="str">
        <f>B74</f>
        <v>Sholihatussa'diah</v>
      </c>
      <c r="D77" s="1720"/>
      <c r="E77" s="1720"/>
      <c r="F77" s="1720"/>
      <c r="G77" s="1751" t="str">
        <f>ID!B76</f>
        <v>27 April 2017</v>
      </c>
      <c r="H77" s="1751"/>
      <c r="I77" s="1751"/>
      <c r="J77" s="340"/>
      <c r="K77" s="1010">
        <f>O32+N28+N19+N20</f>
        <v>80</v>
      </c>
      <c r="L77" s="228"/>
      <c r="M77" s="283"/>
    </row>
    <row r="78" spans="1:15" ht="14.4">
      <c r="A78" s="283"/>
      <c r="B78" s="339" t="s">
        <v>218</v>
      </c>
      <c r="C78" s="1720"/>
      <c r="D78" s="1720"/>
      <c r="E78" s="1720"/>
      <c r="F78" s="1720"/>
      <c r="G78" s="1720"/>
      <c r="H78" s="1720"/>
      <c r="I78" s="1720"/>
      <c r="J78" s="340"/>
      <c r="K78" s="283"/>
      <c r="L78" s="228"/>
      <c r="M78" s="283"/>
    </row>
    <row r="79" spans="1:15" ht="14.4">
      <c r="A79" s="283"/>
      <c r="B79" s="283"/>
      <c r="C79" s="283"/>
      <c r="D79" s="283"/>
      <c r="E79" s="283"/>
      <c r="F79" s="283"/>
      <c r="G79" s="283"/>
      <c r="H79" s="283"/>
      <c r="I79" s="283"/>
      <c r="J79" s="283"/>
      <c r="K79" s="283"/>
      <c r="L79" s="228"/>
      <c r="M79" s="283"/>
    </row>
  </sheetData>
  <sheetProtection formatCells="0" formatColumns="0" formatRows="0" insertRows="0" deleteRows="0"/>
  <mergeCells count="65">
    <mergeCell ref="A1:M1"/>
    <mergeCell ref="A2:M2"/>
    <mergeCell ref="G78:I78"/>
    <mergeCell ref="F52:F53"/>
    <mergeCell ref="G52:G53"/>
    <mergeCell ref="H52:I53"/>
    <mergeCell ref="D52:D53"/>
    <mergeCell ref="B76:F76"/>
    <mergeCell ref="G76:I76"/>
    <mergeCell ref="H30:I32"/>
    <mergeCell ref="H41:I43"/>
    <mergeCell ref="G41:G43"/>
    <mergeCell ref="G33:G37"/>
    <mergeCell ref="F30:F32"/>
    <mergeCell ref="C78:F78"/>
    <mergeCell ref="G77:I77"/>
    <mergeCell ref="S54:T54"/>
    <mergeCell ref="U54:V54"/>
    <mergeCell ref="W54:X54"/>
    <mergeCell ref="C30:C32"/>
    <mergeCell ref="D30:D32"/>
    <mergeCell ref="C41:C43"/>
    <mergeCell ref="D41:D43"/>
    <mergeCell ref="S53:T53"/>
    <mergeCell ref="U53:V53"/>
    <mergeCell ref="W53:X53"/>
    <mergeCell ref="E52:E53"/>
    <mergeCell ref="J13:K13"/>
    <mergeCell ref="J14:K14"/>
    <mergeCell ref="J15:K15"/>
    <mergeCell ref="C52:C53"/>
    <mergeCell ref="C77:F77"/>
    <mergeCell ref="E41:E43"/>
    <mergeCell ref="G44:G48"/>
    <mergeCell ref="F41:F43"/>
    <mergeCell ref="G30:G32"/>
    <mergeCell ref="B23:H23"/>
    <mergeCell ref="B25:I25"/>
    <mergeCell ref="B26:I26"/>
    <mergeCell ref="A52:A53"/>
    <mergeCell ref="J23:K23"/>
    <mergeCell ref="A30:A32"/>
    <mergeCell ref="B30:B32"/>
    <mergeCell ref="S30:X30"/>
    <mergeCell ref="E30:E32"/>
    <mergeCell ref="B44:B48"/>
    <mergeCell ref="B33:B37"/>
    <mergeCell ref="B52:B53"/>
    <mergeCell ref="S52:X52"/>
    <mergeCell ref="A41:A43"/>
    <mergeCell ref="B41:B43"/>
    <mergeCell ref="S41:X41"/>
    <mergeCell ref="L23:M23"/>
    <mergeCell ref="Y20:AG20"/>
    <mergeCell ref="Y23:AE23"/>
    <mergeCell ref="S24:S25"/>
    <mergeCell ref="T24:T25"/>
    <mergeCell ref="Y14:AG14"/>
    <mergeCell ref="Y15:AG15"/>
    <mergeCell ref="Y16:AG16"/>
    <mergeCell ref="S18:T19"/>
    <mergeCell ref="U18:U19"/>
    <mergeCell ref="V18:V19"/>
    <mergeCell ref="W18:W19"/>
    <mergeCell ref="Y19:AG19"/>
  </mergeCells>
  <pageMargins left="0.70866141732283505" right="0.70866141732283505" top="0.74803149606299202" bottom="0.74803149606299202" header="0.31496062992126" footer="0.31496062992126"/>
  <pageSetup paperSize="9" scale="64" orientation="portrait" horizontalDpi="4294967293" verticalDpi="4294967293" r:id="rId1"/>
  <headerFooter>
    <oddHeader>&amp;R&amp;"Calibri,Regular"&amp;9KL.LP - 11 / REV : 0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3FA48C17-64FE-40A6-887B-9FBE878C1201}">
            <x14:iconSet custom="1">
              <x14:cfvo type="percent">
                <xm:f>0</xm:f>
              </x14:cfvo>
              <x14:cfvo type="num">
                <xm:f>10</xm:f>
              </x14:cfvo>
              <x14:cfvo type="num">
                <xm:f>10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N24:N25</xm:sqref>
        </x14:conditionalFormatting>
        <x14:conditionalFormatting xmlns:xm="http://schemas.microsoft.com/office/excel/2006/main">
          <x14:cfRule type="iconSet" priority="2" id="{102A68D9-9E20-4275-9544-407B4A86BAB4}">
            <x14:iconSet custom="1">
              <x14:cfvo type="percent">
                <xm:f>0</xm:f>
              </x14:cfvo>
              <x14:cfvo type="num">
                <xm:f>10</xm:f>
              </x14:cfvo>
              <x14:cfvo type="num">
                <xm:f>10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N27</xm:sqref>
        </x14:conditionalFormatting>
        <x14:conditionalFormatting xmlns:xm="http://schemas.microsoft.com/office/excel/2006/main">
          <x14:cfRule type="iconSet" priority="1" id="{8C0A54CD-E23A-45E2-B73D-16794EB3ABB3}">
            <x14:iconSet custom="1">
              <x14:cfvo type="percent">
                <xm:f>0</xm:f>
              </x14:cfvo>
              <x14:cfvo type="num">
                <xm:f>10</xm:f>
              </x14:cfvo>
              <x14:cfvo type="num">
                <xm:f>10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SERTIFIKAT</vt:lpstr>
      <vt:lpstr>LK (2)</vt:lpstr>
      <vt:lpstr>DB Thermohygro </vt:lpstr>
      <vt:lpstr>SCOPE</vt:lpstr>
      <vt:lpstr>DB Stopwatch</vt:lpstr>
      <vt:lpstr>ESA</vt:lpstr>
      <vt:lpstr>ID</vt:lpstr>
      <vt:lpstr>BUDGET</vt:lpstr>
      <vt:lpstr>Penyelia</vt:lpstr>
      <vt:lpstr>LH</vt:lpstr>
      <vt:lpstr>BUDGET!Print_Area</vt:lpstr>
      <vt:lpstr>'DB Stopwatch'!Print_Area</vt:lpstr>
      <vt:lpstr>'DB Thermohygro '!Print_Area</vt:lpstr>
      <vt:lpstr>ESA!Print_Area</vt:lpstr>
      <vt:lpstr>ID!Print_Area</vt:lpstr>
      <vt:lpstr>LH!Print_Area</vt:lpstr>
      <vt:lpstr>'LK (2)'!Print_Area</vt:lpstr>
      <vt:lpstr>Penyelia!Print_Area</vt:lpstr>
      <vt:lpstr>SERTIFIKAT!Print_Area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8.1</dc:creator>
  <cp:keywords/>
  <dc:description/>
  <cp:lastModifiedBy>Developer</cp:lastModifiedBy>
  <cp:revision/>
  <dcterms:created xsi:type="dcterms:W3CDTF">2016-04-04T10:34:56Z</dcterms:created>
  <dcterms:modified xsi:type="dcterms:W3CDTF">2023-09-20T07:39:56Z</dcterms:modified>
  <cp:category/>
  <cp:contentStatus/>
</cp:coreProperties>
</file>